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drawings/drawing8.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_xmlsignatures/sig5.xml" ContentType="application/vnd.openxmlformats-package.digital-signature-xmlsignature+xml"/>
  <Override PartName="/_xmlsignatures/sig6.xml" ContentType="application/vnd.openxmlformats-package.digital-signature-xmlsignature+xml"/>
  <Override PartName="/_xmlsignatures/sig7.xml" ContentType="application/vnd.openxmlformats-package.digital-signature-xmlsignature+xml"/>
  <Override PartName="/_xmlsignatures/sig8.xml" ContentType="application/vnd.openxmlformats-package.digital-signature-xmlsignature+xml"/>
  <Override PartName="/_xmlsignatures/sig9.xml" ContentType="application/vnd.openxmlformats-package.digital-signature-xmlsignature+xml"/>
  <Override PartName="/_xmlsignatures/sig10.xml" ContentType="application/vnd.openxmlformats-package.digital-signature-xmlsignature+xml"/>
  <Override PartName="/_xmlsignatures/sig11.xml" ContentType="application/vnd.openxmlformats-package.digital-signature-xmlsignature+xml"/>
  <Override PartName="/_xmlsignatures/sig12.xml" ContentType="application/vnd.openxmlformats-package.digital-signature-xmlsignature+xml"/>
  <Override PartName="/_xmlsignatures/sig13.xml" ContentType="application/vnd.openxmlformats-package.digital-signature-xmlsignature+xml"/>
  <Override PartName="/_xmlsignatures/sig14.xml" ContentType="application/vnd.openxmlformats-package.digital-signature-xmlsignature+xml"/>
  <Override PartName="/_xmlsignatures/sig15.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mc:AlternateContent xmlns:mc="http://schemas.openxmlformats.org/markup-compatibility/2006">
    <mc:Choice Requires="x15">
      <x15ac:absPath xmlns:x15ac="http://schemas.microsoft.com/office/spreadsheetml/2010/11/ac" url="https://ferrere.sharepoint.com/sites/CPA-PY/Shared Documents/Contabilidad/FAMILIAR ADMINISTRADORA DE FONDOS PATRIMONIALES DE INVERSIONSOCIEDAD ANÓNIMA/INFORMES SIV/FM FAM RENTA PLUS USD/2026/06. Junio/02. Formato Firma/"/>
    </mc:Choice>
  </mc:AlternateContent>
  <xr:revisionPtr revIDLastSave="6089" documentId="13_ncr:1_{A5FBFC90-4558-497A-B7BF-382F74560F13}" xr6:coauthVersionLast="47" xr6:coauthVersionMax="47" xr10:uidLastSave="{E1A4CD7B-63CE-4D58-A5C5-DF0D898BB4B3}"/>
  <bookViews>
    <workbookView xWindow="-120" yWindow="-120" windowWidth="20730" windowHeight="11040" tabRatio="828" firstSheet="6" activeTab="10" xr2:uid="{00000000-000D-0000-FFFF-FFFF00000000}"/>
  </bookViews>
  <sheets>
    <sheet name="INDICE" sheetId="12" state="hidden" r:id="rId1"/>
    <sheet name="INVENTARIO RF-MAR" sheetId="38" state="hidden" r:id="rId2"/>
    <sheet name="INVENTARIO RF" sheetId="36" state="hidden" r:id="rId3"/>
    <sheet name="BG 06.2025" sheetId="39" state="hidden" r:id="rId4"/>
    <sheet name="BG 12.2025" sheetId="37" state="hidden" r:id="rId5"/>
    <sheet name="CA EF" sheetId="6" state="hidden" r:id="rId6"/>
    <sheet name="ACTIVO NETO" sheetId="3" r:id="rId7"/>
    <sheet name="ESTADO DE INGRESOS Y EGRESOS" sheetId="34" r:id="rId8"/>
    <sheet name="FLUJO DE EFECTIVO" sheetId="5" r:id="rId9"/>
    <sheet name="VARIACION DEL ACTIVO NETO" sheetId="7" r:id="rId10"/>
    <sheet name="NOTAS" sheetId="8" r:id="rId11"/>
  </sheets>
  <externalReferences>
    <externalReference r:id="rId12"/>
    <externalReference r:id="rId13"/>
  </externalReferences>
  <definedNames>
    <definedName name="\a" localSheetId="10">#REF!</definedName>
    <definedName name="\a">#REF!</definedName>
    <definedName name="_____DAT23" localSheetId="10">#REF!</definedName>
    <definedName name="_____DAT23">#REF!</definedName>
    <definedName name="_____DAT24" localSheetId="10">#REF!</definedName>
    <definedName name="_____DAT24">#REF!</definedName>
    <definedName name="____DAT23">#REF!</definedName>
    <definedName name="____DAT24">#REF!</definedName>
    <definedName name="___DAT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2">#REF!</definedName>
    <definedName name="___DAT23">#REF!</definedName>
    <definedName name="___DAT24">#REF!</definedName>
    <definedName name="___DAT3">#REF!</definedName>
    <definedName name="___DAT4">#REF!</definedName>
    <definedName name="___DAT5">#REF!</definedName>
    <definedName name="___DAT6">#REF!</definedName>
    <definedName name="___DAT7">#REF!</definedName>
    <definedName name="___DAT8">#REF!</definedName>
    <definedName name="__DAT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2">#REF!</definedName>
    <definedName name="__DAT23" localSheetId="9">#REF!</definedName>
    <definedName name="__DAT23">#REF!</definedName>
    <definedName name="__DAT24" localSheetId="9">#REF!</definedName>
    <definedName name="__DAT24">#REF!</definedName>
    <definedName name="__DAT3">#REF!</definedName>
    <definedName name="__DAT4">#REF!</definedName>
    <definedName name="__DAT5">#REF!</definedName>
    <definedName name="__DAT6">#REF!</definedName>
    <definedName name="__DAT7">#REF!</definedName>
    <definedName name="__DAT8">#REF!</definedName>
    <definedName name="__RSE1">#REF!</definedName>
    <definedName name="__RSE2">#REF!</definedName>
    <definedName name="_DAT1">#REF!</definedName>
    <definedName name="_DAT12">#REF!</definedName>
    <definedName name="_DAT13" localSheetId="9">#REF!</definedName>
    <definedName name="_DAT13">#REF!</definedName>
    <definedName name="_DAT14" localSheetId="9">#REF!</definedName>
    <definedName name="_DAT14">#REF!</definedName>
    <definedName name="_DAT15">#REF!</definedName>
    <definedName name="_DAT16">#REF!</definedName>
    <definedName name="_DAT17" localSheetId="9">#REF!</definedName>
    <definedName name="_DAT17">#REF!</definedName>
    <definedName name="_DAT18" localSheetId="9">#REF!</definedName>
    <definedName name="_DAT18">#REF!</definedName>
    <definedName name="_DAT19" localSheetId="9">#REF!</definedName>
    <definedName name="_DAT19">#REF!</definedName>
    <definedName name="_DAT2">#REF!</definedName>
    <definedName name="_DAT20" localSheetId="9">#REF!</definedName>
    <definedName name="_DAT20">#REF!</definedName>
    <definedName name="_DAT22" localSheetId="9">#REF!</definedName>
    <definedName name="_DAT22">#REF!</definedName>
    <definedName name="_DAT23" localSheetId="9">#REF!</definedName>
    <definedName name="_DAT23">#REF!</definedName>
    <definedName name="_DAT24" localSheetId="9">#REF!</definedName>
    <definedName name="_DAT24">#REF!</definedName>
    <definedName name="_DAT3" localSheetId="9">#REF!</definedName>
    <definedName name="_DAT3">#REF!</definedName>
    <definedName name="_DAT4" localSheetId="9">#REF!</definedName>
    <definedName name="_DAT4">#REF!</definedName>
    <definedName name="_DAT5" localSheetId="9">#REF!</definedName>
    <definedName name="_DAT5">#REF!</definedName>
    <definedName name="_DAT6">#REF!</definedName>
    <definedName name="_DAT7">#REF!</definedName>
    <definedName name="_DAT8">#REF!</definedName>
    <definedName name="_xlnm._FilterDatabase" localSheetId="3" hidden="1">'BG 06.2025'!$A$5:$M$62</definedName>
    <definedName name="_xlnm._FilterDatabase" localSheetId="4" hidden="1">'BG 12.2025'!$A$5:$O$84</definedName>
    <definedName name="_xlnm._FilterDatabase" localSheetId="5" hidden="1">'CA EF'!$A$3:$N$98</definedName>
    <definedName name="_xlnm._FilterDatabase" localSheetId="2" hidden="1">'INVENTARIO RF'!$AF$5:$AQ$418</definedName>
    <definedName name="_xlnm._FilterDatabase" localSheetId="1" hidden="1">'INVENTARIO RF-MAR'!$B$1:$H$4</definedName>
    <definedName name="_xlnm._FilterDatabase" localSheetId="10" hidden="1">NOTAS!$B$139:$R$218</definedName>
    <definedName name="_Hlk130801509" localSheetId="10">NOTAS!#REF!</definedName>
    <definedName name="_Hlk130802375" localSheetId="10">NOTAS!#REF!</definedName>
    <definedName name="_Hlk130808666" localSheetId="10">NOTAS!#REF!</definedName>
    <definedName name="_Hlk130841971" localSheetId="10">NOTAS!#REF!</definedName>
    <definedName name="_Key1" localSheetId="9" hidden="1">#REF!</definedName>
    <definedName name="_Key1" hidden="1">#REF!</definedName>
    <definedName name="_Key2" localSheetId="9" hidden="1">#REF!</definedName>
    <definedName name="_Key2" hidden="1">#REF!</definedName>
    <definedName name="_Order1" hidden="1">255</definedName>
    <definedName name="_Order2" hidden="1">255</definedName>
    <definedName name="_Parse_In" localSheetId="9" hidden="1">#REF!</definedName>
    <definedName name="_Parse_In" hidden="1">#REF!</definedName>
    <definedName name="_Parse_Out" localSheetId="9" hidden="1">#REF!</definedName>
    <definedName name="_Parse_Out" hidden="1">#REF!</definedName>
    <definedName name="_RSE1">#REF!</definedName>
    <definedName name="_RSE2">#REF!</definedName>
    <definedName name="_TPy530231">#REF!</definedName>
    <definedName name="a" localSheetId="3" hidden="1">{#N/A,#N/A,FALSE,"Aging Summary";#N/A,#N/A,FALSE,"Ratio Analysis";#N/A,#N/A,FALSE,"Test 120 Day Accts";#N/A,#N/A,FALSE,"Tickmarks"}</definedName>
    <definedName name="a" localSheetId="7" hidden="1">{#N/A,#N/A,FALSE,"Aging Summary";#N/A,#N/A,FALSE,"Ratio Analysis";#N/A,#N/A,FALSE,"Test 120 Day Accts";#N/A,#N/A,FALSE,"Tickmarks"}</definedName>
    <definedName name="a" localSheetId="8" hidden="1">{#N/A,#N/A,FALSE,"Aging Summary";#N/A,#N/A,FALSE,"Ratio Analysis";#N/A,#N/A,FALSE,"Test 120 Day Accts";#N/A,#N/A,FALSE,"Tickmarks"}</definedName>
    <definedName name="a" localSheetId="10" hidden="1">{#N/A,#N/A,FALSE,"Aging Summary";#N/A,#N/A,FALSE,"Ratio Analysis";#N/A,#N/A,FALSE,"Test 120 Day Accts";#N/A,#N/A,FALSE,"Tickmarks"}</definedName>
    <definedName name="A" localSheetId="9">#REF!</definedName>
    <definedName name="a" hidden="1">{#N/A,#N/A,FALSE,"Aging Summary";#N/A,#N/A,FALSE,"Ratio Analysis";#N/A,#N/A,FALSE,"Test 120 Day Accts";#N/A,#N/A,FALSE,"Tickmarks"}</definedName>
    <definedName name="A_impresión_IM" localSheetId="9">#REF!</definedName>
    <definedName name="A_impresión_IM">#REF!</definedName>
    <definedName name="aakdkadk" hidden="1">#REF!</definedName>
    <definedName name="Acceso_Ganado">#REF!</definedName>
    <definedName name="acctascomb">#REF!</definedName>
    <definedName name="acctashold1">#REF!</definedName>
    <definedName name="acctashold2">#REF!</definedName>
    <definedName name="acctasnorte">#REF!</definedName>
    <definedName name="acctassur">#REF!</definedName>
    <definedName name="ADV_PROM" localSheetId="9">#REF!</definedName>
    <definedName name="ADV_PROM">#REF!</definedName>
    <definedName name="APSUMMARY">#REF!</definedName>
    <definedName name="AR_Balance">#REF!</definedName>
    <definedName name="ARA_Threshold">#REF!</definedName>
    <definedName name="_xlnm.Print_Area" localSheetId="6">'ACTIVO NETO'!$A$5:$AA$41</definedName>
    <definedName name="_xlnm.Print_Area" localSheetId="7">'ESTADO DE INGRESOS Y EGRESOS'!$A$5:$F$5</definedName>
    <definedName name="_xlnm.Print_Area" localSheetId="8">'FLUJO DE EFECTIVO'!#REF!</definedName>
    <definedName name="_xlnm.Print_Area" localSheetId="10">NOTAS!$A$7:$L$96</definedName>
    <definedName name="_xlnm.Print_Area" localSheetId="9">'VARIACION DEL ACTIVO NETO'!#REF!</definedName>
    <definedName name="Area_de_impresión2" localSheetId="10">#REF!</definedName>
    <definedName name="Area_de_impresión2" localSheetId="9">#REF!</definedName>
    <definedName name="Area_de_impresión2">#REF!</definedName>
    <definedName name="Area_de_impresión3" localSheetId="9">#REF!</definedName>
    <definedName name="Area_de_impresión3">#REF!</definedName>
    <definedName name="ARGENTINA" localSheetId="9">#REF!</definedName>
    <definedName name="ARGENTINA">#REF!</definedName>
    <definedName name="ARP_Threshold">#REF!</definedName>
    <definedName name="Array">#REF!</definedName>
    <definedName name="AS2DocOpenMode" hidden="1">"AS2DocumentEdit"</definedName>
    <definedName name="AS2HasNoAutoHeaderFooter" hidden="1">" "</definedName>
    <definedName name="AS2ReportLS" hidden="1">1</definedName>
    <definedName name="AS2StaticLS" localSheetId="9" hidden="1">#REF!</definedName>
    <definedName name="AS2StaticLS" hidden="1">#REF!</definedName>
    <definedName name="AS2SyncStepLS" hidden="1">0</definedName>
    <definedName name="AS2TickmarkLS" localSheetId="9" hidden="1">#REF!</definedName>
    <definedName name="AS2TickmarkLS" hidden="1">#REF!</definedName>
    <definedName name="AS2VersionLS" hidden="1">300</definedName>
    <definedName name="assssssssssssssssssssssssssssssssssssssssss" hidden="1">#REF!</definedName>
    <definedName name="B" localSheetId="9">#REF!</definedName>
    <definedName name="B">#REF!</definedName>
    <definedName name="_xlnm.Database" localSheetId="9">#REF!</definedName>
    <definedName name="_xlnm.Database">#REF!</definedName>
    <definedName name="basemeta" localSheetId="9">#REF!</definedName>
    <definedName name="basemeta">#REF!</definedName>
    <definedName name="basenueva" localSheetId="9">#REF!</definedName>
    <definedName name="basenueva">#REF!</definedName>
    <definedName name="BB">#REF!</definedName>
    <definedName name="BCDE" localSheetId="3" hidden="1">{#N/A,#N/A,FALSE,"Aging Summary";#N/A,#N/A,FALSE,"Ratio Analysis";#N/A,#N/A,FALSE,"Test 120 Day Accts";#N/A,#N/A,FALSE,"Tickmarks"}</definedName>
    <definedName name="BCDE" localSheetId="7" hidden="1">{#N/A,#N/A,FALSE,"Aging Summary";#N/A,#N/A,FALSE,"Ratio Analysis";#N/A,#N/A,FALSE,"Test 120 Day Accts";#N/A,#N/A,FALSE,"Tickmarks"}</definedName>
    <definedName name="BCDE" localSheetId="8" hidden="1">{#N/A,#N/A,FALSE,"Aging Summary";#N/A,#N/A,FALSE,"Ratio Analysis";#N/A,#N/A,FALSE,"Test 120 Day Accts";#N/A,#N/A,FALSE,"Tickmarks"}</definedName>
    <definedName name="BCDE" localSheetId="10" hidden="1">{#N/A,#N/A,FALSE,"Aging Summary";#N/A,#N/A,FALSE,"Ratio Analysis";#N/A,#N/A,FALSE,"Test 120 Day Accts";#N/A,#N/A,FALSE,"Tickmarks"}</definedName>
    <definedName name="BCDE" localSheetId="9" hidden="1">{#N/A,#N/A,FALSE,"Aging Summary";#N/A,#N/A,FALSE,"Ratio Analysis";#N/A,#N/A,FALSE,"Test 120 Day Accts";#N/A,#N/A,FALSE,"Tickmarks"}</definedName>
    <definedName name="BCDE" hidden="1">{#N/A,#N/A,FALSE,"Aging Summary";#N/A,#N/A,FALSE,"Ratio Analysis";#N/A,#N/A,FALSE,"Test 120 Day Accts";#N/A,#N/A,FALSE,"Tickmarks"}</definedName>
    <definedName name="BG_Del" hidden="1">15</definedName>
    <definedName name="BG_Ins" hidden="1">4</definedName>
    <definedName name="BG_Mod" hidden="1">6</definedName>
    <definedName name="BIHSIEJFIUDHFSKFVHJSF" hidden="1">#REF!</definedName>
    <definedName name="bjhgugydrfshdxhcfi" hidden="1">#REF!</definedName>
    <definedName name="BRASIL" localSheetId="9">#REF!</definedName>
    <definedName name="BRASIL">#REF!</definedName>
    <definedName name="bsusocomb1">#REF!</definedName>
    <definedName name="bsusonorte1">#REF!</definedName>
    <definedName name="bsusosur1">#REF!</definedName>
    <definedName name="BuiltIn_Print_Area" localSheetId="9">#REF!</definedName>
    <definedName name="BuiltIn_Print_Area">#REF!</definedName>
    <definedName name="BuiltIn_Print_Area___0___0___0___0___0" localSheetId="9">#REF!</definedName>
    <definedName name="BuiltIn_Print_Area___0___0___0___0___0">#REF!</definedName>
    <definedName name="BuiltIn_Print_Area___0___0___0___0___0___0___0___0" localSheetId="9">#REF!</definedName>
    <definedName name="BuiltIn_Print_Area___0___0___0___0___0___0___0___0">#REF!</definedName>
    <definedName name="canal" localSheetId="9">#REF!</definedName>
    <definedName name="canal">#REF!</definedName>
    <definedName name="Capitali">#REF!</definedName>
    <definedName name="CC" localSheetId="9">#REF!</definedName>
    <definedName name="CC">#REF!</definedName>
    <definedName name="cdrogtos">#REF!</definedName>
    <definedName name="cdrogtoscomb">#REF!</definedName>
    <definedName name="cdrogtoshold">#REF!</definedName>
    <definedName name="CdroGtosHYP">#REF!</definedName>
    <definedName name="cdrogtosnorte">#REF!</definedName>
    <definedName name="CdroGtosSAP">#REF!</definedName>
    <definedName name="cdrogtossur">#REF!</definedName>
    <definedName name="chart1" localSheetId="9">#REF!</definedName>
    <definedName name="chart1">#REF!</definedName>
    <definedName name="cliente" localSheetId="9">#REF!</definedName>
    <definedName name="cliente">#REF!</definedName>
    <definedName name="cliente2" localSheetId="9">#REF!</definedName>
    <definedName name="cliente2">#REF!</definedName>
    <definedName name="Clientes" localSheetId="9">#REF!</definedName>
    <definedName name="Clientes">#REF!</definedName>
    <definedName name="Clients_Population_Total" localSheetId="9">#REF!</definedName>
    <definedName name="Clients_Population_Total">#REF!</definedName>
    <definedName name="cndsuuuuuuuuuuuuuuuuuuuuuuuuuuuuuuuuuuuuuuuuuuuuuuuuuuuuu" hidden="1">#REF!</definedName>
    <definedName name="co" localSheetId="9">#REF!</definedName>
    <definedName name="co">#REF!</definedName>
    <definedName name="COMPAÑIAS" localSheetId="9">#REF!</definedName>
    <definedName name="COMPAÑIAS">#REF!</definedName>
    <definedName name="Compilacion">#REF!</definedName>
    <definedName name="complacu" localSheetId="9">#REF!</definedName>
    <definedName name="complacu">#REF!</definedName>
    <definedName name="complemes" localSheetId="9">#REF!</definedName>
    <definedName name="complemes">#REF!</definedName>
    <definedName name="Computed_Sample_Population_Total" localSheetId="9">#REF!</definedName>
    <definedName name="Computed_Sample_Population_Total">#REF!</definedName>
    <definedName name="COST_MP" localSheetId="9">#REF!</definedName>
    <definedName name="COST_MP">#REF!</definedName>
    <definedName name="crin0010">#REF!</definedName>
    <definedName name="Customer">#REF!</definedName>
    <definedName name="customerld">#REF!</definedName>
    <definedName name="CustomerPCS">#REF!</definedName>
    <definedName name="CY_Accounts_Receivable" localSheetId="9">#REF!</definedName>
    <definedName name="CY_Administration" localSheetId="9">#REF!</definedName>
    <definedName name="CY_Administration">#REF!</definedName>
    <definedName name="CY_Cash" localSheetId="9">#REF!</definedName>
    <definedName name="CY_Cash_Div_Dec" localSheetId="9">#REF!</definedName>
    <definedName name="CY_CASH_DIVIDENDS_DECLARED__per_common_share" localSheetId="9">#REF!</definedName>
    <definedName name="CY_Common_Equity" localSheetId="9">#REF!</definedName>
    <definedName name="CY_Cost_of_Sales" localSheetId="9">#REF!</definedName>
    <definedName name="CY_Current_Liabilities" localSheetId="9">#REF!</definedName>
    <definedName name="CY_Depreciation" localSheetId="9">#REF!</definedName>
    <definedName name="CY_Disc._Ops." localSheetId="9">#REF!</definedName>
    <definedName name="CY_Disc_mnth">#REF!</definedName>
    <definedName name="CY_Disc_pd">#REF!</definedName>
    <definedName name="CY_Discounts">#REF!</definedName>
    <definedName name="CY_Earnings_per_share" localSheetId="9">#REF!</definedName>
    <definedName name="CY_Extraord." localSheetId="9">#REF!</definedName>
    <definedName name="CY_Gross_Profit" localSheetId="9">#REF!</definedName>
    <definedName name="CY_INC_AFT_TAX" localSheetId="9">#REF!</definedName>
    <definedName name="CY_INC_BEF_EXTRAORD" localSheetId="9">#REF!</definedName>
    <definedName name="CY_Inc_Bef_Tax" localSheetId="9">#REF!</definedName>
    <definedName name="CY_Intangible_Assets" localSheetId="9">#REF!</definedName>
    <definedName name="CY_Intangible_Assets">#REF!</definedName>
    <definedName name="CY_Interest_Expense" localSheetId="9">#REF!</definedName>
    <definedName name="CY_Inventory" localSheetId="9">#REF!</definedName>
    <definedName name="CY_LIABIL_EQUITY" localSheetId="9">#REF!</definedName>
    <definedName name="CY_LIABIL_EQUITY">#REF!</definedName>
    <definedName name="CY_Long_term_Debt__excl_Dfd_Taxes" localSheetId="9">#REF!</definedName>
    <definedName name="CY_LT_Debt" localSheetId="9">#REF!</definedName>
    <definedName name="CY_Market_Value_of_Equity" localSheetId="9">#REF!</definedName>
    <definedName name="CY_Marketable_Sec" localSheetId="9">#REF!</definedName>
    <definedName name="CY_Marketable_Sec">#REF!</definedName>
    <definedName name="CY_NET_INCOME" localSheetId="9">#REF!</definedName>
    <definedName name="CY_NET_PROFIT">#REF!</definedName>
    <definedName name="CY_Net_Revenue" localSheetId="9">#REF!</definedName>
    <definedName name="CY_Operating_Income" localSheetId="9">#REF!</definedName>
    <definedName name="CY_Operating_Income">#REF!</definedName>
    <definedName name="CY_Other" localSheetId="9">#REF!</definedName>
    <definedName name="CY_Other">#REF!</definedName>
    <definedName name="CY_Other_Curr_Assets" localSheetId="9">#REF!</definedName>
    <definedName name="CY_Other_Curr_Assets">#REF!</definedName>
    <definedName name="CY_Other_LT_Assets" localSheetId="9">#REF!</definedName>
    <definedName name="CY_Other_LT_Assets">#REF!</definedName>
    <definedName name="CY_Other_LT_Liabilities" localSheetId="9">#REF!</definedName>
    <definedName name="CY_Other_LT_Liabilities">#REF!</definedName>
    <definedName name="CY_Preferred_Stock" localSheetId="9">#REF!</definedName>
    <definedName name="CY_Preferred_Stock">#REF!</definedName>
    <definedName name="CY_QUICK_ASSETS" localSheetId="9">#REF!</definedName>
    <definedName name="CY_Ret_mnth">#REF!</definedName>
    <definedName name="CY_Ret_pd">#REF!</definedName>
    <definedName name="CY_Retained_Earnings" localSheetId="9">#REF!</definedName>
    <definedName name="CY_Retained_Earnings">#REF!</definedName>
    <definedName name="CY_Returns">#REF!</definedName>
    <definedName name="CY_Selling" localSheetId="9">#REF!</definedName>
    <definedName name="CY_Selling">#REF!</definedName>
    <definedName name="CY_Tangible_Assets" localSheetId="9">#REF!</definedName>
    <definedName name="CY_Tangible_Assets">#REF!</definedName>
    <definedName name="CY_Tangible_Net_Worth" localSheetId="9">#REF!</definedName>
    <definedName name="CY_Taxes" localSheetId="9">#REF!</definedName>
    <definedName name="CY_TOTAL_ASSETS" localSheetId="9">#REF!</definedName>
    <definedName name="CY_TOTAL_CURR_ASSETS" localSheetId="9">#REF!</definedName>
    <definedName name="CY_TOTAL_DEBT" localSheetId="9">#REF!</definedName>
    <definedName name="CY_TOTAL_EQUITY" localSheetId="9">#REF!</definedName>
    <definedName name="CY_Trade_Payables" localSheetId="9">#REF!</definedName>
    <definedName name="CY_Weighted_Average" localSheetId="9">#REF!</definedName>
    <definedName name="CY_Working_Capital" localSheetId="9">#REF!</definedName>
    <definedName name="CY_Year_Income_Statement" localSheetId="9">#REF!</definedName>
    <definedName name="da" localSheetId="3" hidden="1">{#N/A,#N/A,FALSE,"Aging Summary";#N/A,#N/A,FALSE,"Ratio Analysis";#N/A,#N/A,FALSE,"Test 120 Day Accts";#N/A,#N/A,FALSE,"Tickmarks"}</definedName>
    <definedName name="da" localSheetId="7" hidden="1">{#N/A,#N/A,FALSE,"Aging Summary";#N/A,#N/A,FALSE,"Ratio Analysis";#N/A,#N/A,FALSE,"Test 120 Day Accts";#N/A,#N/A,FALSE,"Tickmarks"}</definedName>
    <definedName name="da" localSheetId="8" hidden="1">{#N/A,#N/A,FALSE,"Aging Summary";#N/A,#N/A,FALSE,"Ratio Analysis";#N/A,#N/A,FALSE,"Test 120 Day Accts";#N/A,#N/A,FALSE,"Tickmarks"}</definedName>
    <definedName name="da" localSheetId="10" hidden="1">{#N/A,#N/A,FALSE,"Aging Summary";#N/A,#N/A,FALSE,"Ratio Analysis";#N/A,#N/A,FALSE,"Test 120 Day Accts";#N/A,#N/A,FALSE,"Tickmarks"}</definedName>
    <definedName name="da" localSheetId="9" hidden="1">{#N/A,#N/A,FALSE,"Aging Summary";#N/A,#N/A,FALSE,"Ratio Analysis";#N/A,#N/A,FALSE,"Test 120 Day Accts";#N/A,#N/A,FALSE,"Tickmarks"}</definedName>
    <definedName name="da" hidden="1">{#N/A,#N/A,FALSE,"Aging Summary";#N/A,#N/A,FALSE,"Ratio Analysis";#N/A,#N/A,FALSE,"Test 120 Day Accts";#N/A,#N/A,FALSE,"Tickmarks"}</definedName>
    <definedName name="DAFDFAD" localSheetId="3" hidden="1">{#N/A,#N/A,FALSE,"VOL"}</definedName>
    <definedName name="DAFDFAD" localSheetId="7" hidden="1">{#N/A,#N/A,FALSE,"VOL"}</definedName>
    <definedName name="DAFDFAD" localSheetId="8" hidden="1">{#N/A,#N/A,FALSE,"VOL"}</definedName>
    <definedName name="DAFDFAD" localSheetId="10" hidden="1">{#N/A,#N/A,FALSE,"VOL"}</definedName>
    <definedName name="DAFDFAD" localSheetId="9" hidden="1">{#N/A,#N/A,FALSE,"VOL"}</definedName>
    <definedName name="DAFDFAD" hidden="1">{#N/A,#N/A,FALSE,"VOL"}</definedName>
    <definedName name="DASA" localSheetId="9">#REF!</definedName>
    <definedName name="DASA">#REF!</definedName>
    <definedName name="data" localSheetId="9">#REF!</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os" localSheetId="9">#REF!</definedName>
    <definedName name="datos">#REF!</definedName>
    <definedName name="Definición">#REF!</definedName>
    <definedName name="desc" localSheetId="9">#REF!</definedName>
    <definedName name="desc">#REF!</definedName>
    <definedName name="detaacu" localSheetId="9">#REF!</definedName>
    <definedName name="detaacu">#REF!</definedName>
    <definedName name="detames" localSheetId="9">#REF!</definedName>
    <definedName name="detames">#REF!</definedName>
    <definedName name="dgh">#REF!</definedName>
    <definedName name="Diferencias_de_redondeo">#REF!</definedName>
    <definedName name="Disagg_AR_Balance">#REF!</definedName>
    <definedName name="Disaggregations_SRD">#REF!</definedName>
    <definedName name="Disc_Allowance">#REF!</definedName>
    <definedName name="Dist" localSheetId="9">#REF!</definedName>
    <definedName name="Dist">#REF!</definedName>
    <definedName name="distribuidores" localSheetId="9">#REF!</definedName>
    <definedName name="distribuidores">#REF!</definedName>
    <definedName name="Dollar_Threshold" localSheetId="9">#REF!</definedName>
    <definedName name="Dollar_Threshold">#REF!</definedName>
    <definedName name="dtt" hidden="1">#REF!</definedName>
    <definedName name="Edesa" localSheetId="9">#REF!</definedName>
    <definedName name="Edesa">#REF!</definedName>
    <definedName name="Enriputo" localSheetId="9">#REF!</definedName>
    <definedName name="Enriputo">#REF!</definedName>
    <definedName name="eoafh">#REF!</definedName>
    <definedName name="eoafn">#REF!</definedName>
    <definedName name="eoafs">#REF!</definedName>
    <definedName name="est" localSheetId="9">#REF!</definedName>
    <definedName name="est">#REF!</definedName>
    <definedName name="ESTBF" localSheetId="9">#REF!</definedName>
    <definedName name="ESTBF">#REF!</definedName>
    <definedName name="ESTIMADO" localSheetId="9">#REF!</definedName>
    <definedName name="ESTIMADO">#REF!</definedName>
    <definedName name="EV__LASTREFTIME__" hidden="1">38972.3597337963</definedName>
    <definedName name="EX" localSheetId="9">#REF!</definedName>
    <definedName name="EX">#REF!</definedName>
    <definedName name="Excel_BuiltIn__FilterDatabase_1_1">#REF!</definedName>
    <definedName name="Excel_BuiltIn_Print_Area_6_1_1_1">"$'OMNI 2007'.$#REF!$#REF!:$#REF!$#REF!"</definedName>
    <definedName name="fdg">#REF!</definedName>
    <definedName name="fds">#REF!</definedName>
    <definedName name="ffffff" hidden="1">"AS2DocumentBrowse"</definedName>
    <definedName name="fgg">#REF!</definedName>
    <definedName name="fnjrjkkkkkkkkkkkkkkkk" hidden="1">#REF!</definedName>
    <definedName name="GA">#REF!</definedName>
    <definedName name="gald">#REF!</definedName>
    <definedName name="GAPCS">#REF!</definedName>
    <definedName name="GASTOS" localSheetId="9">#REF!</definedName>
    <definedName name="GASTOS">#REF!</definedName>
    <definedName name="grandes3">#REF!</definedName>
    <definedName name="histor" localSheetId="9">#REF!</definedName>
    <definedName name="histor">#REF!</definedName>
    <definedName name="hjkhjficjnkdhfoikds" hidden="1">#REF!</definedName>
    <definedName name="Hola">#REF!</definedName>
    <definedName name="in" hidden="1">#REF!</definedName>
    <definedName name="INT">#REF!</definedName>
    <definedName name="intangcomb">#REF!</definedName>
    <definedName name="intanghold">#REF!</definedName>
    <definedName name="intangnorte">#REF!</definedName>
    <definedName name="intangsur">#REF!</definedName>
    <definedName name="Interval" localSheetId="9">#REF!</definedName>
    <definedName name="Interval">#REF!</definedName>
    <definedName name="jhhj" hidden="1">#REF!</definedName>
    <definedName name="jjee">#REF!</definedName>
    <definedName name="jkkj" hidden="1">#REF!</definedName>
    <definedName name="junio">#REF!</definedName>
    <definedName name="JYGJHSDSJDFD" hidden="1">#REF!</definedName>
    <definedName name="K2_WBEVMODE" hidden="1">-1</definedName>
    <definedName name="kdkdk">#REF!</definedName>
    <definedName name="kfdg">#REF!</definedName>
    <definedName name="kfg">#REF!</definedName>
    <definedName name="Leadsheet">#REF!</definedName>
    <definedName name="liq" localSheetId="3" hidden="1">{#N/A,#N/A,FALSE,"VOL"}</definedName>
    <definedName name="liq" localSheetId="7" hidden="1">{#N/A,#N/A,FALSE,"VOL"}</definedName>
    <definedName name="liq" localSheetId="8" hidden="1">{#N/A,#N/A,FALSE,"VOL"}</definedName>
    <definedName name="liq" localSheetId="10" hidden="1">{#N/A,#N/A,FALSE,"VOL"}</definedName>
    <definedName name="liq" localSheetId="9" hidden="1">{#N/A,#N/A,FALSE,"VOL"}</definedName>
    <definedName name="liq" hidden="1">{#N/A,#N/A,FALSE,"VOL"}</definedName>
    <definedName name="listasuper" localSheetId="9">#REF!</definedName>
    <definedName name="listasuper">#REF!</definedName>
    <definedName name="Maintenance">#REF!</definedName>
    <definedName name="maintenanceld">#REF!</definedName>
    <definedName name="MaintenancePCS">#REF!</definedName>
    <definedName name="marca" localSheetId="9">#REF!</definedName>
    <definedName name="marca">#REF!</definedName>
    <definedName name="Marcas" localSheetId="9">#REF!</definedName>
    <definedName name="Marcas">#REF!</definedName>
    <definedName name="Minimis">#REF!</definedName>
    <definedName name="MKT">#REF!</definedName>
    <definedName name="mktld">#REF!</definedName>
    <definedName name="MKTPCS">#REF!</definedName>
    <definedName name="MP" localSheetId="9">#REF!</definedName>
    <definedName name="MP">#REF!</definedName>
    <definedName name="MP_AR_Balance">#REF!</definedName>
    <definedName name="MP_SRD">#REF!</definedName>
    <definedName name="Muestrini" hidden="1">3</definedName>
    <definedName name="ncjdbjfkw" hidden="1">#REF!</definedName>
    <definedName name="NDJFDOVFD" hidden="1">#REF!</definedName>
    <definedName name="Networ">#REF!</definedName>
    <definedName name="Network">#REF!</definedName>
    <definedName name="networkld">#REF!</definedName>
    <definedName name="NetworkPCS">#REF!</definedName>
    <definedName name="new" localSheetId="3" hidden="1">{#N/A,#N/A,FALSE,"Aging Summary";#N/A,#N/A,FALSE,"Ratio Analysis";#N/A,#N/A,FALSE,"Test 120 Day Accts";#N/A,#N/A,FALSE,"Tickmarks"}</definedName>
    <definedName name="new" localSheetId="7" hidden="1">{#N/A,#N/A,FALSE,"Aging Summary";#N/A,#N/A,FALSE,"Ratio Analysis";#N/A,#N/A,FALSE,"Test 120 Day Accts";#N/A,#N/A,FALSE,"Tickmarks"}</definedName>
    <definedName name="new" localSheetId="8" hidden="1">{#N/A,#N/A,FALSE,"Aging Summary";#N/A,#N/A,FALSE,"Ratio Analysis";#N/A,#N/A,FALSE,"Test 120 Day Accts";#N/A,#N/A,FALSE,"Tickmarks"}</definedName>
    <definedName name="new" localSheetId="10" hidden="1">{#N/A,#N/A,FALSE,"Aging Summary";#N/A,#N/A,FALSE,"Ratio Analysis";#N/A,#N/A,FALSE,"Test 120 Day Accts";#N/A,#N/A,FALSE,"Tickmarks"}</definedName>
    <definedName name="new" localSheetId="9" hidden="1">{#N/A,#N/A,FALSE,"Aging Summary";#N/A,#N/A,FALSE,"Ratio Analysis";#N/A,#N/A,FALSE,"Test 120 Day Accts";#N/A,#N/A,FALSE,"Tickmarks"}</definedName>
    <definedName name="new" hidden="1">{#N/A,#N/A,FALSE,"Aging Summary";#N/A,#N/A,FALSE,"Ratio Analysis";#N/A,#N/A,FALSE,"Test 120 Day Accts";#N/A,#N/A,FALSE,"Tickmarks"}</definedName>
    <definedName name="ngughuiyhuhhhhhhhhhhhhhhhhhh" localSheetId="10" hidden="1">#REF!</definedName>
    <definedName name="ngughuiyhuhhhhhhhhhhhhhhhhhh" hidden="1">#REF!</definedName>
    <definedName name="njkhoikh" localSheetId="10" hidden="1">#REF!</definedName>
    <definedName name="njkhoikh" hidden="1">#REF!</definedName>
    <definedName name="nmm" localSheetId="3" hidden="1">{#N/A,#N/A,FALSE,"VOL"}</definedName>
    <definedName name="nmm" localSheetId="7" hidden="1">{#N/A,#N/A,FALSE,"VOL"}</definedName>
    <definedName name="nmm" localSheetId="8" hidden="1">{#N/A,#N/A,FALSE,"VOL"}</definedName>
    <definedName name="nmm" localSheetId="10" hidden="1">{#N/A,#N/A,FALSE,"VOL"}</definedName>
    <definedName name="nmm" localSheetId="9" hidden="1">{#N/A,#N/A,FALSE,"VOL"}</definedName>
    <definedName name="nmm" hidden="1">{#N/A,#N/A,FALSE,"VOL"}</definedName>
    <definedName name="NO" localSheetId="3" hidden="1">{#N/A,#N/A,FALSE,"VOL"}</definedName>
    <definedName name="NO" localSheetId="7" hidden="1">{#N/A,#N/A,FALSE,"VOL"}</definedName>
    <definedName name="NO" localSheetId="8" hidden="1">{#N/A,#N/A,FALSE,"VOL"}</definedName>
    <definedName name="NO" localSheetId="10" hidden="1">{#N/A,#N/A,FALSE,"VOL"}</definedName>
    <definedName name="NO" localSheetId="9" hidden="1">{#N/A,#N/A,FALSE,"VOL"}</definedName>
    <definedName name="NO" hidden="1">{#N/A,#N/A,FALSE,"VOL"}</definedName>
    <definedName name="NonTop_Stratum_Value" localSheetId="9">#REF!</definedName>
    <definedName name="NonTop_Stratum_Value">#REF!</definedName>
    <definedName name="Number_of_Selections">#REF!</definedName>
    <definedName name="Numof_Selections2">#REF!</definedName>
    <definedName name="ñfdsl" localSheetId="10">#REF!</definedName>
    <definedName name="ñfdsl">#REF!</definedName>
    <definedName name="ññ" localSheetId="10">#REF!</definedName>
    <definedName name="ññ">#REF!</definedName>
    <definedName name="OPPROD" localSheetId="10">#REF!</definedName>
    <definedName name="OPPROD" localSheetId="9">#REF!</definedName>
    <definedName name="OPPROD">#REF!</definedName>
    <definedName name="opt" localSheetId="10">#REF!</definedName>
    <definedName name="opt">#REF!</definedName>
    <definedName name="optr">#REF!</definedName>
    <definedName name="Others">#REF!</definedName>
    <definedName name="othersld">#REF!</definedName>
    <definedName name="OthersPCS">#REF!</definedName>
    <definedName name="PARAGUAY" localSheetId="9">#REF!</definedName>
    <definedName name="PARAGUAY">#REF!</definedName>
    <definedName name="participa" localSheetId="9">#REF!</definedName>
    <definedName name="participa">#REF!</definedName>
    <definedName name="Partidas_seleccionadas_test_de_">#REF!</definedName>
    <definedName name="Partidas_Selecionadas">#REF!</definedName>
    <definedName name="Percent_Threshold" localSheetId="9">#REF!</definedName>
    <definedName name="Percent_Threshold">#REF!</definedName>
    <definedName name="PL_Dollar_Threshold" localSheetId="9">#REF!</definedName>
    <definedName name="PL_Dollar_Threshold">#REF!</definedName>
    <definedName name="PL_Percent_Threshold" localSheetId="9">#REF!</definedName>
    <definedName name="PL_Percent_Threshold">#REF!</definedName>
    <definedName name="pmoslpcomb1">#REF!</definedName>
    <definedName name="pmoslpcomb2">#REF!</definedName>
    <definedName name="pmoslpnorte1">#REF!</definedName>
    <definedName name="pmoslpnorte2">#REF!</definedName>
    <definedName name="pmoslpsur1">#REF!</definedName>
    <definedName name="pmoslpsur2">#REF!</definedName>
    <definedName name="POLYAR" localSheetId="9">#REF!</definedName>
    <definedName name="POLYAR">#REF!</definedName>
    <definedName name="potir">#REF!</definedName>
    <definedName name="ppc" localSheetId="9">#REF!</definedName>
    <definedName name="ppc">#REF!</definedName>
    <definedName name="pr" localSheetId="9">#REF!</definedName>
    <definedName name="pr">#REF!</definedName>
    <definedName name="previs">#REF!</definedName>
    <definedName name="PS_Test_de_Gastos" localSheetId="10">#REF!</definedName>
    <definedName name="PS_Test_de_Gastos">#REF!</definedName>
    <definedName name="PY_Accounts_Receivable" localSheetId="9">#REF!</definedName>
    <definedName name="PY_Administration" localSheetId="9">#REF!</definedName>
    <definedName name="PY_Administration">#REF!</definedName>
    <definedName name="PY_Cash" localSheetId="9">#REF!</definedName>
    <definedName name="PY_Cash_Div_Dec" localSheetId="9">#REF!</definedName>
    <definedName name="PY_CASH_DIVIDENDS_DECLARED__per_common_share" localSheetId="9">#REF!</definedName>
    <definedName name="PY_Common_Equity" localSheetId="9">#REF!</definedName>
    <definedName name="PY_Cost_of_Sales" localSheetId="9">#REF!</definedName>
    <definedName name="PY_Current_Liabilities" localSheetId="9">#REF!</definedName>
    <definedName name="PY_Depreciation" localSheetId="9">#REF!</definedName>
    <definedName name="PY_Disc._Ops." localSheetId="9">#REF!</definedName>
    <definedName name="PY_Disc_allow">#REF!</definedName>
    <definedName name="PY_Disc_mnth">#REF!</definedName>
    <definedName name="PY_Disc_pd">#REF!</definedName>
    <definedName name="PY_Discounts">#REF!</definedName>
    <definedName name="PY_Earnings_per_share" localSheetId="9">#REF!</definedName>
    <definedName name="PY_Extraord." localSheetId="9">#REF!</definedName>
    <definedName name="PY_Gross_Profit" localSheetId="9">#REF!</definedName>
    <definedName name="PY_INC_AFT_TAX" localSheetId="9">#REF!</definedName>
    <definedName name="PY_INC_BEF_EXTRAORD" localSheetId="9">#REF!</definedName>
    <definedName name="PY_Inc_Bef_Tax" localSheetId="9">#REF!</definedName>
    <definedName name="PY_Intangible_Assets" localSheetId="9">#REF!</definedName>
    <definedName name="PY_Intangible_Assets">#REF!</definedName>
    <definedName name="PY_Interest_Expense" localSheetId="9">#REF!</definedName>
    <definedName name="PY_Inventory" localSheetId="9">#REF!</definedName>
    <definedName name="PY_LIABIL_EQUITY" localSheetId="9">#REF!</definedName>
    <definedName name="PY_LIABIL_EQUITY">#REF!</definedName>
    <definedName name="PY_Long_term_Debt__excl_Dfd_Taxes" localSheetId="9">#REF!</definedName>
    <definedName name="PY_LT_Debt" localSheetId="9">#REF!</definedName>
    <definedName name="PY_Market_Value_of_Equity" localSheetId="9">#REF!</definedName>
    <definedName name="PY_Marketable_Sec" localSheetId="9">#REF!</definedName>
    <definedName name="PY_Marketable_Sec">#REF!</definedName>
    <definedName name="PY_NET_INCOME" localSheetId="9">#REF!</definedName>
    <definedName name="PY_NET_PROFIT">#REF!</definedName>
    <definedName name="PY_Net_Revenue" localSheetId="9">#REF!</definedName>
    <definedName name="PY_Operating_Inc" localSheetId="9">#REF!</definedName>
    <definedName name="PY_Operating_Inc">#REF!</definedName>
    <definedName name="PY_Operating_Income" localSheetId="9">#REF!</definedName>
    <definedName name="PY_Operating_Income">#REF!</definedName>
    <definedName name="PY_Other_Curr_Assets" localSheetId="9">#REF!</definedName>
    <definedName name="PY_Other_Curr_Assets">#REF!</definedName>
    <definedName name="PY_Other_Exp" localSheetId="9">#REF!</definedName>
    <definedName name="PY_Other_Exp">#REF!</definedName>
    <definedName name="PY_Other_LT_Assets" localSheetId="9">#REF!</definedName>
    <definedName name="PY_Other_LT_Assets">#REF!</definedName>
    <definedName name="PY_Other_LT_Liabilities" localSheetId="9">#REF!</definedName>
    <definedName name="PY_Other_LT_Liabilities">#REF!</definedName>
    <definedName name="PY_Preferred_Stock" localSheetId="9">#REF!</definedName>
    <definedName name="PY_Preferred_Stock">#REF!</definedName>
    <definedName name="PY_QUICK_ASSETS" localSheetId="9">#REF!</definedName>
    <definedName name="PY_Ret_allow">#REF!</definedName>
    <definedName name="PY_Ret_mnth">#REF!</definedName>
    <definedName name="PY_Ret_pd">#REF!</definedName>
    <definedName name="PY_Retained_Earnings" localSheetId="9">#REF!</definedName>
    <definedName name="PY_Retained_Earnings">#REF!</definedName>
    <definedName name="PY_Returns">#REF!</definedName>
    <definedName name="PY_Selling" localSheetId="9">#REF!</definedName>
    <definedName name="PY_Selling">#REF!</definedName>
    <definedName name="PY_Tangible_Assets" localSheetId="9">#REF!</definedName>
    <definedName name="PY_Tangible_Assets">#REF!</definedName>
    <definedName name="PY_Tangible_Net_Worth" localSheetId="9">#REF!</definedName>
    <definedName name="PY_Taxes" localSheetId="9">#REF!</definedName>
    <definedName name="PY_TOTAL_ASSETS" localSheetId="9">#REF!</definedName>
    <definedName name="PY_TOTAL_CURR_ASSETS" localSheetId="9">#REF!</definedName>
    <definedName name="PY_TOTAL_DEBT" localSheetId="9">#REF!</definedName>
    <definedName name="PY_TOTAL_EQUITY" localSheetId="9">#REF!</definedName>
    <definedName name="PY_Trade_Payables" localSheetId="9">#REF!</definedName>
    <definedName name="PY_Weighted_Average" localSheetId="9">#REF!</definedName>
    <definedName name="PY_Working_Capital" localSheetId="9">#REF!</definedName>
    <definedName name="PY_Year_Income_Statement" localSheetId="9">#REF!</definedName>
    <definedName name="PY2_Accounts_Receivable" localSheetId="9">#REF!</definedName>
    <definedName name="PY2_Administration" localSheetId="9">#REF!</definedName>
    <definedName name="PY2_Cash" localSheetId="9">#REF!</definedName>
    <definedName name="PY2_Cash_Div_Dec" localSheetId="9">#REF!</definedName>
    <definedName name="PY2_CASH_DIVIDENDS_DECLARED__per_common_share" localSheetId="9">#REF!</definedName>
    <definedName name="PY2_Common_Equity" localSheetId="9">#REF!</definedName>
    <definedName name="PY2_Cost_of_Sales" localSheetId="9">#REF!</definedName>
    <definedName name="PY2_Current_Liabilities" localSheetId="9">#REF!</definedName>
    <definedName name="PY2_Depreciation" localSheetId="9">#REF!</definedName>
    <definedName name="PY2_Disc._Ops." localSheetId="9">#REF!</definedName>
    <definedName name="PY2_Earnings_per_share" localSheetId="9">#REF!</definedName>
    <definedName name="PY2_Extraord." localSheetId="9">#REF!</definedName>
    <definedName name="PY2_Gross_Profit" localSheetId="9">#REF!</definedName>
    <definedName name="PY2_INC_AFT_TAX" localSheetId="9">#REF!</definedName>
    <definedName name="PY2_INC_BEF_EXTRAORD" localSheetId="9">#REF!</definedName>
    <definedName name="PY2_Inc_Bef_Tax" localSheetId="9">#REF!</definedName>
    <definedName name="PY2_Intangible_Assets" localSheetId="9">#REF!</definedName>
    <definedName name="PY2_Interest_Expense" localSheetId="9">#REF!</definedName>
    <definedName name="PY2_Inventory" localSheetId="9">#REF!</definedName>
    <definedName name="PY2_LIABIL_EQUITY" localSheetId="9">#REF!</definedName>
    <definedName name="PY2_Long_term_Debt__excl_Dfd_Taxes" localSheetId="9">#REF!</definedName>
    <definedName name="PY2_LT_Debt" localSheetId="9">#REF!</definedName>
    <definedName name="PY2_Market_Value_of_Equity" localSheetId="9">#REF!</definedName>
    <definedName name="PY2_Marketable_Sec" localSheetId="9">#REF!</definedName>
    <definedName name="PY2_NET_INCOME" localSheetId="9">#REF!</definedName>
    <definedName name="PY2_Net_Revenue" localSheetId="9">#REF!</definedName>
    <definedName name="PY2_Operating_Inc" localSheetId="9">#REF!</definedName>
    <definedName name="PY2_Operating_Income" localSheetId="9">#REF!</definedName>
    <definedName name="PY2_Other_Curr_Assets" localSheetId="9">#REF!</definedName>
    <definedName name="PY2_Other_Exp." localSheetId="9">#REF!</definedName>
    <definedName name="PY2_Other_LT_Assets" localSheetId="9">#REF!</definedName>
    <definedName name="PY2_Other_LT_Liabilities" localSheetId="9">#REF!</definedName>
    <definedName name="PY2_Preferred_Stock" localSheetId="9">#REF!</definedName>
    <definedName name="PY2_QUICK_ASSETS" localSheetId="9">#REF!</definedName>
    <definedName name="PY2_Retained_Earnings" localSheetId="9">#REF!</definedName>
    <definedName name="PY2_Selling" localSheetId="9">#REF!</definedName>
    <definedName name="PY2_Tangible_Assets" localSheetId="9">#REF!</definedName>
    <definedName name="PY2_Tangible_Net_Worth" localSheetId="9">#REF!</definedName>
    <definedName name="PY2_Taxes" localSheetId="9">#REF!</definedName>
    <definedName name="PY2_TOTAL_ASSETS" localSheetId="9">#REF!</definedName>
    <definedName name="PY2_TOTAL_CURR_ASSETS" localSheetId="9">#REF!</definedName>
    <definedName name="PY2_TOTAL_DEBT" localSheetId="9">#REF!</definedName>
    <definedName name="PY2_TOTAL_EQUITY" localSheetId="9">#REF!</definedName>
    <definedName name="PY2_Trade_Payables" localSheetId="9">#REF!</definedName>
    <definedName name="PY2_Weighted_Average" localSheetId="9">#REF!</definedName>
    <definedName name="PY2_Working_Capital" localSheetId="9">#REF!</definedName>
    <definedName name="PY2_Year_Income_Statement" localSheetId="9">#REF!</definedName>
    <definedName name="PY3_Accounts_Receivable" localSheetId="9">#REF!</definedName>
    <definedName name="PY3_Administration" localSheetId="9">#REF!</definedName>
    <definedName name="PY3_Cash" localSheetId="9">#REF!</definedName>
    <definedName name="PY3_Common_Equity" localSheetId="9">#REF!</definedName>
    <definedName name="PY3_Cost_of_Sales" localSheetId="9">#REF!</definedName>
    <definedName name="PY3_Current_Liabilities" localSheetId="9">#REF!</definedName>
    <definedName name="PY3_Depreciation" localSheetId="9">#REF!</definedName>
    <definedName name="PY3_Disc._Ops." localSheetId="9">#REF!</definedName>
    <definedName name="PY3_Extraord." localSheetId="9">#REF!</definedName>
    <definedName name="PY3_Gross_Profit" localSheetId="9">#REF!</definedName>
    <definedName name="PY3_INC_AFT_TAX" localSheetId="9">#REF!</definedName>
    <definedName name="PY3_INC_BEF_EXTRAORD" localSheetId="9">#REF!</definedName>
    <definedName name="PY3_Inc_Bef_Tax" localSheetId="9">#REF!</definedName>
    <definedName name="PY3_Intangible_Assets" localSheetId="9">#REF!</definedName>
    <definedName name="PY3_Intangible_Assets">#REF!</definedName>
    <definedName name="PY3_Interest_Expense" localSheetId="9">#REF!</definedName>
    <definedName name="PY3_Inventory" localSheetId="9">#REF!</definedName>
    <definedName name="PY3_LIABIL_EQUITY" localSheetId="9">#REF!</definedName>
    <definedName name="PY3_Long_term_Debt__excl_Dfd_Taxes" localSheetId="9">#REF!</definedName>
    <definedName name="PY3_Marketable_Sec" localSheetId="9">#REF!</definedName>
    <definedName name="PY3_Marketable_Sec">#REF!</definedName>
    <definedName name="PY3_NET_INCOME" localSheetId="9">#REF!</definedName>
    <definedName name="PY3_Net_Revenue" localSheetId="9">#REF!</definedName>
    <definedName name="PY3_Operating_Inc" localSheetId="9">#REF!</definedName>
    <definedName name="PY3_Other_Curr_Assets" localSheetId="9">#REF!</definedName>
    <definedName name="PY3_Other_Curr_Assets">#REF!</definedName>
    <definedName name="PY3_Other_Exp." localSheetId="9">#REF!</definedName>
    <definedName name="PY3_Other_LT_Assets" localSheetId="9">#REF!</definedName>
    <definedName name="PY3_Other_LT_Assets">#REF!</definedName>
    <definedName name="PY3_Other_LT_Liabilities" localSheetId="9">#REF!</definedName>
    <definedName name="PY3_Other_LT_Liabilities">#REF!</definedName>
    <definedName name="PY3_Preferred_Stock" localSheetId="9">#REF!</definedName>
    <definedName name="PY3_Preferred_Stock">#REF!</definedName>
    <definedName name="PY3_QUICK_ASSETS" localSheetId="9">#REF!</definedName>
    <definedName name="PY3_Retained_Earnings" localSheetId="9">#REF!</definedName>
    <definedName name="PY3_Retained_Earnings">#REF!</definedName>
    <definedName name="PY3_Selling" localSheetId="9">#REF!</definedName>
    <definedName name="PY3_Tangible_Assets" localSheetId="9">#REF!</definedName>
    <definedName name="PY3_Tangible_Assets">#REF!</definedName>
    <definedName name="PY3_Taxes" localSheetId="9">#REF!</definedName>
    <definedName name="PY3_TOTAL_ASSETS" localSheetId="9">#REF!</definedName>
    <definedName name="PY3_TOTAL_CURR_ASSETS" localSheetId="9">#REF!</definedName>
    <definedName name="PY3_TOTAL_DEBT" localSheetId="9">#REF!</definedName>
    <definedName name="PY3_TOTAL_EQUITY" localSheetId="9">#REF!</definedName>
    <definedName name="PY3_Trade_Payables" localSheetId="9">#REF!</definedName>
    <definedName name="PY3_Year_Income_Statement" localSheetId="9">#REF!</definedName>
    <definedName name="PY4_Accounts_Receivable" localSheetId="9">#REF!</definedName>
    <definedName name="PY4_Administration" localSheetId="9">#REF!</definedName>
    <definedName name="PY4_Cash" localSheetId="9">#REF!</definedName>
    <definedName name="PY4_Common_Equity" localSheetId="9">#REF!</definedName>
    <definedName name="PY4_Cost_of_Sales" localSheetId="9">#REF!</definedName>
    <definedName name="PY4_Current_Liabilities" localSheetId="9">#REF!</definedName>
    <definedName name="PY4_Depreciation" localSheetId="9">#REF!</definedName>
    <definedName name="PY4_Disc._Ops." localSheetId="9">#REF!</definedName>
    <definedName name="PY4_Extraord." localSheetId="9">#REF!</definedName>
    <definedName name="PY4_Gross_Profit" localSheetId="9">#REF!</definedName>
    <definedName name="PY4_INC_AFT_TAX" localSheetId="9">#REF!</definedName>
    <definedName name="PY4_INC_BEF_EXTRAORD" localSheetId="9">#REF!</definedName>
    <definedName name="PY4_Inc_Bef_Tax" localSheetId="9">#REF!</definedName>
    <definedName name="PY4_Intangible_Assets" localSheetId="9">#REF!</definedName>
    <definedName name="PY4_Intangible_Assets">#REF!</definedName>
    <definedName name="PY4_Interest_Expense" localSheetId="9">#REF!</definedName>
    <definedName name="PY4_Inventory" localSheetId="9">#REF!</definedName>
    <definedName name="PY4_LIABIL_EQUITY" localSheetId="9">#REF!</definedName>
    <definedName name="PY4_Long_term_Debt__excl_Dfd_Taxes" localSheetId="9">#REF!</definedName>
    <definedName name="PY4_Marketable_Sec" localSheetId="9">#REF!</definedName>
    <definedName name="PY4_Marketable_Sec">#REF!</definedName>
    <definedName name="PY4_NET_INCOME" localSheetId="9">#REF!</definedName>
    <definedName name="PY4_Net_Revenue" localSheetId="9">#REF!</definedName>
    <definedName name="PY4_Operating_Inc" localSheetId="9">#REF!</definedName>
    <definedName name="PY4_Other_Cur_Assets" localSheetId="9">#REF!</definedName>
    <definedName name="PY4_Other_Cur_Assets">#REF!</definedName>
    <definedName name="PY4_Other_Exp." localSheetId="9">#REF!</definedName>
    <definedName name="PY4_Other_LT_Assets" localSheetId="9">#REF!</definedName>
    <definedName name="PY4_Other_LT_Assets">#REF!</definedName>
    <definedName name="PY4_Other_LT_Liabilities" localSheetId="9">#REF!</definedName>
    <definedName name="PY4_Other_LT_Liabilities">#REF!</definedName>
    <definedName name="PY4_Preferred_Stock" localSheetId="9">#REF!</definedName>
    <definedName name="PY4_Preferred_Stock">#REF!</definedName>
    <definedName name="PY4_QUICK_ASSETS" localSheetId="9">#REF!</definedName>
    <definedName name="PY4_Retained_Earnings" localSheetId="9">#REF!</definedName>
    <definedName name="PY4_Retained_Earnings">#REF!</definedName>
    <definedName name="PY4_Selling" localSheetId="9">#REF!</definedName>
    <definedName name="PY4_Tangible_Assets" localSheetId="9">#REF!</definedName>
    <definedName name="PY4_Tangible_Assets">#REF!</definedName>
    <definedName name="PY4_Taxes" localSheetId="9">#REF!</definedName>
    <definedName name="PY4_TOTAL_ASSETS" localSheetId="9">#REF!</definedName>
    <definedName name="PY4_TOTAL_CURR_ASSETS" localSheetId="9">#REF!</definedName>
    <definedName name="PY4_TOTAL_DEBT" localSheetId="9">#REF!</definedName>
    <definedName name="PY4_TOTAL_EQUITY" localSheetId="9">#REF!</definedName>
    <definedName name="PY4_Trade_Payables" localSheetId="9">#REF!</definedName>
    <definedName name="PY4_Year_Income_Statement" localSheetId="9">#REF!</definedName>
    <definedName name="PY5_Accounts_Receivable" localSheetId="9">#REF!</definedName>
    <definedName name="PY5_Accounts_Receivable">#REF!</definedName>
    <definedName name="PY5_Administration" localSheetId="9">#REF!</definedName>
    <definedName name="PY5_Cash" localSheetId="9">#REF!</definedName>
    <definedName name="PY5_Common_Equity" localSheetId="9">#REF!</definedName>
    <definedName name="PY5_Cost_of_Sales" localSheetId="9">#REF!</definedName>
    <definedName name="PY5_Current_Liabilities" localSheetId="9">#REF!</definedName>
    <definedName name="PY5_Depreciation" localSheetId="9">#REF!</definedName>
    <definedName name="PY5_Disc._Ops." localSheetId="9">#REF!</definedName>
    <definedName name="PY5_Extraord." localSheetId="9">#REF!</definedName>
    <definedName name="PY5_Gross_Profit" localSheetId="9">#REF!</definedName>
    <definedName name="PY5_INC_AFT_TAX" localSheetId="9">#REF!</definedName>
    <definedName name="PY5_INC_BEF_EXTRAORD" localSheetId="9">#REF!</definedName>
    <definedName name="PY5_Inc_Bef_Tax" localSheetId="9">#REF!</definedName>
    <definedName name="PY5_Intangible_Assets" localSheetId="9">#REF!</definedName>
    <definedName name="PY5_Intangible_Assets">#REF!</definedName>
    <definedName name="PY5_Interest_Expense" localSheetId="9">#REF!</definedName>
    <definedName name="PY5_Inventory" localSheetId="9">#REF!</definedName>
    <definedName name="PY5_Inventory">#REF!</definedName>
    <definedName name="PY5_LIABIL_EQUITY" localSheetId="9">#REF!</definedName>
    <definedName name="PY5_Long_term_Debt__excl_Dfd_Taxes" localSheetId="9">#REF!</definedName>
    <definedName name="PY5_Marketable_Sec" localSheetId="9">#REF!</definedName>
    <definedName name="PY5_Marketable_Sec">#REF!</definedName>
    <definedName name="PY5_NET_INCOME" localSheetId="9">#REF!</definedName>
    <definedName name="PY5_Net_Revenue" localSheetId="9">#REF!</definedName>
    <definedName name="PY5_Operating_Inc" localSheetId="9">#REF!</definedName>
    <definedName name="PY5_Other_Curr_Assets" localSheetId="9">#REF!</definedName>
    <definedName name="PY5_Other_Curr_Assets">#REF!</definedName>
    <definedName name="PY5_Other_Exp." localSheetId="9">#REF!</definedName>
    <definedName name="PY5_Other_LT_Assets" localSheetId="9">#REF!</definedName>
    <definedName name="PY5_Other_LT_Assets">#REF!</definedName>
    <definedName name="PY5_Other_LT_Liabilities" localSheetId="9">#REF!</definedName>
    <definedName name="PY5_Other_LT_Liabilities">#REF!</definedName>
    <definedName name="PY5_Preferred_Stock" localSheetId="9">#REF!</definedName>
    <definedName name="PY5_Preferred_Stock">#REF!</definedName>
    <definedName name="PY5_QUICK_ASSETS" localSheetId="9">#REF!</definedName>
    <definedName name="PY5_Retained_Earnings" localSheetId="9">#REF!</definedName>
    <definedName name="PY5_Retained_Earnings">#REF!</definedName>
    <definedName name="PY5_Selling" localSheetId="9">#REF!</definedName>
    <definedName name="PY5_Tangible_Assets" localSheetId="9">#REF!</definedName>
    <definedName name="PY5_Tangible_Assets">#REF!</definedName>
    <definedName name="PY5_Taxes" localSheetId="9">#REF!</definedName>
    <definedName name="PY5_TOTAL_ASSETS" localSheetId="9">#REF!</definedName>
    <definedName name="PY5_TOTAL_CURR_ASSETS" localSheetId="9">#REF!</definedName>
    <definedName name="PY5_TOTAL_DEBT" localSheetId="9">#REF!</definedName>
    <definedName name="PY5_TOTAL_EQUITY" localSheetId="9">#REF!</definedName>
    <definedName name="PY5_Trade_Payables" localSheetId="9">#REF!</definedName>
    <definedName name="PY5_Year_Income_Statement" localSheetId="9">#REF!</definedName>
    <definedName name="QGPL_CLTESLB">#REF!</definedName>
    <definedName name="quarter" localSheetId="9">#REF!</definedName>
    <definedName name="quarter">#REF!</definedName>
    <definedName name="R_Factor" localSheetId="9">#REF!</definedName>
    <definedName name="R_Factor">#REF!</definedName>
    <definedName name="R_Factor_AR_Balance">#REF!</definedName>
    <definedName name="R_Factor_SRD">#REF!</definedName>
    <definedName name="Ret_Allowance">#REF!</definedName>
    <definedName name="roie">#REF!</definedName>
    <definedName name="rt">#REF!</definedName>
    <definedName name="rte">#REF!</definedName>
    <definedName name="S_AcctDes">#REF!</definedName>
    <definedName name="S_Adjust">#REF!</definedName>
    <definedName name="S_AJE_Tot">#REF!</definedName>
    <definedName name="S_CompNum">#REF!</definedName>
    <definedName name="S_CY_Beg">#REF!</definedName>
    <definedName name="S_CY_End">#REF!</definedName>
    <definedName name="S_Diff_Amt">#REF!</definedName>
    <definedName name="S_Diff_Pct">#REF!</definedName>
    <definedName name="S_GrpNum">#REF!</definedName>
    <definedName name="S_Headings">#REF!</definedName>
    <definedName name="S_KeyValue">#REF!</definedName>
    <definedName name="S_PY_End">#REF!</definedName>
    <definedName name="S_RJE_Tot">#REF!</definedName>
    <definedName name="S_RowNum">#REF!</definedName>
    <definedName name="Sales">#REF!</definedName>
    <definedName name="salesld">#REF!</definedName>
    <definedName name="SalesPCS">#REF!</definedName>
    <definedName name="SAPBEXrevision" localSheetId="9" hidden="1">1</definedName>
    <definedName name="SAPBEXrevision" hidden="1">3</definedName>
    <definedName name="SAPBEXsysID" hidden="1">"PLW"</definedName>
    <definedName name="SAPBEXwbID" localSheetId="9" hidden="1">"0B3C5WPQ1PKHTD1CRY997L2MI"</definedName>
    <definedName name="SAPBEXwbID" hidden="1">"14RHU0IXG8KL7C7PJMON454VM"</definedName>
    <definedName name="sdfnlsd" hidden="1">#REF!</definedName>
    <definedName name="sectores">#REF!</definedName>
    <definedName name="sedal" localSheetId="9">#REF!</definedName>
    <definedName name="sedal">#REF!</definedName>
    <definedName name="Selection_Remainder" localSheetId="9">#REF!</definedName>
    <definedName name="Selection_Remainder">#REF!</definedName>
    <definedName name="sku" localSheetId="9">#REF!</definedName>
    <definedName name="sku">#REF!</definedName>
    <definedName name="skus" localSheetId="9">#REF!</definedName>
    <definedName name="skus">#REF!</definedName>
    <definedName name="Starting_Point" localSheetId="9">#REF!</definedName>
    <definedName name="Starting_Point">#REF!</definedName>
    <definedName name="STKDIARIO" localSheetId="9">#REF!</definedName>
    <definedName name="STKDIARIO">#REF!</definedName>
    <definedName name="STKDIARIOPX01" localSheetId="9">#REF!</definedName>
    <definedName name="STKDIARIOPX01">#REF!</definedName>
    <definedName name="STKDIARIOPX04" localSheetId="9">#REF!</definedName>
    <definedName name="STKDIARIOPX04">#REF!</definedName>
    <definedName name="Suma_de_ABR_U_3">#REF!</definedName>
    <definedName name="SUMMARY" localSheetId="9">#REF!</definedName>
    <definedName name="SUMMARY">#REF!</definedName>
    <definedName name="super" localSheetId="9">#REF!</definedName>
    <definedName name="super">#REF!</definedName>
    <definedName name="tablasun" localSheetId="9">#REF!</definedName>
    <definedName name="tablasun">#REF!</definedName>
    <definedName name="TbPy530159">#REF!</definedName>
    <definedName name="Tech">#REF!</definedName>
    <definedName name="techld">#REF!</definedName>
    <definedName name="TechPCS">#REF!</definedName>
    <definedName name="Test_de_Gastos_Mayores">#REF!</definedName>
    <definedName name="TEST0" localSheetId="9">#REF!</definedName>
    <definedName name="TEST0">#REF!</definedName>
    <definedName name="TEST1" localSheetId="9">#REF!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6">#REF!</definedName>
    <definedName name="TEST7">#REF!</definedName>
    <definedName name="TEST8">#REF!</definedName>
    <definedName name="TEST9">#REF!</definedName>
    <definedName name="TESTKEYS" localSheetId="9">#REF!</definedName>
    <definedName name="TESTKEYS">#REF!</definedName>
    <definedName name="TextRefCopy1">#REF!</definedName>
    <definedName name="TextRefCopy10" localSheetId="9">#REF!</definedName>
    <definedName name="TextRefCopy10">#REF!</definedName>
    <definedName name="TextRefCopy100" localSheetId="9">#REF!</definedName>
    <definedName name="TextRefCopy100">#REF!</definedName>
    <definedName name="TextRefCopy102" localSheetId="9">#REF!</definedName>
    <definedName name="TextRefCopy102">#REF!</definedName>
    <definedName name="TextRefCopy103" localSheetId="9">#REF!</definedName>
    <definedName name="TextRefCopy103">#REF!</definedName>
    <definedName name="TextRefCopy104" localSheetId="9">#REF!</definedName>
    <definedName name="TextRefCopy104">#REF!</definedName>
    <definedName name="TextRefCopy105" localSheetId="9">#REF!</definedName>
    <definedName name="TextRefCopy105">#REF!</definedName>
    <definedName name="TextRefCopy107" localSheetId="9">#REF!</definedName>
    <definedName name="TextRefCopy107">#REF!</definedName>
    <definedName name="TextRefCopy108" localSheetId="9">#REF!</definedName>
    <definedName name="TextRefCopy108">#REF!</definedName>
    <definedName name="TextRefCopy109" localSheetId="9">#REF!</definedName>
    <definedName name="TextRefCopy109">#REF!</definedName>
    <definedName name="TextRefCopy11" localSheetId="9">#REF!</definedName>
    <definedName name="TextRefCopy111">#REF!</definedName>
    <definedName name="TextRefCopy112" localSheetId="9">#REF!</definedName>
    <definedName name="TextRefCopy112">#REF!</definedName>
    <definedName name="TextRefCopy113" localSheetId="9">#REF!</definedName>
    <definedName name="TextRefCopy113">#REF!</definedName>
    <definedName name="TextRefCopy114">#REF!</definedName>
    <definedName name="TextRefCopy116" localSheetId="9">#REF!</definedName>
    <definedName name="TextRefCopy116">#REF!</definedName>
    <definedName name="TextRefCopy118" localSheetId="9">#REF!</definedName>
    <definedName name="TextRefCopy118">#REF!</definedName>
    <definedName name="TextRefCopy119" localSheetId="9">#REF!</definedName>
    <definedName name="TextRefCopy119">#REF!</definedName>
    <definedName name="TextRefCopy12" localSheetId="9">#REF!</definedName>
    <definedName name="TextRefCopy120" localSheetId="9">#REF!</definedName>
    <definedName name="TextRefCopy120">#REF!</definedName>
    <definedName name="TextRefCopy121" localSheetId="9">#REF!</definedName>
    <definedName name="TextRefCopy121">#REF!</definedName>
    <definedName name="TextRefCopy122">#REF!</definedName>
    <definedName name="TextRefCopy123">#REF!</definedName>
    <definedName name="TextRefCopy127" localSheetId="9">#REF!</definedName>
    <definedName name="TextRefCopy127">#REF!</definedName>
    <definedName name="TextRefCopy13" localSheetId="9">#REF!</definedName>
    <definedName name="TextRefCopy14" localSheetId="9">#REF!</definedName>
    <definedName name="TextRefCopy15" localSheetId="9">#REF!</definedName>
    <definedName name="TextRefCopy169">#REF!</definedName>
    <definedName name="TextRefCopy171">#REF!</definedName>
    <definedName name="TextRefCopy172">#REF!</definedName>
    <definedName name="TextRefCopy173">#REF!</definedName>
    <definedName name="TextRefCopy175">#REF!</definedName>
    <definedName name="TextRefCopy177">#REF!</definedName>
    <definedName name="TextRefCopy178">#REF!</definedName>
    <definedName name="TextRefCopy29">#REF!</definedName>
    <definedName name="TextRefCopy3" localSheetId="9">#REF!</definedName>
    <definedName name="TextRefCopy3">#REF!</definedName>
    <definedName name="TextRefCopy30">#REF!</definedName>
    <definedName name="TextRefCopy31">#REF!</definedName>
    <definedName name="TextRefCopy32">#REF!</definedName>
    <definedName name="TextRefCopy35">#REF!</definedName>
    <definedName name="TextRefCopy37">#REF!</definedName>
    <definedName name="TextRefCopy38">#REF!</definedName>
    <definedName name="TextRefCopy39">#REF!</definedName>
    <definedName name="TextRefCopy4" localSheetId="9">#REF!</definedName>
    <definedName name="TextRefCopy4">#REF!</definedName>
    <definedName name="TextRefCopy41">#REF!</definedName>
    <definedName name="TextRefCopy42" localSheetId="9">#REF!</definedName>
    <definedName name="TextRefCopy42">#REF!</definedName>
    <definedName name="TextRefCopy43" localSheetId="9">#REF!</definedName>
    <definedName name="TextRefCopy44" localSheetId="9">#REF!</definedName>
    <definedName name="TextRefCopy44">#REF!</definedName>
    <definedName name="TextRefCopy46">#REF!</definedName>
    <definedName name="TextRefCopy53" localSheetId="9">#REF!</definedName>
    <definedName name="TextRefCopy53">#REF!</definedName>
    <definedName name="TextRefCopy54" localSheetId="9">#REF!</definedName>
    <definedName name="TextRefCopy54">#REF!</definedName>
    <definedName name="TextRefCopy55" localSheetId="9">#REF!</definedName>
    <definedName name="TextRefCopy55">#REF!</definedName>
    <definedName name="TextRefCopy56" localSheetId="9">#REF!</definedName>
    <definedName name="TextRefCopy56">#REF!</definedName>
    <definedName name="TextRefCopy6">#REF!</definedName>
    <definedName name="TextRefCopy63" localSheetId="9">#REF!</definedName>
    <definedName name="TextRefCopy63">#REF!</definedName>
    <definedName name="TextRefCopy65" localSheetId="9">#REF!</definedName>
    <definedName name="TextRefCopy65">#REF!</definedName>
    <definedName name="TextRefCopy66" localSheetId="9">#REF!</definedName>
    <definedName name="TextRefCopy66">#REF!</definedName>
    <definedName name="TextRefCopy67" localSheetId="9">#REF!</definedName>
    <definedName name="TextRefCopy67">#REF!</definedName>
    <definedName name="TextRefCopy68" localSheetId="9">#REF!</definedName>
    <definedName name="TextRefCopy68">#REF!</definedName>
    <definedName name="TextRefCopy7" localSheetId="9">#REF!</definedName>
    <definedName name="TextRefCopy7">#REF!</definedName>
    <definedName name="TextRefCopy70" localSheetId="9">#REF!</definedName>
    <definedName name="TextRefCopy70">#REF!</definedName>
    <definedName name="TextRefCopy71" localSheetId="9">#REF!</definedName>
    <definedName name="TextRefCopy71">#REF!</definedName>
    <definedName name="TextRefCopy73" localSheetId="9">#REF!</definedName>
    <definedName name="TextRefCopy73">#REF!</definedName>
    <definedName name="TextRefCopy75" localSheetId="9">#REF!</definedName>
    <definedName name="TextRefCopy75">#REF!</definedName>
    <definedName name="TextRefCopy77" localSheetId="9">#REF!</definedName>
    <definedName name="TextRefCopy77">#REF!</definedName>
    <definedName name="TextRefCopy79" localSheetId="9">#REF!</definedName>
    <definedName name="TextRefCopy79">#REF!</definedName>
    <definedName name="TextRefCopy8" localSheetId="9">#REF!</definedName>
    <definedName name="TextRefCopy8">#REF!</definedName>
    <definedName name="TextRefCopy80" localSheetId="9">#REF!</definedName>
    <definedName name="TextRefCopy80">#REF!</definedName>
    <definedName name="TextRefCopy82" localSheetId="9">#REF!</definedName>
    <definedName name="TextRefCopy82">#REF!</definedName>
    <definedName name="TextRefCopy85" localSheetId="9">#REF!</definedName>
    <definedName name="TextRefCopy86" localSheetId="9">#REF!</definedName>
    <definedName name="TextRefCopy88" localSheetId="9">#REF!</definedName>
    <definedName name="TextRefCopy89" localSheetId="9">#REF!</definedName>
    <definedName name="TextRefCopy90" localSheetId="9">#REF!</definedName>
    <definedName name="TextRefCopy91" localSheetId="9">#REF!</definedName>
    <definedName name="TextRefCopy92" localSheetId="9">#REF!</definedName>
    <definedName name="TextRefCopy93" localSheetId="9">#REF!</definedName>
    <definedName name="TextRefCopy97" localSheetId="9">#REF!</definedName>
    <definedName name="TextRefCopy97">#REF!</definedName>
    <definedName name="TextRefCopy98">#REF!</definedName>
    <definedName name="TextRefCopyRangeCount" localSheetId="9" hidden="1">12</definedName>
    <definedName name="TextRefCopyRangeCount" hidden="1">1</definedName>
    <definedName name="Top_Stratum_Number" localSheetId="9">#REF!</definedName>
    <definedName name="Top_Stratum_Number">#REF!</definedName>
    <definedName name="Top_Stratum_Value" localSheetId="9">#REF!</definedName>
    <definedName name="Top_Stratum_Value">#REF!</definedName>
    <definedName name="Total_Amount">#REF!</definedName>
    <definedName name="Total_Number_Selections" localSheetId="9">#REF!</definedName>
    <definedName name="Total_Number_Selections">#REF!</definedName>
    <definedName name="tp" localSheetId="9">#REF!</definedName>
    <definedName name="tp">#REF!</definedName>
    <definedName name="Unidades" localSheetId="9">#REF!</definedName>
    <definedName name="Unidades">#REF!</definedName>
    <definedName name="URUGUAY" localSheetId="9">#REF!</definedName>
    <definedName name="URUGUAY">#REF!</definedName>
    <definedName name="vencidos">#REF!</definedName>
    <definedName name="vigencia" localSheetId="9">#REF!</definedName>
    <definedName name="vigencia">#REF!</definedName>
    <definedName name="vpphold">#REF!</definedName>
    <definedName name="VTADIAR" localSheetId="9">#REF!</definedName>
    <definedName name="VTADIAR">#REF!</definedName>
    <definedName name="VTO">#REF!</definedName>
    <definedName name="vtoañoc">#REF!</definedName>
    <definedName name="vtoañon">#REF!</definedName>
    <definedName name="vtoaños">#REF!</definedName>
    <definedName name="VTOSN">#REF!</definedName>
    <definedName name="WDSD" hidden="1">#REF!</definedName>
    <definedName name="wrn.Aging._.and._.Trend._.Analysis." localSheetId="3" hidden="1">{#N/A,#N/A,FALSE,"Aging Summary";#N/A,#N/A,FALSE,"Ratio Analysis";#N/A,#N/A,FALSE,"Test 120 Day Accts";#N/A,#N/A,FALSE,"Tickmarks"}</definedName>
    <definedName name="wrn.Aging._.and._.Trend._.Analysis." localSheetId="7" hidden="1">{#N/A,#N/A,FALSE,"Aging Summary";#N/A,#N/A,FALSE,"Ratio Analysis";#N/A,#N/A,FALSE,"Test 120 Day Accts";#N/A,#N/A,FALSE,"Tickmarks"}</definedName>
    <definedName name="wrn.Aging._.and._.Trend._.Analysis." localSheetId="8" hidden="1">{#N/A,#N/A,FALSE,"Aging Summary";#N/A,#N/A,FALSE,"Ratio Analysis";#N/A,#N/A,FALSE,"Test 120 Day Accts";#N/A,#N/A,FALSE,"Tickmarks"}</definedName>
    <definedName name="wrn.Aging._.and._.Trend._.Analysis." localSheetId="10" hidden="1">{#N/A,#N/A,FALSE,"Aging Summary";#N/A,#N/A,FALSE,"Ratio Analysis";#N/A,#N/A,FALSE,"Test 120 Day Accts";#N/A,#N/A,FALSE,"Tickmarks"}</definedName>
    <definedName name="wrn.Aging._.and._.Trend._.Analysis." localSheetId="9"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Volumen." localSheetId="3" hidden="1">{#N/A,#N/A,FALSE,"VOL"}</definedName>
    <definedName name="wrn.Volumen." localSheetId="7" hidden="1">{#N/A,#N/A,FALSE,"VOL"}</definedName>
    <definedName name="wrn.Volumen." localSheetId="8" hidden="1">{#N/A,#N/A,FALSE,"VOL"}</definedName>
    <definedName name="wrn.Volumen." localSheetId="10" hidden="1">{#N/A,#N/A,FALSE,"VOL"}</definedName>
    <definedName name="wrn.Volumen." localSheetId="9" hidden="1">{#N/A,#N/A,FALSE,"VOL"}</definedName>
    <definedName name="wrn.Volumen." hidden="1">{#N/A,#N/A,FALSE,"VOL"}</definedName>
    <definedName name="xdc">#REF!</definedName>
    <definedName name="XREF_COLUMN_1" hidden="1">#REF!</definedName>
    <definedName name="XREF_COLUMN_10" hidden="1">#REF!</definedName>
    <definedName name="XREF_COLUMN_11" localSheetId="9" hidden="1">'VARIACION DEL ACTIVO NETO'!#REF!</definedName>
    <definedName name="XREF_COLUMN_12" localSheetId="9" hidden="1">'VARIACION DEL ACTIVO NETO'!#REF!</definedName>
    <definedName name="XREF_COLUMN_12" hidden="1">#REF!</definedName>
    <definedName name="XREF_COLUMN_13" localSheetId="9" hidden="1">'VARIACION DEL ACTIVO NETO'!#REF!</definedName>
    <definedName name="XREF_COLUMN_13" hidden="1">#REF!</definedName>
    <definedName name="XREF_COLUMN_14" localSheetId="9" hidden="1">'VARIACION DEL ACTIVO NETO'!$P:$P</definedName>
    <definedName name="XREF_COLUMN_14" hidden="1">#REF!</definedName>
    <definedName name="XREF_COLUMN_15" localSheetId="9" hidden="1">#REF!</definedName>
    <definedName name="XREF_COLUMN_15" hidden="1">#REF!</definedName>
    <definedName name="XREF_COLUMN_17" localSheetId="9" hidden="1">#REF!</definedName>
    <definedName name="XREF_COLUMN_17" hidden="1">#REF!</definedName>
    <definedName name="XREF_COLUMN_2" hidden="1">#REF!</definedName>
    <definedName name="XREF_COLUMN_24" hidden="1">#REF!</definedName>
    <definedName name="XREF_COLUMN_4" localSheetId="9" hidden="1">#REF!</definedName>
    <definedName name="XREF_COLUMN_5" localSheetId="9" hidden="1">'VARIACION DEL ACTIVO NETO'!$D:$D</definedName>
    <definedName name="XREF_COLUMN_7" hidden="1">#REF!</definedName>
    <definedName name="XREF_COLUMN_9" hidden="1">#REF!</definedName>
    <definedName name="XRefActiveRow" localSheetId="9" hidden="1">#REF!</definedName>
    <definedName name="XRefActiveRow" hidden="1">#REF!</definedName>
    <definedName name="XRefColumnsCount" localSheetId="9" hidden="1">14</definedName>
    <definedName name="XRefColumnsCount" hidden="1">2</definedName>
    <definedName name="XRefCopy1" localSheetId="9" hidden="1">#REF!</definedName>
    <definedName name="XRefCopy1" hidden="1">#REF!</definedName>
    <definedName name="XRefCopy10" localSheetId="9" hidden="1">#REF!</definedName>
    <definedName name="XRefCopy100" localSheetId="9" hidden="1">#REF!</definedName>
    <definedName name="XRefCopy100" hidden="1">#REF!</definedName>
    <definedName name="XRefCopy100Row" localSheetId="9" hidden="1">#REF!</definedName>
    <definedName name="XRefCopy100Row" hidden="1">#REF!</definedName>
    <definedName name="XRefCopy101" localSheetId="9" hidden="1">#REF!</definedName>
    <definedName name="XRefCopy101" hidden="1">#REF!</definedName>
    <definedName name="XRefCopy101Row" localSheetId="9" hidden="1">#REF!</definedName>
    <definedName name="XRefCopy101Row" hidden="1">#REF!</definedName>
    <definedName name="XRefCopy102" localSheetId="9" hidden="1">#REF!</definedName>
    <definedName name="XRefCopy102" hidden="1">#REF!</definedName>
    <definedName name="XRefCopy102Row" localSheetId="9" hidden="1">#REF!</definedName>
    <definedName name="XRefCopy102Row" hidden="1">#REF!</definedName>
    <definedName name="XRefCopy103" localSheetId="9" hidden="1">#REF!</definedName>
    <definedName name="XRefCopy103" hidden="1">#REF!</definedName>
    <definedName name="XRefCopy103Row" localSheetId="9" hidden="1">#REF!</definedName>
    <definedName name="XRefCopy103Row" hidden="1">#REF!</definedName>
    <definedName name="XRefCopy104" localSheetId="9" hidden="1">#REF!</definedName>
    <definedName name="XRefCopy104" hidden="1">#REF!</definedName>
    <definedName name="XRefCopy104Row" localSheetId="9" hidden="1">#REF!</definedName>
    <definedName name="XRefCopy104Row" hidden="1">#REF!</definedName>
    <definedName name="XRefCopy105" hidden="1">#REF!</definedName>
    <definedName name="XRefCopy105Row" localSheetId="9" hidden="1">#REF!</definedName>
    <definedName name="XRefCopy105Row" hidden="1">#REF!</definedName>
    <definedName name="XRefCopy106" hidden="1">#REF!</definedName>
    <definedName name="XRefCopy106Row" localSheetId="9" hidden="1">#REF!</definedName>
    <definedName name="XRefCopy106Row" hidden="1">#REF!</definedName>
    <definedName name="XRefCopy107" hidden="1">#REF!</definedName>
    <definedName name="XRefCopy107Row" localSheetId="9" hidden="1">#REF!</definedName>
    <definedName name="XRefCopy107Row" hidden="1">#REF!</definedName>
    <definedName name="XRefCopy108" hidden="1">#REF!</definedName>
    <definedName name="XRefCopy108Row" localSheetId="9" hidden="1">#REF!</definedName>
    <definedName name="XRefCopy108Row" hidden="1">#REF!</definedName>
    <definedName name="XRefCopy109" hidden="1">#REF!</definedName>
    <definedName name="XRefCopy109Row" localSheetId="9" hidden="1">#REF!</definedName>
    <definedName name="XRefCopy109Row" hidden="1">#REF!</definedName>
    <definedName name="XRefCopy10Row" localSheetId="9" hidden="1">#REF!</definedName>
    <definedName name="XRefCopy10Row" hidden="1">#REF!</definedName>
    <definedName name="XRefCopy11" localSheetId="9" hidden="1">#REF!</definedName>
    <definedName name="XRefCopy110Row" localSheetId="9" hidden="1">#REF!</definedName>
    <definedName name="XRefCopy110Row" hidden="1">#REF!</definedName>
    <definedName name="XRefCopy111Row" localSheetId="9" hidden="1">#REF!</definedName>
    <definedName name="XRefCopy111Row" hidden="1">#REF!</definedName>
    <definedName name="XRefCopy112" hidden="1">#REF!</definedName>
    <definedName name="XRefCopy112Row" localSheetId="9" hidden="1">#REF!</definedName>
    <definedName name="XRefCopy112Row" hidden="1">#REF!</definedName>
    <definedName name="XRefCopy113" hidden="1">#REF!</definedName>
    <definedName name="XRefCopy113Row" localSheetId="9" hidden="1">#REF!</definedName>
    <definedName name="XRefCopy113Row" hidden="1">#REF!</definedName>
    <definedName name="XRefCopy114" hidden="1">#REF!</definedName>
    <definedName name="XRefCopy114Row" localSheetId="9" hidden="1">#REF!</definedName>
    <definedName name="XRefCopy114Row" hidden="1">#REF!</definedName>
    <definedName name="XRefCopy115" hidden="1">#REF!</definedName>
    <definedName name="XRefCopy115Row" localSheetId="9" hidden="1">#REF!</definedName>
    <definedName name="XRefCopy115Row" hidden="1">#REF!</definedName>
    <definedName name="XRefCopy116" hidden="1">#REF!</definedName>
    <definedName name="XRefCopy116Row" localSheetId="9" hidden="1">#REF!</definedName>
    <definedName name="XRefCopy116Row" hidden="1">#REF!</definedName>
    <definedName name="XRefCopy117" hidden="1">#REF!</definedName>
    <definedName name="XRefCopy117Row" localSheetId="9" hidden="1">#REF!</definedName>
    <definedName name="XRefCopy117Row" hidden="1">#REF!</definedName>
    <definedName name="XRefCopy118" localSheetId="9" hidden="1">#REF!</definedName>
    <definedName name="XRefCopy118" hidden="1">#REF!</definedName>
    <definedName name="XRefCopy118Row" localSheetId="9" hidden="1">#REF!</definedName>
    <definedName name="XRefCopy118Row" hidden="1">#REF!</definedName>
    <definedName name="XRefCopy119" localSheetId="9" hidden="1">#REF!</definedName>
    <definedName name="XRefCopy119" hidden="1">#REF!</definedName>
    <definedName name="XRefCopy119Row" localSheetId="9" hidden="1">#REF!</definedName>
    <definedName name="XRefCopy119Row" hidden="1">#REF!</definedName>
    <definedName name="XRefCopy11Row" localSheetId="9" hidden="1">#REF!</definedName>
    <definedName name="XRefCopy11Row" hidden="1">#REF!</definedName>
    <definedName name="XRefCopy12" hidden="1">#REF!</definedName>
    <definedName name="XRefCopy120" localSheetId="9" hidden="1">#REF!</definedName>
    <definedName name="XRefCopy120" hidden="1">#REF!</definedName>
    <definedName name="XRefCopy120Row" localSheetId="9" hidden="1">#REF!</definedName>
    <definedName name="XRefCopy120Row" hidden="1">#REF!</definedName>
    <definedName name="XRefCopy121" localSheetId="9" hidden="1">#REF!</definedName>
    <definedName name="XRefCopy121" hidden="1">#REF!</definedName>
    <definedName name="XRefCopy121Row" localSheetId="9" hidden="1">#REF!</definedName>
    <definedName name="XRefCopy121Row" hidden="1">#REF!</definedName>
    <definedName name="XRefCopy122" localSheetId="9" hidden="1">#REF!</definedName>
    <definedName name="XRefCopy122" hidden="1">#REF!</definedName>
    <definedName name="XRefCopy122Row" localSheetId="9" hidden="1">#REF!</definedName>
    <definedName name="XRefCopy122Row" hidden="1">#REF!</definedName>
    <definedName name="XRefCopy123" hidden="1">#REF!</definedName>
    <definedName name="XRefCopy123Row" localSheetId="9" hidden="1">#REF!</definedName>
    <definedName name="XRefCopy123Row" hidden="1">#REF!</definedName>
    <definedName name="XRefCopy124" hidden="1">#REF!</definedName>
    <definedName name="XRefCopy124Row" localSheetId="9" hidden="1">#REF!</definedName>
    <definedName name="XRefCopy124Row" hidden="1">#REF!</definedName>
    <definedName name="XRefCopy125" hidden="1">#REF!</definedName>
    <definedName name="XRefCopy125Row" localSheetId="9" hidden="1">#REF!</definedName>
    <definedName name="XRefCopy125Row" hidden="1">#REF!</definedName>
    <definedName name="XRefCopy126" hidden="1">#REF!</definedName>
    <definedName name="XRefCopy126Row" localSheetId="9" hidden="1">#REF!</definedName>
    <definedName name="XRefCopy126Row" hidden="1">#REF!</definedName>
    <definedName name="XRefCopy127" hidden="1">#REF!</definedName>
    <definedName name="XRefCopy127Row" localSheetId="9" hidden="1">#REF!</definedName>
    <definedName name="XRefCopy127Row" hidden="1">#REF!</definedName>
    <definedName name="XRefCopy128" hidden="1">#REF!</definedName>
    <definedName name="XRefCopy129" hidden="1">#REF!</definedName>
    <definedName name="XRefCopy129Row" localSheetId="9" hidden="1">#REF!</definedName>
    <definedName name="XRefCopy129Row" hidden="1">#REF!</definedName>
    <definedName name="XRefCopy12Row" localSheetId="9" hidden="1">#REF!</definedName>
    <definedName name="XRefCopy12Row" hidden="1">#REF!</definedName>
    <definedName name="XRefCopy13" localSheetId="9" hidden="1">#REF!</definedName>
    <definedName name="XRefCopy130" hidden="1">#REF!</definedName>
    <definedName name="XRefCopy130Row" localSheetId="9" hidden="1">#REF!</definedName>
    <definedName name="XRefCopy130Row" hidden="1">#REF!</definedName>
    <definedName name="XRefCopy131" hidden="1">#REF!</definedName>
    <definedName name="XRefCopy131Row" localSheetId="9" hidden="1">#REF!</definedName>
    <definedName name="XRefCopy131Row" hidden="1">#REF!</definedName>
    <definedName name="XRefCopy132" localSheetId="9" hidden="1">#REF!</definedName>
    <definedName name="XRefCopy132" hidden="1">#REF!</definedName>
    <definedName name="XRefCopy132Row" localSheetId="9" hidden="1">#REF!</definedName>
    <definedName name="XRefCopy132Row" hidden="1">#REF!</definedName>
    <definedName name="XRefCopy133" localSheetId="9" hidden="1">#REF!</definedName>
    <definedName name="XRefCopy133" hidden="1">#REF!</definedName>
    <definedName name="XRefCopy133Row" localSheetId="9" hidden="1">#REF!</definedName>
    <definedName name="XRefCopy133Row" hidden="1">#REF!</definedName>
    <definedName name="XRefCopy134" hidden="1">#REF!</definedName>
    <definedName name="XRefCopy134Row" localSheetId="9" hidden="1">#REF!</definedName>
    <definedName name="XRefCopy134Row" hidden="1">#REF!</definedName>
    <definedName name="XRefCopy135" hidden="1">#REF!</definedName>
    <definedName name="XRefCopy135Row" localSheetId="9" hidden="1">#REF!</definedName>
    <definedName name="XRefCopy135Row" hidden="1">#REF!</definedName>
    <definedName name="XRefCopy136" hidden="1">#REF!</definedName>
    <definedName name="XRefCopy136Row" localSheetId="9" hidden="1">#REF!</definedName>
    <definedName name="XRefCopy136Row" hidden="1">#REF!</definedName>
    <definedName name="XRefCopy137" hidden="1">#REF!</definedName>
    <definedName name="XRefCopy137Row" localSheetId="9" hidden="1">#REF!</definedName>
    <definedName name="XRefCopy137Row" hidden="1">#REF!</definedName>
    <definedName name="XRefCopy138" hidden="1">#REF!</definedName>
    <definedName name="XRefCopy138Row" localSheetId="9" hidden="1">#REF!</definedName>
    <definedName name="XRefCopy138Row" hidden="1">#REF!</definedName>
    <definedName name="XRefCopy139" hidden="1">#REF!</definedName>
    <definedName name="XRefCopy139Row" localSheetId="9" hidden="1">#REF!</definedName>
    <definedName name="XRefCopy139Row" hidden="1">#REF!</definedName>
    <definedName name="XRefCopy13Row" localSheetId="9" hidden="1">#REF!</definedName>
    <definedName name="XRefCopy13Row" hidden="1">#REF!</definedName>
    <definedName name="XRefCopy140" hidden="1">#REF!</definedName>
    <definedName name="XRefCopy140Row" localSheetId="9" hidden="1">#REF!</definedName>
    <definedName name="XRefCopy140Row" hidden="1">#REF!</definedName>
    <definedName name="XRefCopy141Row" localSheetId="9" hidden="1">#REF!</definedName>
    <definedName name="XRefCopy141Row" hidden="1">#REF!</definedName>
    <definedName name="XRefCopy142" localSheetId="9" hidden="1">#REF!</definedName>
    <definedName name="XRefCopy142Row" localSheetId="9" hidden="1">#REF!</definedName>
    <definedName name="XRefCopy142Row" hidden="1">#REF!</definedName>
    <definedName name="XRefCopy143" localSheetId="9" hidden="1">#REF!</definedName>
    <definedName name="XRefCopy143Row" localSheetId="9" hidden="1">#REF!</definedName>
    <definedName name="XRefCopy143Row" hidden="1">#REF!</definedName>
    <definedName name="XRefCopy144Row" localSheetId="9" hidden="1">#REF!</definedName>
    <definedName name="XRefCopy144Row" hidden="1">#REF!</definedName>
    <definedName name="XRefCopy145Row" localSheetId="9" hidden="1">#REF!</definedName>
    <definedName name="XRefCopy145Row" hidden="1">#REF!</definedName>
    <definedName name="XRefCopy146" localSheetId="9" hidden="1">#REF!</definedName>
    <definedName name="XRefCopy146Row" localSheetId="9" hidden="1">#REF!</definedName>
    <definedName name="XRefCopy146Row" hidden="1">#REF!</definedName>
    <definedName name="XRefCopy147" localSheetId="9" hidden="1">#REF!</definedName>
    <definedName name="XRefCopy147Row" localSheetId="9" hidden="1">#REF!</definedName>
    <definedName name="XRefCopy147Row" hidden="1">#REF!</definedName>
    <definedName name="XRefCopy148" localSheetId="9" hidden="1">#REF!</definedName>
    <definedName name="XRefCopy148Row" localSheetId="9" hidden="1">#REF!</definedName>
    <definedName name="XRefCopy148Row" hidden="1">#REF!</definedName>
    <definedName name="XRefCopy149" localSheetId="9" hidden="1">#REF!</definedName>
    <definedName name="XRefCopy149" hidden="1">#REF!</definedName>
    <definedName name="XRefCopy149Row" localSheetId="9" hidden="1">#REF!</definedName>
    <definedName name="XRefCopy149Row" hidden="1">#REF!</definedName>
    <definedName name="XRefCopy14Row" hidden="1">#REF!</definedName>
    <definedName name="XRefCopy150" localSheetId="9" hidden="1">#REF!</definedName>
    <definedName name="XRefCopy150" hidden="1">#REF!</definedName>
    <definedName name="XRefCopy150Row" localSheetId="9" hidden="1">#REF!</definedName>
    <definedName name="XRefCopy150Row" hidden="1">#REF!</definedName>
    <definedName name="XRefCopy151" localSheetId="9" hidden="1">#REF!</definedName>
    <definedName name="XRefCopy151" hidden="1">#REF!</definedName>
    <definedName name="XRefCopy151Row" localSheetId="9" hidden="1">#REF!</definedName>
    <definedName name="XRefCopy151Row" hidden="1">#REF!</definedName>
    <definedName name="XRefCopy152" localSheetId="9" hidden="1">#REF!</definedName>
    <definedName name="XRefCopy152" hidden="1">#REF!</definedName>
    <definedName name="XRefCopy152Row" localSheetId="9" hidden="1">#REF!</definedName>
    <definedName name="XRefCopy152Row" hidden="1">#REF!</definedName>
    <definedName name="XRefCopy153" localSheetId="9" hidden="1">#REF!</definedName>
    <definedName name="XRefCopy153" hidden="1">#REF!</definedName>
    <definedName name="XRefCopy153Row" localSheetId="9" hidden="1">#REF!</definedName>
    <definedName name="XRefCopy153Row" hidden="1">#REF!</definedName>
    <definedName name="XRefCopy154" localSheetId="9" hidden="1">#REF!</definedName>
    <definedName name="XRefCopy154" hidden="1">#REF!</definedName>
    <definedName name="XRefCopy154Row" localSheetId="9" hidden="1">#REF!</definedName>
    <definedName name="XRefCopy154Row" hidden="1">#REF!</definedName>
    <definedName name="XRefCopy155" localSheetId="9" hidden="1">#REF!</definedName>
    <definedName name="XRefCopy155" hidden="1">#REF!</definedName>
    <definedName name="XRefCopy155Row" localSheetId="9" hidden="1">#REF!</definedName>
    <definedName name="XRefCopy155Row" hidden="1">#REF!</definedName>
    <definedName name="XRefCopy156" localSheetId="9" hidden="1">#REF!</definedName>
    <definedName name="XRefCopy156" hidden="1">#REF!</definedName>
    <definedName name="XRefCopy156Row" localSheetId="9" hidden="1">#REF!</definedName>
    <definedName name="XRefCopy156Row" hidden="1">#REF!</definedName>
    <definedName name="XRefCopy157" localSheetId="9" hidden="1">#REF!</definedName>
    <definedName name="XRefCopy157" hidden="1">#REF!</definedName>
    <definedName name="XRefCopy157Row" localSheetId="9" hidden="1">#REF!</definedName>
    <definedName name="XRefCopy157Row" hidden="1">#REF!</definedName>
    <definedName name="XRefCopy158" localSheetId="9" hidden="1">#REF!</definedName>
    <definedName name="XRefCopy158" hidden="1">#REF!</definedName>
    <definedName name="XRefCopy158Row" localSheetId="9" hidden="1">#REF!</definedName>
    <definedName name="XRefCopy158Row" hidden="1">#REF!</definedName>
    <definedName name="XRefCopy159" localSheetId="9" hidden="1">#REF!</definedName>
    <definedName name="XRefCopy159" hidden="1">#REF!</definedName>
    <definedName name="XRefCopy159Row" localSheetId="9" hidden="1">#REF!</definedName>
    <definedName name="XRefCopy159Row" hidden="1">#REF!</definedName>
    <definedName name="XRefCopy15Row" localSheetId="9" hidden="1">#REF!</definedName>
    <definedName name="XRefCopy160" localSheetId="9" hidden="1">#REF!</definedName>
    <definedName name="XRefCopy160" hidden="1">#REF!</definedName>
    <definedName name="XRefCopy160Row" localSheetId="9" hidden="1">#REF!</definedName>
    <definedName name="XRefCopy160Row" hidden="1">#REF!</definedName>
    <definedName name="XRefCopy161" localSheetId="9" hidden="1">#REF!</definedName>
    <definedName name="XRefCopy161" hidden="1">#REF!</definedName>
    <definedName name="XRefCopy161Row" localSheetId="9" hidden="1">#REF!</definedName>
    <definedName name="XRefCopy161Row" hidden="1">#REF!</definedName>
    <definedName name="XRefCopy162" localSheetId="9" hidden="1">#REF!</definedName>
    <definedName name="XRefCopy162" hidden="1">#REF!</definedName>
    <definedName name="XRefCopy162Row" localSheetId="9" hidden="1">#REF!</definedName>
    <definedName name="XRefCopy162Row" hidden="1">#REF!</definedName>
    <definedName name="XRefCopy163" localSheetId="9" hidden="1">#REF!</definedName>
    <definedName name="XRefCopy163" hidden="1">#REF!</definedName>
    <definedName name="XRefCopy163Row" localSheetId="9" hidden="1">#REF!</definedName>
    <definedName name="XRefCopy163Row" hidden="1">#REF!</definedName>
    <definedName name="XRefCopy164" localSheetId="9" hidden="1">#REF!</definedName>
    <definedName name="XRefCopy164" hidden="1">#REF!</definedName>
    <definedName name="XRefCopy164Row" localSheetId="9" hidden="1">#REF!</definedName>
    <definedName name="XRefCopy164Row" hidden="1">#REF!</definedName>
    <definedName name="XRefCopy165" localSheetId="9" hidden="1">#REF!</definedName>
    <definedName name="XRefCopy165" hidden="1">#REF!</definedName>
    <definedName name="XRefCopy165Row" hidden="1">#REF!</definedName>
    <definedName name="XRefCopy166" localSheetId="9" hidden="1">#REF!</definedName>
    <definedName name="XRefCopy166" hidden="1">#REF!</definedName>
    <definedName name="XRefCopy166Row" hidden="1">#REF!</definedName>
    <definedName name="XRefCopy167" localSheetId="9" hidden="1">#REF!</definedName>
    <definedName name="XRefCopy167" hidden="1">#REF!</definedName>
    <definedName name="XRefCopy167Row" hidden="1">#REF!</definedName>
    <definedName name="XRefCopy168" hidden="1">#REF!</definedName>
    <definedName name="XRefCopy168Row" hidden="1">#REF!</definedName>
    <definedName name="XRefCopy169" hidden="1">#REF!</definedName>
    <definedName name="XRefCopy169Row" hidden="1">#REF!</definedName>
    <definedName name="XRefCopy16Row" localSheetId="9" hidden="1">#REF!</definedName>
    <definedName name="XRefCopy16Row" hidden="1">#REF!</definedName>
    <definedName name="XRefCopy17" hidden="1">#REF!</definedName>
    <definedName name="XRefCopy170" hidden="1">#REF!</definedName>
    <definedName name="XRefCopy170Row" hidden="1">#REF!</definedName>
    <definedName name="XRefCopy171" hidden="1">#REF!</definedName>
    <definedName name="XRefCopy171Row" hidden="1">#REF!</definedName>
    <definedName name="XRefCopy172" hidden="1">#REF!</definedName>
    <definedName name="XRefCopy172Row" hidden="1">#REF!</definedName>
    <definedName name="XRefCopy173" hidden="1">#REF!</definedName>
    <definedName name="XRefCopy173Row" hidden="1">#REF!</definedName>
    <definedName name="XRefCopy174" hidden="1">#REF!</definedName>
    <definedName name="XRefCopy174Row" hidden="1">#REF!</definedName>
    <definedName name="XRefCopy175" hidden="1">#REF!</definedName>
    <definedName name="XRefCopy175Row" hidden="1">#REF!</definedName>
    <definedName name="XRefCopy176" hidden="1">#REF!</definedName>
    <definedName name="XRefCopy176Row" hidden="1">#REF!</definedName>
    <definedName name="XRefCopy177" hidden="1">#REF!</definedName>
    <definedName name="XRefCopy177Row" hidden="1">#REF!</definedName>
    <definedName name="XRefCopy178" hidden="1">#REF!</definedName>
    <definedName name="XRefCopy178Row" hidden="1">#REF!</definedName>
    <definedName name="XRefCopy179" hidden="1">#REF!</definedName>
    <definedName name="XRefCopy179Row" hidden="1">#REF!</definedName>
    <definedName name="XRefCopy17Row" localSheetId="9" hidden="1">#REF!</definedName>
    <definedName name="XRefCopy17Row" hidden="1">#REF!</definedName>
    <definedName name="XRefCopy180" hidden="1">#REF!</definedName>
    <definedName name="XRefCopy180Row" hidden="1">#REF!</definedName>
    <definedName name="XRefCopy181" hidden="1">#REF!</definedName>
    <definedName name="XRefCopy181Row" hidden="1">#REF!</definedName>
    <definedName name="XRefCopy182" hidden="1">#REF!</definedName>
    <definedName name="XRefCopy182Row" hidden="1">#REF!</definedName>
    <definedName name="XRefCopy183" hidden="1">#REF!</definedName>
    <definedName name="XRefCopy183Row" hidden="1">#REF!</definedName>
    <definedName name="XRefCopy184" hidden="1">#REF!</definedName>
    <definedName name="XRefCopy184Row" hidden="1">#REF!</definedName>
    <definedName name="XRefCopy185" hidden="1">#REF!</definedName>
    <definedName name="XRefCopy185Row" hidden="1">#REF!</definedName>
    <definedName name="XRefCopy186" hidden="1">#REF!</definedName>
    <definedName name="XRefCopy186Row" hidden="1">#REF!</definedName>
    <definedName name="XRefCopy187" hidden="1">#REF!</definedName>
    <definedName name="XRefCopy187Row" hidden="1">#REF!</definedName>
    <definedName name="XRefCopy188" hidden="1">#REF!</definedName>
    <definedName name="XRefCopy188Row" hidden="1">#REF!</definedName>
    <definedName name="XRefCopy189" hidden="1">#REF!</definedName>
    <definedName name="XRefCopy189Row" hidden="1">#REF!</definedName>
    <definedName name="XRefCopy18Row" localSheetId="9" hidden="1">#REF!</definedName>
    <definedName name="XRefCopy190" hidden="1">#REF!</definedName>
    <definedName name="XRefCopy190Row" hidden="1">#REF!</definedName>
    <definedName name="XRefCopy191" hidden="1">#REF!</definedName>
    <definedName name="XRefCopy191Row" hidden="1">#REF!</definedName>
    <definedName name="XRefCopy192" hidden="1">#REF!</definedName>
    <definedName name="XRefCopy192Row" hidden="1">#REF!</definedName>
    <definedName name="XRefCopy193" hidden="1">#REF!</definedName>
    <definedName name="XRefCopy193Row" hidden="1">#REF!</definedName>
    <definedName name="XRefCopy194" hidden="1">#REF!</definedName>
    <definedName name="XRefCopy194Row" hidden="1">#REF!</definedName>
    <definedName name="XRefCopy195" hidden="1">#REF!</definedName>
    <definedName name="XRefCopy195Row" hidden="1">#REF!</definedName>
    <definedName name="XRefCopy196" hidden="1">#REF!</definedName>
    <definedName name="XRefCopy196Row" hidden="1">#REF!</definedName>
    <definedName name="XRefCopy197" hidden="1">#REF!</definedName>
    <definedName name="XRefCopy197Row" hidden="1">#REF!</definedName>
    <definedName name="XRefCopy198" hidden="1">#REF!</definedName>
    <definedName name="XRefCopy198Row" hidden="1">#REF!</definedName>
    <definedName name="XRefCopy199" hidden="1">#REF!</definedName>
    <definedName name="XRefCopy199Row" hidden="1">#REF!</definedName>
    <definedName name="XRefCopy19Row" localSheetId="9" hidden="1">#REF!</definedName>
    <definedName name="XRefCopy19Row" hidden="1">#REF!</definedName>
    <definedName name="XRefCopy1Row" localSheetId="9" hidden="1">#REF!</definedName>
    <definedName name="XRefCopy1Row" hidden="1">#REF!</definedName>
    <definedName name="XRefCopy2" localSheetId="9" hidden="1">#REF!</definedName>
    <definedName name="XRefCopy2" hidden="1">#REF!</definedName>
    <definedName name="XRefCopy20" localSheetId="9" hidden="1">#REF!</definedName>
    <definedName name="XRefCopy200" hidden="1">#REF!</definedName>
    <definedName name="XRefCopy200Row" hidden="1">#REF!</definedName>
    <definedName name="XRefCopy201" hidden="1">#REF!</definedName>
    <definedName name="XRefCopy201Row" hidden="1">#REF!</definedName>
    <definedName name="XRefCopy202" hidden="1">#REF!</definedName>
    <definedName name="XRefCopy202Row" hidden="1">#REF!</definedName>
    <definedName name="XRefCopy203" hidden="1">#REF!</definedName>
    <definedName name="XRefCopy203Row" hidden="1">#REF!</definedName>
    <definedName name="XRefCopy204" hidden="1">#REF!</definedName>
    <definedName name="XRefCopy204Row" hidden="1">#REF!</definedName>
    <definedName name="XRefCopy205" hidden="1">#REF!</definedName>
    <definedName name="XRefCopy205Row" hidden="1">#REF!</definedName>
    <definedName name="XRefCopy206" hidden="1">#REF!</definedName>
    <definedName name="XRefCopy206Row" hidden="1">#REF!</definedName>
    <definedName name="XRefCopy207" hidden="1">#REF!</definedName>
    <definedName name="XRefCopy207Row" hidden="1">#REF!</definedName>
    <definedName name="XRefCopy208" hidden="1">#REF!</definedName>
    <definedName name="XRefCopy208Row" hidden="1">#REF!</definedName>
    <definedName name="XRefCopy209" hidden="1">#REF!</definedName>
    <definedName name="XRefCopy209Row" hidden="1">#REF!</definedName>
    <definedName name="XRefCopy20Row" localSheetId="9" hidden="1">#REF!</definedName>
    <definedName name="XRefCopy20Row" hidden="1">#REF!</definedName>
    <definedName name="XRefCopy210" hidden="1">#REF!</definedName>
    <definedName name="XRefCopy210Row" hidden="1">#REF!</definedName>
    <definedName name="XRefCopy211" hidden="1">#REF!</definedName>
    <definedName name="XRefCopy211Row" hidden="1">#REF!</definedName>
    <definedName name="XRefCopy212" hidden="1">#REF!</definedName>
    <definedName name="XRefCopy212Row" hidden="1">#REF!</definedName>
    <definedName name="XRefCopy213" hidden="1">#REF!</definedName>
    <definedName name="XRefCopy213Row" hidden="1">#REF!</definedName>
    <definedName name="XRefCopy214" hidden="1">#REF!</definedName>
    <definedName name="XRefCopy214Row" hidden="1">#REF!</definedName>
    <definedName name="XRefCopy215" hidden="1">#REF!</definedName>
    <definedName name="XRefCopy215Row" hidden="1">#REF!</definedName>
    <definedName name="XRefCopy216" hidden="1">#REF!</definedName>
    <definedName name="XRefCopy216Row" hidden="1">#REF!</definedName>
    <definedName name="XRefCopy217" hidden="1">#REF!</definedName>
    <definedName name="XRefCopy217Row" hidden="1">#REF!</definedName>
    <definedName name="XRefCopy218" hidden="1">#REF!</definedName>
    <definedName name="XRefCopy218Row" hidden="1">#REF!</definedName>
    <definedName name="XRefCopy219" hidden="1">#REF!</definedName>
    <definedName name="XRefCopy219Row" hidden="1">#REF!</definedName>
    <definedName name="XRefCopy21Row" localSheetId="9" hidden="1">#REF!</definedName>
    <definedName name="XRefCopy21Row" hidden="1">#REF!</definedName>
    <definedName name="XRefCopy220" hidden="1">#REF!</definedName>
    <definedName name="XRefCopy220Row" hidden="1">#REF!</definedName>
    <definedName name="XRefCopy221" hidden="1">#REF!</definedName>
    <definedName name="XRefCopy221Row" hidden="1">#REF!</definedName>
    <definedName name="XRefCopy222" hidden="1">#REF!</definedName>
    <definedName name="XRefCopy222Row" hidden="1">#REF!</definedName>
    <definedName name="XRefCopy223" hidden="1">#REF!</definedName>
    <definedName name="XRefCopy224" hidden="1">#REF!</definedName>
    <definedName name="XRefCopy224Row" hidden="1">#REF!</definedName>
    <definedName name="XRefCopy225" hidden="1">#REF!</definedName>
    <definedName name="XRefCopy225Row" hidden="1">#REF!</definedName>
    <definedName name="XRefCopy226" hidden="1">#REF!</definedName>
    <definedName name="XRefCopy226Row" hidden="1">#REF!</definedName>
    <definedName name="XRefCopy227" hidden="1">#REF!</definedName>
    <definedName name="XRefCopy227Row" hidden="1">#REF!</definedName>
    <definedName name="XRefCopy228" hidden="1">#REF!</definedName>
    <definedName name="XRefCopy228Row" hidden="1">#REF!</definedName>
    <definedName name="XRefCopy229" hidden="1">#REF!</definedName>
    <definedName name="XRefCopy229Row" hidden="1">#REF!</definedName>
    <definedName name="XRefCopy22Row" localSheetId="9" hidden="1">#REF!</definedName>
    <definedName name="XRefCopy22Row" hidden="1">#REF!</definedName>
    <definedName name="XRefCopy230" hidden="1">#REF!</definedName>
    <definedName name="XRefCopy230Row" hidden="1">#REF!</definedName>
    <definedName name="XRefCopy231" hidden="1">#REF!</definedName>
    <definedName name="XRefCopy231Row" hidden="1">#REF!</definedName>
    <definedName name="XRefCopy232" hidden="1">#REF!</definedName>
    <definedName name="XRefCopy232Row" hidden="1">#REF!</definedName>
    <definedName name="XRefCopy233" hidden="1">#REF!</definedName>
    <definedName name="XRefCopy233Row" hidden="1">#REF!</definedName>
    <definedName name="XRefCopy234" hidden="1">#REF!</definedName>
    <definedName name="XRefCopy234Row" hidden="1">#REF!</definedName>
    <definedName name="XRefCopy235" hidden="1">#REF!</definedName>
    <definedName name="XRefCopy235Row" hidden="1">#REF!</definedName>
    <definedName name="XRefCopy236" hidden="1">#REF!</definedName>
    <definedName name="XRefCopy236Row" hidden="1">#REF!</definedName>
    <definedName name="XRefCopy237" hidden="1">#REF!</definedName>
    <definedName name="XRefCopy237Row" hidden="1">#REF!</definedName>
    <definedName name="XRefCopy238" hidden="1">#REF!</definedName>
    <definedName name="XRefCopy238Row" hidden="1">#REF!</definedName>
    <definedName name="XRefCopy239" hidden="1">#REF!</definedName>
    <definedName name="XRefCopy239Row" hidden="1">#REF!</definedName>
    <definedName name="XRefCopy23Row" localSheetId="9" hidden="1">#REF!</definedName>
    <definedName name="XRefCopy23Row" hidden="1">#REF!</definedName>
    <definedName name="XRefCopy240" hidden="1">#REF!</definedName>
    <definedName name="XRefCopy240Row" hidden="1">#REF!</definedName>
    <definedName name="XRefCopy241" hidden="1">#REF!</definedName>
    <definedName name="XRefCopy241Row" hidden="1">#REF!</definedName>
    <definedName name="XRefCopy242" hidden="1">#REF!</definedName>
    <definedName name="XRefCopy242Row" hidden="1">#REF!</definedName>
    <definedName name="XRefCopy243" hidden="1">#REF!</definedName>
    <definedName name="XRefCopy243Row" hidden="1">#REF!</definedName>
    <definedName name="XRefCopy244" hidden="1">#REF!</definedName>
    <definedName name="XRefCopy244Row" hidden="1">#REF!</definedName>
    <definedName name="XRefCopy245" hidden="1">#REF!</definedName>
    <definedName name="XRefCopy245Row" hidden="1">#REF!</definedName>
    <definedName name="XRefCopy246" hidden="1">#REF!</definedName>
    <definedName name="XRefCopy246Row" hidden="1">#REF!</definedName>
    <definedName name="XRefCopy247" hidden="1">#REF!</definedName>
    <definedName name="XRefCopy247Row" hidden="1">#REF!</definedName>
    <definedName name="XRefCopy248" hidden="1">#REF!</definedName>
    <definedName name="XRefCopy248Row" hidden="1">#REF!</definedName>
    <definedName name="XRefCopy249" hidden="1">#REF!</definedName>
    <definedName name="XRefCopy249Row" hidden="1">#REF!</definedName>
    <definedName name="XRefCopy24Row" localSheetId="9" hidden="1">#REF!</definedName>
    <definedName name="XRefCopy24Row" hidden="1">#REF!</definedName>
    <definedName name="XRefCopy250" hidden="1">#REF!</definedName>
    <definedName name="XRefCopy250Row" hidden="1">#REF!</definedName>
    <definedName name="XRefCopy251" hidden="1">#REF!</definedName>
    <definedName name="XRefCopy251Row" hidden="1">#REF!</definedName>
    <definedName name="XRefCopy252" hidden="1">#REF!</definedName>
    <definedName name="XRefCopy252Row" hidden="1">#REF!</definedName>
    <definedName name="XRefCopy253" hidden="1">#REF!</definedName>
    <definedName name="XRefCopy253Row" hidden="1">#REF!</definedName>
    <definedName name="XRefCopy254" hidden="1">#REF!</definedName>
    <definedName name="XRefCopy254Row" hidden="1">#REF!</definedName>
    <definedName name="XRefCopy255" hidden="1">#REF!</definedName>
    <definedName name="XRefCopy255Row" hidden="1">#REF!</definedName>
    <definedName name="XRefCopy256" hidden="1">#REF!</definedName>
    <definedName name="XRefCopy256Row" hidden="1">#REF!</definedName>
    <definedName name="XRefCopy257" hidden="1">#REF!</definedName>
    <definedName name="XRefCopy257Row" hidden="1">#REF!</definedName>
    <definedName name="XRefCopy258" hidden="1">#REF!</definedName>
    <definedName name="XRefCopy258Row" hidden="1">#REF!</definedName>
    <definedName name="XRefCopy259" hidden="1">#REF!</definedName>
    <definedName name="XRefCopy259Row" hidden="1">#REF!</definedName>
    <definedName name="XRefCopy25Row" localSheetId="9" hidden="1">#REF!</definedName>
    <definedName name="XRefCopy25Row" hidden="1">#REF!</definedName>
    <definedName name="XRefCopy260" hidden="1">#REF!</definedName>
    <definedName name="XRefCopy260Row" hidden="1">#REF!</definedName>
    <definedName name="XRefCopy261" hidden="1">#REF!</definedName>
    <definedName name="XRefCopy261Row" hidden="1">#REF!</definedName>
    <definedName name="XRefCopy262" hidden="1">#REF!</definedName>
    <definedName name="XRefCopy262Row" hidden="1">#REF!</definedName>
    <definedName name="XRefCopy263" hidden="1">#REF!</definedName>
    <definedName name="XRefCopy263Row" hidden="1">#REF!</definedName>
    <definedName name="XRefCopy264" hidden="1">#REF!</definedName>
    <definedName name="XRefCopy264Row" hidden="1">#REF!</definedName>
    <definedName name="XRefCopy265" hidden="1">#REF!</definedName>
    <definedName name="XRefCopy265Row" hidden="1">#REF!</definedName>
    <definedName name="XRefCopy266" hidden="1">#REF!</definedName>
    <definedName name="XRefCopy266Row" hidden="1">#REF!</definedName>
    <definedName name="XRefCopy267" hidden="1">#REF!</definedName>
    <definedName name="XRefCopy267Row" hidden="1">#REF!</definedName>
    <definedName name="XRefCopy268" hidden="1">#REF!</definedName>
    <definedName name="XRefCopy268Row" hidden="1">#REF!</definedName>
    <definedName name="XRefCopy269" hidden="1">#REF!</definedName>
    <definedName name="XRefCopy269Row" hidden="1">#REF!</definedName>
    <definedName name="XRefCopy26Row" localSheetId="9" hidden="1">#REF!</definedName>
    <definedName name="XRefCopy26Row" hidden="1">#REF!</definedName>
    <definedName name="XRefCopy270" hidden="1">#REF!</definedName>
    <definedName name="XRefCopy270Row" hidden="1">#REF!</definedName>
    <definedName name="XRefCopy271" hidden="1">#REF!</definedName>
    <definedName name="XRefCopy271Row" hidden="1">#REF!</definedName>
    <definedName name="XRefCopy272" hidden="1">#REF!</definedName>
    <definedName name="XRefCopy272Row" hidden="1">#REF!</definedName>
    <definedName name="XRefCopy273" hidden="1">#REF!</definedName>
    <definedName name="XRefCopy273Row" hidden="1">#REF!</definedName>
    <definedName name="XRefCopy274" hidden="1">#REF!</definedName>
    <definedName name="XRefCopy274Row" hidden="1">#REF!</definedName>
    <definedName name="XRefCopy275" hidden="1">#REF!</definedName>
    <definedName name="XRefCopy275Row" hidden="1">#REF!</definedName>
    <definedName name="XRefCopy276" hidden="1">#REF!</definedName>
    <definedName name="XRefCopy276Row" hidden="1">#REF!</definedName>
    <definedName name="XRefCopy277" hidden="1">#REF!</definedName>
    <definedName name="XRefCopy277Row" hidden="1">#REF!</definedName>
    <definedName name="XRefCopy278" hidden="1">#REF!</definedName>
    <definedName name="XRefCopy278Row" hidden="1">#REF!</definedName>
    <definedName name="XRefCopy279" hidden="1">#REF!</definedName>
    <definedName name="XRefCopy279Row" hidden="1">#REF!</definedName>
    <definedName name="XRefCopy27Row" localSheetId="9" hidden="1">#REF!</definedName>
    <definedName name="XRefCopy27Row" hidden="1">#REF!</definedName>
    <definedName name="XRefCopy280" hidden="1">#REF!</definedName>
    <definedName name="XRefCopy280Row" hidden="1">#REF!</definedName>
    <definedName name="XRefCopy281" hidden="1">#REF!</definedName>
    <definedName name="XRefCopy281Row" hidden="1">#REF!</definedName>
    <definedName name="XRefCopy282" hidden="1">#REF!</definedName>
    <definedName name="XRefCopy282Row" hidden="1">#REF!</definedName>
    <definedName name="XRefCopy283" hidden="1">#REF!</definedName>
    <definedName name="XRefCopy283Row" hidden="1">#REF!</definedName>
    <definedName name="XRefCopy284" hidden="1">#REF!</definedName>
    <definedName name="XRefCopy284Row" hidden="1">#REF!</definedName>
    <definedName name="XRefCopy285" hidden="1">#REF!</definedName>
    <definedName name="XRefCopy285Row" hidden="1">#REF!</definedName>
    <definedName name="XRefCopy286" hidden="1">#REF!</definedName>
    <definedName name="XRefCopy286Row" hidden="1">#REF!</definedName>
    <definedName name="XRefCopy287" hidden="1">#REF!</definedName>
    <definedName name="XRefCopy287Row" hidden="1">#REF!</definedName>
    <definedName name="XRefCopy288" hidden="1">#REF!</definedName>
    <definedName name="XRefCopy288Row" hidden="1">#REF!</definedName>
    <definedName name="XRefCopy289" hidden="1">#REF!</definedName>
    <definedName name="XRefCopy289Row" hidden="1">#REF!</definedName>
    <definedName name="XRefCopy28Row" localSheetId="9" hidden="1">#REF!</definedName>
    <definedName name="XRefCopy28Row" hidden="1">#REF!</definedName>
    <definedName name="XRefCopy290" hidden="1">#REF!</definedName>
    <definedName name="XRefCopy290Row" hidden="1">#REF!</definedName>
    <definedName name="XRefCopy291" hidden="1">#REF!</definedName>
    <definedName name="XRefCopy291Row" hidden="1">#REF!</definedName>
    <definedName name="XRefCopy292" hidden="1">#REF!</definedName>
    <definedName name="XRefCopy292Row" hidden="1">#REF!</definedName>
    <definedName name="XRefCopy29Row" localSheetId="9" hidden="1">#REF!</definedName>
    <definedName name="XRefCopy29Row" hidden="1">#REF!</definedName>
    <definedName name="XRefCopy2Row" localSheetId="9" hidden="1">#REF!</definedName>
    <definedName name="XRefCopy2Row" hidden="1">#REF!</definedName>
    <definedName name="XRefCopy30Row" localSheetId="9" hidden="1">#REF!</definedName>
    <definedName name="XRefCopy30Row" hidden="1">#REF!</definedName>
    <definedName name="XRefCopy31Row" localSheetId="9" hidden="1">#REF!</definedName>
    <definedName name="XRefCopy31Row" hidden="1">#REF!</definedName>
    <definedName name="XRefCopy32Row" localSheetId="9" hidden="1">#REF!</definedName>
    <definedName name="XRefCopy32Row" hidden="1">#REF!</definedName>
    <definedName name="XRefCopy33Row" localSheetId="9" hidden="1">#REF!</definedName>
    <definedName name="XRefCopy33Row" hidden="1">#REF!</definedName>
    <definedName name="XRefCopy34Row" localSheetId="9" hidden="1">#REF!</definedName>
    <definedName name="XRefCopy34Row" hidden="1">#REF!</definedName>
    <definedName name="XRefCopy35Row" localSheetId="9" hidden="1">#REF!</definedName>
    <definedName name="XRefCopy35Row" hidden="1">#REF!</definedName>
    <definedName name="XRefCopy36Row" localSheetId="9" hidden="1">#REF!</definedName>
    <definedName name="XRefCopy36Row" hidden="1">#REF!</definedName>
    <definedName name="XRefCopy37Row" localSheetId="9" hidden="1">#REF!</definedName>
    <definedName name="XRefCopy37Row" hidden="1">#REF!</definedName>
    <definedName name="XRefCopy38Row" localSheetId="9" hidden="1">#REF!</definedName>
    <definedName name="XRefCopy38Row" hidden="1">#REF!</definedName>
    <definedName name="XRefCopy39Row" localSheetId="9" hidden="1">#REF!</definedName>
    <definedName name="XRefCopy39Row" hidden="1">#REF!</definedName>
    <definedName name="XRefCopy3Row" localSheetId="9" hidden="1">#REF!</definedName>
    <definedName name="XRefCopy40Row" localSheetId="9" hidden="1">#REF!</definedName>
    <definedName name="XRefCopy40Row" hidden="1">#REF!</definedName>
    <definedName name="XRefCopy41Row" localSheetId="9" hidden="1">#REF!</definedName>
    <definedName name="XRefCopy41Row" hidden="1">#REF!</definedName>
    <definedName name="XRefCopy42Row" localSheetId="9" hidden="1">#REF!</definedName>
    <definedName name="XRefCopy42Row" hidden="1">#REF!</definedName>
    <definedName name="XRefCopy43Row" localSheetId="9" hidden="1">#REF!</definedName>
    <definedName name="XRefCopy43Row" hidden="1">#REF!</definedName>
    <definedName name="XRefCopy44Row" localSheetId="9" hidden="1">#REF!</definedName>
    <definedName name="XRefCopy44Row" hidden="1">#REF!</definedName>
    <definedName name="XRefCopy45Row" localSheetId="9" hidden="1">#REF!</definedName>
    <definedName name="XRefCopy45Row" hidden="1">#REF!</definedName>
    <definedName name="XRefCopy46Row" localSheetId="9" hidden="1">#REF!</definedName>
    <definedName name="XRefCopy46Row" hidden="1">#REF!</definedName>
    <definedName name="XRefCopy47Row" localSheetId="9" hidden="1">#REF!</definedName>
    <definedName name="XRefCopy47Row" hidden="1">#REF!</definedName>
    <definedName name="XRefCopy48Row" localSheetId="9" hidden="1">#REF!</definedName>
    <definedName name="XRefCopy48Row" hidden="1">#REF!</definedName>
    <definedName name="XRefCopy49Row" localSheetId="9" hidden="1">#REF!</definedName>
    <definedName name="XRefCopy49Row" hidden="1">#REF!</definedName>
    <definedName name="XRefCopy4Row" localSheetId="9" hidden="1">#REF!</definedName>
    <definedName name="XRefCopy50Row" localSheetId="9" hidden="1">#REF!</definedName>
    <definedName name="XRefCopy50Row" hidden="1">#REF!</definedName>
    <definedName name="XRefCopy51Row" localSheetId="9" hidden="1">#REF!</definedName>
    <definedName name="XRefCopy51Row" hidden="1">#REF!</definedName>
    <definedName name="XRefCopy52Row" localSheetId="9" hidden="1">#REF!</definedName>
    <definedName name="XRefCopy52Row" hidden="1">#REF!</definedName>
    <definedName name="XRefCopy53" localSheetId="9" hidden="1">#REF!</definedName>
    <definedName name="XRefCopy53" hidden="1">#REF!</definedName>
    <definedName name="XRefCopy53Row" localSheetId="9" hidden="1">#REF!</definedName>
    <definedName name="XRefCopy53Row" hidden="1">#REF!</definedName>
    <definedName name="XRefCopy54" hidden="1">#REF!</definedName>
    <definedName name="XRefCopy54Row" localSheetId="9" hidden="1">#REF!</definedName>
    <definedName name="XRefCopy54Row" hidden="1">#REF!</definedName>
    <definedName name="XRefCopy55" hidden="1">#REF!</definedName>
    <definedName name="XRefCopy55Row" localSheetId="9" hidden="1">#REF!</definedName>
    <definedName name="XRefCopy55Row" hidden="1">#REF!</definedName>
    <definedName name="XRefCopy56" hidden="1">#REF!</definedName>
    <definedName name="XRefCopy56Row" localSheetId="9" hidden="1">#REF!</definedName>
    <definedName name="XRefCopy56Row" hidden="1">#REF!</definedName>
    <definedName name="XRefCopy57" hidden="1">#REF!</definedName>
    <definedName name="XRefCopy57Row" localSheetId="9" hidden="1">#REF!</definedName>
    <definedName name="XRefCopy57Row" hidden="1">#REF!</definedName>
    <definedName name="XRefCopy58" hidden="1">#REF!</definedName>
    <definedName name="XRefCopy58Row" localSheetId="9" hidden="1">#REF!</definedName>
    <definedName name="XRefCopy58Row" hidden="1">#REF!</definedName>
    <definedName name="XRefCopy59" hidden="1">#REF!</definedName>
    <definedName name="XRefCopy59Row" localSheetId="9" hidden="1">#REF!</definedName>
    <definedName name="XRefCopy59Row" hidden="1">#REF!</definedName>
    <definedName name="XRefCopy60" hidden="1">#REF!</definedName>
    <definedName name="XRefCopy60Row" localSheetId="9" hidden="1">#REF!</definedName>
    <definedName name="XRefCopy60Row" hidden="1">#REF!</definedName>
    <definedName name="XRefCopy61" hidden="1">#REF!</definedName>
    <definedName name="XRefCopy61Row" localSheetId="9" hidden="1">#REF!</definedName>
    <definedName name="XRefCopy61Row" hidden="1">#REF!</definedName>
    <definedName name="XRefCopy62" hidden="1">#REF!</definedName>
    <definedName name="XRefCopy62Row" localSheetId="9" hidden="1">#REF!</definedName>
    <definedName name="XRefCopy62Row" hidden="1">#REF!</definedName>
    <definedName name="XRefCopy63" hidden="1">#REF!</definedName>
    <definedName name="XRefCopy63Row" localSheetId="9" hidden="1">#REF!</definedName>
    <definedName name="XRefCopy63Row" hidden="1">#REF!</definedName>
    <definedName name="XRefCopy64" hidden="1">#REF!</definedName>
    <definedName name="XRefCopy64Row" localSheetId="9" hidden="1">#REF!</definedName>
    <definedName name="XRefCopy64Row" hidden="1">#REF!</definedName>
    <definedName name="XRefCopy65" hidden="1">#REF!</definedName>
    <definedName name="XRefCopy65Row" localSheetId="9" hidden="1">#REF!</definedName>
    <definedName name="XRefCopy65Row" hidden="1">#REF!</definedName>
    <definedName name="XRefCopy66" hidden="1">#REF!</definedName>
    <definedName name="XRefCopy66Row" localSheetId="9" hidden="1">#REF!</definedName>
    <definedName name="XRefCopy66Row" hidden="1">#REF!</definedName>
    <definedName name="XRefCopy67" hidden="1">#REF!</definedName>
    <definedName name="XRefCopy67Row" localSheetId="9" hidden="1">#REF!</definedName>
    <definedName name="XRefCopy67Row" hidden="1">#REF!</definedName>
    <definedName name="XRefCopy68" hidden="1">#REF!</definedName>
    <definedName name="XRefCopy68Row" localSheetId="9" hidden="1">#REF!</definedName>
    <definedName name="XRefCopy68Row" hidden="1">#REF!</definedName>
    <definedName name="XRefCopy69" hidden="1">#REF!</definedName>
    <definedName name="XRefCopy69Row" localSheetId="9" hidden="1">#REF!</definedName>
    <definedName name="XRefCopy69Row" hidden="1">#REF!</definedName>
    <definedName name="XRefCopy7" localSheetId="9" hidden="1">'VARIACION DEL ACTIVO NETO'!#REF!</definedName>
    <definedName name="XRefCopy70" hidden="1">#REF!</definedName>
    <definedName name="XRefCopy70Row" localSheetId="9" hidden="1">#REF!</definedName>
    <definedName name="XRefCopy70Row" hidden="1">#REF!</definedName>
    <definedName name="XRefCopy71" hidden="1">#REF!</definedName>
    <definedName name="XRefCopy71Row" localSheetId="9" hidden="1">#REF!</definedName>
    <definedName name="XRefCopy71Row" hidden="1">#REF!</definedName>
    <definedName name="XRefCopy72" hidden="1">#REF!</definedName>
    <definedName name="XRefCopy72Row" localSheetId="9" hidden="1">#REF!</definedName>
    <definedName name="XRefCopy72Row" hidden="1">#REF!</definedName>
    <definedName name="XRefCopy73" hidden="1">#REF!</definedName>
    <definedName name="XRefCopy73Row" localSheetId="9" hidden="1">#REF!</definedName>
    <definedName name="XRefCopy73Row" hidden="1">#REF!</definedName>
    <definedName name="XRefCopy74" hidden="1">#REF!</definedName>
    <definedName name="XRefCopy74Row" localSheetId="9" hidden="1">#REF!</definedName>
    <definedName name="XRefCopy74Row" hidden="1">#REF!</definedName>
    <definedName name="XRefCopy75" localSheetId="9" hidden="1">'VARIACION DEL ACTIVO NETO'!#REF!</definedName>
    <definedName name="XRefCopy75" hidden="1">#REF!</definedName>
    <definedName name="XRefCopy75Row" localSheetId="9" hidden="1">#REF!</definedName>
    <definedName name="XRefCopy75Row" hidden="1">#REF!</definedName>
    <definedName name="XRefCopy76" localSheetId="9" hidden="1">'VARIACION DEL ACTIVO NETO'!#REF!</definedName>
    <definedName name="XRefCopy76" hidden="1">#REF!</definedName>
    <definedName name="XRefCopy76Row" localSheetId="9" hidden="1">#REF!</definedName>
    <definedName name="XRefCopy76Row" hidden="1">#REF!</definedName>
    <definedName name="XRefCopy77" hidden="1">#REF!</definedName>
    <definedName name="XRefCopy77Row" localSheetId="9" hidden="1">#REF!</definedName>
    <definedName name="XRefCopy77Row" hidden="1">#REF!</definedName>
    <definedName name="XRefCopy78" hidden="1">#REF!</definedName>
    <definedName name="XRefCopy78Row" localSheetId="9" hidden="1">#REF!</definedName>
    <definedName name="XRefCopy78Row" hidden="1">#REF!</definedName>
    <definedName name="XRefCopy79" hidden="1">#REF!</definedName>
    <definedName name="XRefCopy79Row" localSheetId="9" hidden="1">#REF!</definedName>
    <definedName name="XRefCopy79Row" hidden="1">#REF!</definedName>
    <definedName name="XRefCopy7Row" localSheetId="9" hidden="1">#REF!</definedName>
    <definedName name="XRefCopy7Row" hidden="1">#REF!</definedName>
    <definedName name="XRefCopy8" localSheetId="9" hidden="1">'VARIACION DEL ACTIVO NETO'!#REF!</definedName>
    <definedName name="XRefCopy80Row" localSheetId="9" hidden="1">#REF!</definedName>
    <definedName name="XRefCopy80Row" hidden="1">#REF!</definedName>
    <definedName name="XRefCopy81Row" localSheetId="9" hidden="1">#REF!</definedName>
    <definedName name="XRefCopy81Row" hidden="1">#REF!</definedName>
    <definedName name="XRefCopy82Row" localSheetId="9" hidden="1">#REF!</definedName>
    <definedName name="XRefCopy82Row" hidden="1">#REF!</definedName>
    <definedName name="XRefCopy83Row" localSheetId="9" hidden="1">#REF!</definedName>
    <definedName name="XRefCopy83Row" hidden="1">#REF!</definedName>
    <definedName name="XRefCopy84Row" localSheetId="9" hidden="1">#REF!</definedName>
    <definedName name="XRefCopy84Row" hidden="1">#REF!</definedName>
    <definedName name="XRefCopy85" hidden="1">#REF!</definedName>
    <definedName name="XRefCopy85Row" localSheetId="9" hidden="1">#REF!</definedName>
    <definedName name="XRefCopy85Row" hidden="1">#REF!</definedName>
    <definedName name="XRefCopy86" hidden="1">#REF!</definedName>
    <definedName name="XRefCopy86Row" localSheetId="9" hidden="1">#REF!</definedName>
    <definedName name="XRefCopy86Row" hidden="1">#REF!</definedName>
    <definedName name="XRefCopy87" hidden="1">#REF!</definedName>
    <definedName name="XRefCopy87Row" localSheetId="9" hidden="1">#REF!</definedName>
    <definedName name="XRefCopy87Row" hidden="1">#REF!</definedName>
    <definedName name="XRefCopy88" hidden="1">#REF!</definedName>
    <definedName name="XRefCopy88Row" localSheetId="9" hidden="1">#REF!</definedName>
    <definedName name="XRefCopy88Row" hidden="1">#REF!</definedName>
    <definedName name="XRefCopy89" hidden="1">#REF!</definedName>
    <definedName name="XRefCopy89Row" localSheetId="9" hidden="1">#REF!</definedName>
    <definedName name="XRefCopy89Row" hidden="1">#REF!</definedName>
    <definedName name="XRefCopy8Row" localSheetId="9" hidden="1">#REF!</definedName>
    <definedName name="XRefCopy8Row" hidden="1">#REF!</definedName>
    <definedName name="XRefCopy9" localSheetId="9" hidden="1">'VARIACION DEL ACTIVO NETO'!#REF!</definedName>
    <definedName name="XRefCopy90" hidden="1">#REF!</definedName>
    <definedName name="XRefCopy90Row" localSheetId="9" hidden="1">#REF!</definedName>
    <definedName name="XRefCopy90Row" hidden="1">#REF!</definedName>
    <definedName name="XRefCopy91" hidden="1">#REF!</definedName>
    <definedName name="XRefCopy91Row" localSheetId="9" hidden="1">#REF!</definedName>
    <definedName name="XRefCopy91Row" hidden="1">#REF!</definedName>
    <definedName name="XRefCopy92" localSheetId="9" hidden="1">#REF!</definedName>
    <definedName name="XRefCopy92" hidden="1">#REF!</definedName>
    <definedName name="XRefCopy92Row" localSheetId="9" hidden="1">#REF!</definedName>
    <definedName name="XRefCopy92Row" hidden="1">#REF!</definedName>
    <definedName name="XRefCopy93" localSheetId="9" hidden="1">#REF!</definedName>
    <definedName name="XRefCopy93" hidden="1">#REF!</definedName>
    <definedName name="XRefCopy93Row" localSheetId="9" hidden="1">#REF!</definedName>
    <definedName name="XRefCopy93Row" hidden="1">#REF!</definedName>
    <definedName name="XRefCopy94" localSheetId="9" hidden="1">#REF!</definedName>
    <definedName name="XRefCopy94" hidden="1">#REF!</definedName>
    <definedName name="XRefCopy94Row" localSheetId="9" hidden="1">#REF!</definedName>
    <definedName name="XRefCopy94Row" hidden="1">#REF!</definedName>
    <definedName name="XRefCopy95" hidden="1">#REF!</definedName>
    <definedName name="XRefCopy95Row" localSheetId="9" hidden="1">#REF!</definedName>
    <definedName name="XRefCopy95Row" hidden="1">#REF!</definedName>
    <definedName name="XRefCopy96" hidden="1">#REF!</definedName>
    <definedName name="XRefCopy96Row" localSheetId="9" hidden="1">#REF!</definedName>
    <definedName name="XRefCopy96Row" hidden="1">#REF!</definedName>
    <definedName name="XRefCopy97" hidden="1">#REF!</definedName>
    <definedName name="XRefCopy97Row" localSheetId="9" hidden="1">#REF!</definedName>
    <definedName name="XRefCopy97Row" hidden="1">#REF!</definedName>
    <definedName name="XRefCopy98" hidden="1">#REF!</definedName>
    <definedName name="XRefCopy98Row" localSheetId="9" hidden="1">#REF!</definedName>
    <definedName name="XRefCopy98Row" hidden="1">#REF!</definedName>
    <definedName name="XRefCopy99" hidden="1">#REF!</definedName>
    <definedName name="XRefCopy99Row" localSheetId="9" hidden="1">#REF!</definedName>
    <definedName name="XRefCopy99Row" hidden="1">#REF!</definedName>
    <definedName name="XRefCopy9Row" localSheetId="9" hidden="1">#REF!</definedName>
    <definedName name="XRefCopy9Row" hidden="1">#REF!</definedName>
    <definedName name="XRefCopyRangeCount" localSheetId="9" hidden="1">76</definedName>
    <definedName name="XRefCopyRangeCount" hidden="1">4</definedName>
    <definedName name="XRefPaste1" hidden="1">#REF!</definedName>
    <definedName name="XRefPaste10" hidden="1">#REF!</definedName>
    <definedName name="XRefPaste100" localSheetId="9" hidden="1">#REF!</definedName>
    <definedName name="XRefPaste100" hidden="1">#REF!</definedName>
    <definedName name="XRefPaste100Row" localSheetId="9" hidden="1">#REF!</definedName>
    <definedName name="XRefPaste100Row" hidden="1">#REF!</definedName>
    <definedName name="XRefPaste101" localSheetId="9" hidden="1">#REF!</definedName>
    <definedName name="XRefPaste101" hidden="1">#REF!</definedName>
    <definedName name="XRefPaste101Row" localSheetId="9" hidden="1">#REF!</definedName>
    <definedName name="XRefPaste101Row" hidden="1">#REF!</definedName>
    <definedName name="XRefPaste102" localSheetId="9" hidden="1">#REF!</definedName>
    <definedName name="XRefPaste102" hidden="1">#REF!</definedName>
    <definedName name="XRefPaste102Row" localSheetId="9" hidden="1">#REF!</definedName>
    <definedName name="XRefPaste102Row" hidden="1">#REF!</definedName>
    <definedName name="XRefPaste103" localSheetId="9" hidden="1">#REF!</definedName>
    <definedName name="XRefPaste103" hidden="1">#REF!</definedName>
    <definedName name="XRefPaste103Row" localSheetId="9" hidden="1">#REF!</definedName>
    <definedName name="XRefPaste103Row" hidden="1">#REF!</definedName>
    <definedName name="XRefPaste104" localSheetId="9" hidden="1">#REF!</definedName>
    <definedName name="XRefPaste104" hidden="1">#REF!</definedName>
    <definedName name="XRefPaste104Row" localSheetId="9" hidden="1">#REF!</definedName>
    <definedName name="XRefPaste104Row" hidden="1">#REF!</definedName>
    <definedName name="XRefPaste105" localSheetId="9" hidden="1">#REF!</definedName>
    <definedName name="XRefPaste105" hidden="1">#REF!</definedName>
    <definedName name="XRefPaste105Row" localSheetId="9" hidden="1">#REF!</definedName>
    <definedName name="XRefPaste105Row" hidden="1">#REF!</definedName>
    <definedName name="XRefPaste106" localSheetId="9" hidden="1">#REF!</definedName>
    <definedName name="XRefPaste106" hidden="1">#REF!</definedName>
    <definedName name="XRefPaste106Row" localSheetId="9" hidden="1">#REF!</definedName>
    <definedName name="XRefPaste106Row" hidden="1">#REF!</definedName>
    <definedName name="XRefPaste107" localSheetId="9" hidden="1">#REF!</definedName>
    <definedName name="XRefPaste107" hidden="1">#REF!</definedName>
    <definedName name="XRefPaste107Row" localSheetId="9" hidden="1">#REF!</definedName>
    <definedName name="XRefPaste107Row" hidden="1">#REF!</definedName>
    <definedName name="XRefPaste108" localSheetId="9" hidden="1">#REF!</definedName>
    <definedName name="XRefPaste108" hidden="1">#REF!</definedName>
    <definedName name="XRefPaste108Row" localSheetId="9" hidden="1">#REF!</definedName>
    <definedName name="XRefPaste108Row" hidden="1">#REF!</definedName>
    <definedName name="XRefPaste109" localSheetId="9" hidden="1">#REF!</definedName>
    <definedName name="XRefPaste109" hidden="1">#REF!</definedName>
    <definedName name="XRefPaste109Row" localSheetId="9" hidden="1">#REF!</definedName>
    <definedName name="XRefPaste109Row" hidden="1">#REF!</definedName>
    <definedName name="XRefPaste10Row" localSheetId="9" hidden="1">#REF!</definedName>
    <definedName name="XRefPaste10Row" hidden="1">#REF!</definedName>
    <definedName name="XRefPaste11" hidden="1">#REF!</definedName>
    <definedName name="XRefPaste110" localSheetId="9" hidden="1">#REF!</definedName>
    <definedName name="XRefPaste110" hidden="1">#REF!</definedName>
    <definedName name="XRefPaste110Row" localSheetId="9" hidden="1">#REF!</definedName>
    <definedName name="XRefPaste110Row" hidden="1">#REF!</definedName>
    <definedName name="XRefPaste111" localSheetId="9" hidden="1">#REF!</definedName>
    <definedName name="XRefPaste111" hidden="1">#REF!</definedName>
    <definedName name="XRefPaste111Row" localSheetId="9" hidden="1">#REF!</definedName>
    <definedName name="XRefPaste111Row" hidden="1">#REF!</definedName>
    <definedName name="XRefPaste112" localSheetId="9" hidden="1">#REF!</definedName>
    <definedName name="XRefPaste112" hidden="1">#REF!</definedName>
    <definedName name="XRefPaste112Row" localSheetId="9" hidden="1">#REF!</definedName>
    <definedName name="XRefPaste112Row" hidden="1">#REF!</definedName>
    <definedName name="XRefPaste113" localSheetId="9" hidden="1">#REF!</definedName>
    <definedName name="XRefPaste113" hidden="1">#REF!</definedName>
    <definedName name="XRefPaste113Row" localSheetId="9" hidden="1">#REF!</definedName>
    <definedName name="XRefPaste113Row" hidden="1">#REF!</definedName>
    <definedName name="XRefPaste114" localSheetId="9" hidden="1">#REF!</definedName>
    <definedName name="XRefPaste114" hidden="1">#REF!</definedName>
    <definedName name="XRefPaste114Row" localSheetId="9" hidden="1">#REF!</definedName>
    <definedName name="XRefPaste114Row" hidden="1">#REF!</definedName>
    <definedName name="XRefPaste115" localSheetId="9" hidden="1">#REF!</definedName>
    <definedName name="XRefPaste115" hidden="1">#REF!</definedName>
    <definedName name="XRefPaste115Row" localSheetId="9" hidden="1">#REF!</definedName>
    <definedName name="XRefPaste115Row" hidden="1">#REF!</definedName>
    <definedName name="XRefPaste116" localSheetId="9" hidden="1">#REF!</definedName>
    <definedName name="XRefPaste116" hidden="1">#REF!</definedName>
    <definedName name="XRefPaste116Row" localSheetId="9" hidden="1">#REF!</definedName>
    <definedName name="XRefPaste116Row" hidden="1">#REF!</definedName>
    <definedName name="XRefPaste117" localSheetId="9" hidden="1">#REF!</definedName>
    <definedName name="XRefPaste117" hidden="1">#REF!</definedName>
    <definedName name="XRefPaste117Row" localSheetId="9" hidden="1">#REF!</definedName>
    <definedName name="XRefPaste117Row" hidden="1">#REF!</definedName>
    <definedName name="XRefPaste118" localSheetId="9" hidden="1">#REF!</definedName>
    <definedName name="XRefPaste118" hidden="1">#REF!</definedName>
    <definedName name="XRefPaste118Row" localSheetId="9" hidden="1">#REF!</definedName>
    <definedName name="XRefPaste118Row" hidden="1">#REF!</definedName>
    <definedName name="XRefPaste119" localSheetId="9" hidden="1">#REF!</definedName>
    <definedName name="XRefPaste119" hidden="1">#REF!</definedName>
    <definedName name="XRefPaste119Row" localSheetId="9" hidden="1">#REF!</definedName>
    <definedName name="XRefPaste119Row" hidden="1">#REF!</definedName>
    <definedName name="XRefPaste11Row" localSheetId="9" hidden="1">#REF!</definedName>
    <definedName name="XRefPaste11Row" hidden="1">#REF!</definedName>
    <definedName name="XRefPaste12" localSheetId="9" hidden="1">#REF!</definedName>
    <definedName name="XRefPaste12" hidden="1">#REF!</definedName>
    <definedName name="XRefPaste120" localSheetId="9" hidden="1">#REF!</definedName>
    <definedName name="XRefPaste120" hidden="1">#REF!</definedName>
    <definedName name="XRefPaste120Row" localSheetId="9" hidden="1">#REF!</definedName>
    <definedName name="XRefPaste120Row" hidden="1">#REF!</definedName>
    <definedName name="XRefPaste121" localSheetId="9" hidden="1">#REF!</definedName>
    <definedName name="XRefPaste121" hidden="1">#REF!</definedName>
    <definedName name="XRefPaste121Row" localSheetId="9" hidden="1">#REF!</definedName>
    <definedName name="XRefPaste121Row" hidden="1">#REF!</definedName>
    <definedName name="XRefPaste122" localSheetId="9" hidden="1">#REF!</definedName>
    <definedName name="XRefPaste122" hidden="1">#REF!</definedName>
    <definedName name="XRefPaste122Row" localSheetId="9" hidden="1">#REF!</definedName>
    <definedName name="XRefPaste122Row" hidden="1">#REF!</definedName>
    <definedName name="XRefPaste123" localSheetId="9" hidden="1">#REF!</definedName>
    <definedName name="XRefPaste123" hidden="1">#REF!</definedName>
    <definedName name="XRefPaste123Row" localSheetId="9" hidden="1">#REF!</definedName>
    <definedName name="XRefPaste123Row" hidden="1">#REF!</definedName>
    <definedName name="XRefPaste124" localSheetId="9" hidden="1">#REF!</definedName>
    <definedName name="XRefPaste124" hidden="1">#REF!</definedName>
    <definedName name="XRefPaste124Row" localSheetId="9" hidden="1">#REF!</definedName>
    <definedName name="XRefPaste124Row" hidden="1">#REF!</definedName>
    <definedName name="XRefPaste125" localSheetId="9" hidden="1">#REF!</definedName>
    <definedName name="XRefPaste125" hidden="1">#REF!</definedName>
    <definedName name="XRefPaste125Row" localSheetId="9" hidden="1">#REF!</definedName>
    <definedName name="XRefPaste125Row" hidden="1">#REF!</definedName>
    <definedName name="XRefPaste126" localSheetId="9" hidden="1">#REF!</definedName>
    <definedName name="XRefPaste126" hidden="1">#REF!</definedName>
    <definedName name="XRefPaste126Row" localSheetId="9" hidden="1">#REF!</definedName>
    <definedName name="XRefPaste126Row" hidden="1">#REF!</definedName>
    <definedName name="XRefPaste127" localSheetId="9" hidden="1">#REF!</definedName>
    <definedName name="XRefPaste127" hidden="1">#REF!</definedName>
    <definedName name="XRefPaste127Row" localSheetId="9" hidden="1">#REF!</definedName>
    <definedName name="XRefPaste127Row" hidden="1">#REF!</definedName>
    <definedName name="XRefPaste128" localSheetId="9" hidden="1">#REF!</definedName>
    <definedName name="XRefPaste128" hidden="1">#REF!</definedName>
    <definedName name="XRefPaste128Row" localSheetId="9" hidden="1">#REF!</definedName>
    <definedName name="XRefPaste128Row" hidden="1">#REF!</definedName>
    <definedName name="XRefPaste129" localSheetId="9" hidden="1">#REF!</definedName>
    <definedName name="XRefPaste129" hidden="1">#REF!</definedName>
    <definedName name="XRefPaste129Row" localSheetId="9" hidden="1">#REF!</definedName>
    <definedName name="XRefPaste129Row" hidden="1">#REF!</definedName>
    <definedName name="XRefPaste12Row" localSheetId="9" hidden="1">#REF!</definedName>
    <definedName name="XRefPaste12Row" hidden="1">#REF!</definedName>
    <definedName name="XRefPaste130" localSheetId="9" hidden="1">#REF!</definedName>
    <definedName name="XRefPaste130" hidden="1">#REF!</definedName>
    <definedName name="XRefPaste130Row" localSheetId="9" hidden="1">#REF!</definedName>
    <definedName name="XRefPaste130Row" hidden="1">#REF!</definedName>
    <definedName name="XRefPaste131" localSheetId="9" hidden="1">#REF!</definedName>
    <definedName name="XRefPaste131" hidden="1">#REF!</definedName>
    <definedName name="XRefPaste131Row" localSheetId="9" hidden="1">#REF!</definedName>
    <definedName name="XRefPaste131Row" hidden="1">#REF!</definedName>
    <definedName name="XRefPaste132" localSheetId="9" hidden="1">#REF!</definedName>
    <definedName name="XRefPaste132" hidden="1">#REF!</definedName>
    <definedName name="XRefPaste132Row" localSheetId="9" hidden="1">#REF!</definedName>
    <definedName name="XRefPaste132Row" hidden="1">#REF!</definedName>
    <definedName name="XRefPaste133" localSheetId="9" hidden="1">#REF!</definedName>
    <definedName name="XRefPaste133" hidden="1">#REF!</definedName>
    <definedName name="XRefPaste133Row" localSheetId="9" hidden="1">#REF!</definedName>
    <definedName name="XRefPaste133Row" hidden="1">#REF!</definedName>
    <definedName name="XRefPaste134" localSheetId="9" hidden="1">#REF!</definedName>
    <definedName name="XRefPaste134" hidden="1">#REF!</definedName>
    <definedName name="XRefPaste134Row" localSheetId="9" hidden="1">#REF!</definedName>
    <definedName name="XRefPaste134Row" hidden="1">#REF!</definedName>
    <definedName name="XRefPaste135" localSheetId="9" hidden="1">#REF!</definedName>
    <definedName name="XRefPaste135" hidden="1">#REF!</definedName>
    <definedName name="XRefPaste135Row" localSheetId="9" hidden="1">#REF!</definedName>
    <definedName name="XRefPaste135Row" hidden="1">#REF!</definedName>
    <definedName name="XRefPaste136" localSheetId="9" hidden="1">#REF!</definedName>
    <definedName name="XRefPaste136" hidden="1">#REF!</definedName>
    <definedName name="XRefPaste136Row" localSheetId="9" hidden="1">#REF!</definedName>
    <definedName name="XRefPaste136Row" hidden="1">#REF!</definedName>
    <definedName name="XRefPaste137" localSheetId="9" hidden="1">#REF!</definedName>
    <definedName name="XRefPaste137" hidden="1">#REF!</definedName>
    <definedName name="XRefPaste137Row" localSheetId="9" hidden="1">#REF!</definedName>
    <definedName name="XRefPaste137Row" hidden="1">#REF!</definedName>
    <definedName name="XRefPaste138" localSheetId="9" hidden="1">#REF!</definedName>
    <definedName name="XRefPaste138" hidden="1">#REF!</definedName>
    <definedName name="XRefPaste138Row" localSheetId="9" hidden="1">#REF!</definedName>
    <definedName name="XRefPaste138Row" hidden="1">#REF!</definedName>
    <definedName name="XRefPaste139" localSheetId="9" hidden="1">#REF!</definedName>
    <definedName name="XRefPaste139" hidden="1">#REF!</definedName>
    <definedName name="XRefPaste139Row" localSheetId="9" hidden="1">#REF!</definedName>
    <definedName name="XRefPaste139Row" hidden="1">#REF!</definedName>
    <definedName name="XRefPaste13Row" localSheetId="9" hidden="1">#REF!</definedName>
    <definedName name="XRefPaste13Row" hidden="1">#REF!</definedName>
    <definedName name="XRefPaste14" localSheetId="9" hidden="1">#REF!</definedName>
    <definedName name="XRefPaste140" localSheetId="9" hidden="1">#REF!</definedName>
    <definedName name="XRefPaste140" hidden="1">#REF!</definedName>
    <definedName name="XRefPaste140Row" localSheetId="9" hidden="1">#REF!</definedName>
    <definedName name="XRefPaste140Row" hidden="1">#REF!</definedName>
    <definedName name="XRefPaste141" localSheetId="9" hidden="1">#REF!</definedName>
    <definedName name="XRefPaste141" hidden="1">#REF!</definedName>
    <definedName name="XRefPaste141Row" localSheetId="9" hidden="1">#REF!</definedName>
    <definedName name="XRefPaste141Row" hidden="1">#REF!</definedName>
    <definedName name="XRefPaste142" localSheetId="9" hidden="1">#REF!</definedName>
    <definedName name="XRefPaste142" hidden="1">#REF!</definedName>
    <definedName name="XRefPaste142Row" localSheetId="9" hidden="1">#REF!</definedName>
    <definedName name="XRefPaste142Row" hidden="1">#REF!</definedName>
    <definedName name="XRefPaste143" localSheetId="9" hidden="1">#REF!</definedName>
    <definedName name="XRefPaste143" hidden="1">#REF!</definedName>
    <definedName name="XRefPaste143Row" localSheetId="9" hidden="1">#REF!</definedName>
    <definedName name="XRefPaste143Row" hidden="1">#REF!</definedName>
    <definedName name="XRefPaste144" localSheetId="9" hidden="1">#REF!</definedName>
    <definedName name="XRefPaste144" hidden="1">#REF!</definedName>
    <definedName name="XRefPaste144Row" localSheetId="9" hidden="1">#REF!</definedName>
    <definedName name="XRefPaste144Row" hidden="1">#REF!</definedName>
    <definedName name="XRefPaste145" localSheetId="9" hidden="1">#REF!</definedName>
    <definedName name="XRefPaste145" hidden="1">#REF!</definedName>
    <definedName name="XRefPaste145Row" localSheetId="9" hidden="1">#REF!</definedName>
    <definedName name="XRefPaste145Row" hidden="1">#REF!</definedName>
    <definedName name="XRefPaste146" localSheetId="9" hidden="1">#REF!</definedName>
    <definedName name="XRefPaste146" hidden="1">#REF!</definedName>
    <definedName name="XRefPaste146Row" localSheetId="9" hidden="1">#REF!</definedName>
    <definedName name="XRefPaste146Row" hidden="1">#REF!</definedName>
    <definedName name="XRefPaste147" localSheetId="9" hidden="1">#REF!</definedName>
    <definedName name="XRefPaste147" hidden="1">#REF!</definedName>
    <definedName name="XRefPaste147Row" localSheetId="9" hidden="1">#REF!</definedName>
    <definedName name="XRefPaste147Row" hidden="1">#REF!</definedName>
    <definedName name="XRefPaste148" localSheetId="9" hidden="1">#REF!</definedName>
    <definedName name="XRefPaste148" hidden="1">#REF!</definedName>
    <definedName name="XRefPaste148Row" localSheetId="9" hidden="1">#REF!</definedName>
    <definedName name="XRefPaste148Row" hidden="1">#REF!</definedName>
    <definedName name="XRefPaste14Row" localSheetId="9" hidden="1">#REF!</definedName>
    <definedName name="XRefPaste14Row" hidden="1">#REF!</definedName>
    <definedName name="XRefPaste15" hidden="1">#REF!</definedName>
    <definedName name="XRefPaste15Row" localSheetId="9" hidden="1">#REF!</definedName>
    <definedName name="XRefPaste15Row" hidden="1">#REF!</definedName>
    <definedName name="XRefPaste16" hidden="1">#REF!</definedName>
    <definedName name="XRefPaste16Row" localSheetId="9" hidden="1">#REF!</definedName>
    <definedName name="XRefPaste17" hidden="1">#REF!</definedName>
    <definedName name="XRefPaste17Row" localSheetId="9" hidden="1">#REF!</definedName>
    <definedName name="XRefPaste17Row" hidden="1">#REF!</definedName>
    <definedName name="XRefPaste18" localSheetId="9" hidden="1">'VARIACION DEL ACTIVO NETO'!#REF!</definedName>
    <definedName name="XRefPaste18" hidden="1">#REF!</definedName>
    <definedName name="XRefPaste18Row" localSheetId="9" hidden="1">#REF!</definedName>
    <definedName name="XRefPaste18Row" hidden="1">#REF!</definedName>
    <definedName name="XRefPaste19" localSheetId="9" hidden="1">#REF!</definedName>
    <definedName name="XRefPaste19" hidden="1">#REF!</definedName>
    <definedName name="XRefPaste19Row" localSheetId="9" hidden="1">#REF!</definedName>
    <definedName name="XRefPaste19Row" hidden="1">#REF!</definedName>
    <definedName name="XRefPaste1Row" localSheetId="9" hidden="1">#REF!</definedName>
    <definedName name="XRefPaste1Row" hidden="1">#REF!</definedName>
    <definedName name="XRefPaste20" localSheetId="9" hidden="1">#REF!</definedName>
    <definedName name="XRefPaste20" hidden="1">#REF!</definedName>
    <definedName name="XRefPaste20Row" localSheetId="9" hidden="1">#REF!</definedName>
    <definedName name="XRefPaste21" localSheetId="9" hidden="1">#REF!</definedName>
    <definedName name="XRefPaste21" hidden="1">#REF!</definedName>
    <definedName name="XRefPaste21Row" localSheetId="9" hidden="1">#REF!</definedName>
    <definedName name="XRefPaste21Row" hidden="1">#REF!</definedName>
    <definedName name="XRefPaste22" localSheetId="9" hidden="1">#REF!</definedName>
    <definedName name="XRefPaste22" hidden="1">#REF!</definedName>
    <definedName name="XRefPaste22Row" localSheetId="9" hidden="1">#REF!</definedName>
    <definedName name="XRefPaste23" localSheetId="9" hidden="1">#REF!</definedName>
    <definedName name="XRefPaste23" hidden="1">#REF!</definedName>
    <definedName name="XRefPaste23Row" localSheetId="9" hidden="1">#REF!</definedName>
    <definedName name="XRefPaste24" localSheetId="9" hidden="1">#REF!</definedName>
    <definedName name="XRefPaste24" hidden="1">#REF!</definedName>
    <definedName name="XRefPaste24Row" localSheetId="9" hidden="1">#REF!</definedName>
    <definedName name="XRefPaste24Row" hidden="1">#REF!</definedName>
    <definedName name="XRefPaste25" localSheetId="9" hidden="1">#REF!</definedName>
    <definedName name="XRefPaste25" hidden="1">#REF!</definedName>
    <definedName name="XRefPaste25Row" localSheetId="9" hidden="1">#REF!</definedName>
    <definedName name="XRefPaste25Row" hidden="1">#REF!</definedName>
    <definedName name="XRefPaste26" localSheetId="9" hidden="1">#REF!</definedName>
    <definedName name="XRefPaste26" hidden="1">#REF!</definedName>
    <definedName name="XRefPaste26Row" localSheetId="9" hidden="1">#REF!</definedName>
    <definedName name="XRefPaste26Row" hidden="1">#REF!</definedName>
    <definedName name="XRefPaste27" localSheetId="9" hidden="1">#REF!</definedName>
    <definedName name="XRefPaste27" hidden="1">#REF!</definedName>
    <definedName name="XRefPaste27Row" localSheetId="9" hidden="1">#REF!</definedName>
    <definedName name="XRefPaste27Row" hidden="1">#REF!</definedName>
    <definedName name="XRefPaste28" localSheetId="9" hidden="1">#REF!</definedName>
    <definedName name="XRefPaste28" hidden="1">#REF!</definedName>
    <definedName name="XRefPaste28Row" localSheetId="9" hidden="1">#REF!</definedName>
    <definedName name="XRefPaste28Row" hidden="1">#REF!</definedName>
    <definedName name="XRefPaste29" localSheetId="9" hidden="1">#REF!</definedName>
    <definedName name="XRefPaste29" hidden="1">#REF!</definedName>
    <definedName name="XRefPaste29Row" localSheetId="9" hidden="1">#REF!</definedName>
    <definedName name="XRefPaste29Row" hidden="1">#REF!</definedName>
    <definedName name="XRefPaste2Row" localSheetId="9" hidden="1">#REF!</definedName>
    <definedName name="XRefPaste2Row" hidden="1">#REF!</definedName>
    <definedName name="XRefPaste30" localSheetId="9" hidden="1">#REF!</definedName>
    <definedName name="XRefPaste30" hidden="1">#REF!</definedName>
    <definedName name="XRefPaste30Row" localSheetId="9" hidden="1">#REF!</definedName>
    <definedName name="XRefPaste31" localSheetId="9" hidden="1">#REF!</definedName>
    <definedName name="XRefPaste31" hidden="1">#REF!</definedName>
    <definedName name="XRefPaste31Row" localSheetId="9" hidden="1">#REF!</definedName>
    <definedName name="XRefPaste32" localSheetId="9" hidden="1">#REF!</definedName>
    <definedName name="XRefPaste32" hidden="1">#REF!</definedName>
    <definedName name="XRefPaste32Row" localSheetId="9" hidden="1">#REF!</definedName>
    <definedName name="XRefPaste32Row" hidden="1">#REF!</definedName>
    <definedName name="XRefPaste33" hidden="1">#REF!</definedName>
    <definedName name="XRefPaste33Row" localSheetId="9" hidden="1">#REF!</definedName>
    <definedName name="XRefPaste33Row" hidden="1">#REF!</definedName>
    <definedName name="XRefPaste34" localSheetId="9" hidden="1">#REF!</definedName>
    <definedName name="XRefPaste34" hidden="1">#REF!</definedName>
    <definedName name="XRefPaste34Row" localSheetId="9" hidden="1">#REF!</definedName>
    <definedName name="XRefPaste34Row" hidden="1">#REF!</definedName>
    <definedName name="XRefPaste35" hidden="1">#REF!</definedName>
    <definedName name="XRefPaste35Row" localSheetId="9" hidden="1">#REF!</definedName>
    <definedName name="XRefPaste35Row" hidden="1">#REF!</definedName>
    <definedName name="XRefPaste36" localSheetId="9" hidden="1">#REF!</definedName>
    <definedName name="XRefPaste36" hidden="1">#REF!</definedName>
    <definedName name="XRefPaste36Row" localSheetId="9" hidden="1">#REF!</definedName>
    <definedName name="XRefPaste36Row" hidden="1">#REF!</definedName>
    <definedName name="XRefPaste37" localSheetId="9" hidden="1">#REF!</definedName>
    <definedName name="XRefPaste37" hidden="1">#REF!</definedName>
    <definedName name="XRefPaste37Row" localSheetId="9" hidden="1">#REF!</definedName>
    <definedName name="XRefPaste37Row" hidden="1">#REF!</definedName>
    <definedName name="XRefPaste38" localSheetId="9" hidden="1">#REF!</definedName>
    <definedName name="XRefPaste38" hidden="1">#REF!</definedName>
    <definedName name="XRefPaste38Row" localSheetId="9" hidden="1">#REF!</definedName>
    <definedName name="XRefPaste38Row" hidden="1">#REF!</definedName>
    <definedName name="XRefPaste39" localSheetId="9" hidden="1">#REF!</definedName>
    <definedName name="XRefPaste39" hidden="1">#REF!</definedName>
    <definedName name="XRefPaste39Row" localSheetId="9" hidden="1">#REF!</definedName>
    <definedName name="XRefPaste39Row" hidden="1">#REF!</definedName>
    <definedName name="XRefPaste3Row" localSheetId="9" hidden="1">#REF!</definedName>
    <definedName name="XRefPaste40" localSheetId="9" hidden="1">#REF!</definedName>
    <definedName name="XRefPaste40" hidden="1">#REF!</definedName>
    <definedName name="XRefPaste40Row" localSheetId="9" hidden="1">#REF!</definedName>
    <definedName name="XRefPaste40Row" hidden="1">#REF!</definedName>
    <definedName name="XRefPaste41" localSheetId="9" hidden="1">#REF!</definedName>
    <definedName name="XRefPaste41" hidden="1">#REF!</definedName>
    <definedName name="XRefPaste41Row" localSheetId="9" hidden="1">#REF!</definedName>
    <definedName name="XRefPaste41Row" hidden="1">#REF!</definedName>
    <definedName name="XRefPaste42" localSheetId="9" hidden="1">#REF!</definedName>
    <definedName name="XRefPaste42" hidden="1">#REF!</definedName>
    <definedName name="XRefPaste42Row" localSheetId="9" hidden="1">#REF!</definedName>
    <definedName name="XRefPaste42Row" hidden="1">#REF!</definedName>
    <definedName name="XRefPaste43" localSheetId="9" hidden="1">#REF!</definedName>
    <definedName name="XRefPaste43" hidden="1">#REF!</definedName>
    <definedName name="XRefPaste43Row" localSheetId="9" hidden="1">#REF!</definedName>
    <definedName name="XRefPaste43Row" hidden="1">#REF!</definedName>
    <definedName name="XRefPaste44" localSheetId="9" hidden="1">#REF!</definedName>
    <definedName name="XRefPaste44" hidden="1">#REF!</definedName>
    <definedName name="XRefPaste44Row" localSheetId="9" hidden="1">#REF!</definedName>
    <definedName name="XRefPaste44Row" hidden="1">#REF!</definedName>
    <definedName name="XRefPaste45" localSheetId="9" hidden="1">#REF!</definedName>
    <definedName name="XRefPaste45" hidden="1">#REF!</definedName>
    <definedName name="XRefPaste45Row" localSheetId="9" hidden="1">#REF!</definedName>
    <definedName name="XRefPaste45Row" hidden="1">#REF!</definedName>
    <definedName name="XRefPaste46" localSheetId="9" hidden="1">#REF!</definedName>
    <definedName name="XRefPaste46" hidden="1">#REF!</definedName>
    <definedName name="XRefPaste46Row" localSheetId="9" hidden="1">#REF!</definedName>
    <definedName name="XRefPaste46Row" hidden="1">#REF!</definedName>
    <definedName name="XRefPaste47" localSheetId="9" hidden="1">#REF!</definedName>
    <definedName name="XRefPaste47" hidden="1">#REF!</definedName>
    <definedName name="XRefPaste47Row" localSheetId="9" hidden="1">#REF!</definedName>
    <definedName name="XRefPaste47Row" hidden="1">#REF!</definedName>
    <definedName name="XRefPaste48" localSheetId="9" hidden="1">#REF!</definedName>
    <definedName name="XRefPaste48" hidden="1">#REF!</definedName>
    <definedName name="XRefPaste48Row" localSheetId="9" hidden="1">#REF!</definedName>
    <definedName name="XRefPaste48Row" hidden="1">#REF!</definedName>
    <definedName name="XRefPaste49" localSheetId="9" hidden="1">#REF!</definedName>
    <definedName name="XRefPaste49" hidden="1">#REF!</definedName>
    <definedName name="XRefPaste49Row" localSheetId="9" hidden="1">#REF!</definedName>
    <definedName name="XRefPaste49Row" hidden="1">#REF!</definedName>
    <definedName name="XRefPaste4Row" localSheetId="9" hidden="1">#REF!</definedName>
    <definedName name="XRefPaste4Row" hidden="1">#REF!</definedName>
    <definedName name="XRefPaste5" localSheetId="9" hidden="1">'VARIACION DEL ACTIVO NETO'!#REF!</definedName>
    <definedName name="XRefPaste50" localSheetId="9" hidden="1">#REF!</definedName>
    <definedName name="XRefPaste50" hidden="1">#REF!</definedName>
    <definedName name="XRefPaste50Row" localSheetId="9" hidden="1">#REF!</definedName>
    <definedName name="XRefPaste50Row" hidden="1">#REF!</definedName>
    <definedName name="XRefPaste51" localSheetId="9" hidden="1">#REF!</definedName>
    <definedName name="XRefPaste51" hidden="1">#REF!</definedName>
    <definedName name="XRefPaste51Row" localSheetId="9" hidden="1">#REF!</definedName>
    <definedName name="XRefPaste51Row" hidden="1">#REF!</definedName>
    <definedName name="XRefPaste52" localSheetId="9" hidden="1">#REF!</definedName>
    <definedName name="XRefPaste52" hidden="1">#REF!</definedName>
    <definedName name="XRefPaste52Row" localSheetId="9" hidden="1">#REF!</definedName>
    <definedName name="XRefPaste52Row" hidden="1">#REF!</definedName>
    <definedName name="XRefPaste53" localSheetId="9" hidden="1">#REF!</definedName>
    <definedName name="XRefPaste53" hidden="1">#REF!</definedName>
    <definedName name="XRefPaste53Row" localSheetId="9" hidden="1">#REF!</definedName>
    <definedName name="XRefPaste53Row" hidden="1">#REF!</definedName>
    <definedName name="XRefPaste54" localSheetId="9" hidden="1">#REF!</definedName>
    <definedName name="XRefPaste54" hidden="1">#REF!</definedName>
    <definedName name="XRefPaste54Row" localSheetId="9" hidden="1">#REF!</definedName>
    <definedName name="XRefPaste54Row" hidden="1">#REF!</definedName>
    <definedName name="XRefPaste55" localSheetId="9" hidden="1">#REF!</definedName>
    <definedName name="XRefPaste55" hidden="1">#REF!</definedName>
    <definedName name="XRefPaste55Row" localSheetId="9" hidden="1">#REF!</definedName>
    <definedName name="XRefPaste55Row" hidden="1">#REF!</definedName>
    <definedName name="XRefPaste56" localSheetId="9" hidden="1">#REF!</definedName>
    <definedName name="XRefPaste56" hidden="1">#REF!</definedName>
    <definedName name="XRefPaste56Row" localSheetId="9" hidden="1">#REF!</definedName>
    <definedName name="XRefPaste56Row" hidden="1">#REF!</definedName>
    <definedName name="XRefPaste57" localSheetId="9" hidden="1">#REF!</definedName>
    <definedName name="XRefPaste57" hidden="1">#REF!</definedName>
    <definedName name="XRefPaste57Row" localSheetId="9" hidden="1">#REF!</definedName>
    <definedName name="XRefPaste57Row" hidden="1">#REF!</definedName>
    <definedName name="XRefPaste58" hidden="1">#REF!</definedName>
    <definedName name="XRefPaste58Row" localSheetId="9" hidden="1">#REF!</definedName>
    <definedName name="XRefPaste58Row" hidden="1">#REF!</definedName>
    <definedName name="XRefPaste59" hidden="1">#REF!</definedName>
    <definedName name="XRefPaste59Row" localSheetId="9" hidden="1">#REF!</definedName>
    <definedName name="XRefPaste59Row" hidden="1">#REF!</definedName>
    <definedName name="XRefPaste5Row" localSheetId="9" hidden="1">#REF!</definedName>
    <definedName name="XRefPaste5Row" hidden="1">#REF!</definedName>
    <definedName name="XRefPaste6" localSheetId="9" hidden="1">#REF!</definedName>
    <definedName name="XRefPaste60" hidden="1">#REF!</definedName>
    <definedName name="XRefPaste60Row" localSheetId="9" hidden="1">#REF!</definedName>
    <definedName name="XRefPaste60Row" hidden="1">#REF!</definedName>
    <definedName name="XRefPaste61" hidden="1">#REF!</definedName>
    <definedName name="XRefPaste61Row" localSheetId="9" hidden="1">#REF!</definedName>
    <definedName name="XRefPaste61Row" hidden="1">#REF!</definedName>
    <definedName name="XRefPaste62" hidden="1">#REF!</definedName>
    <definedName name="XRefPaste62Row" localSheetId="9" hidden="1">#REF!</definedName>
    <definedName name="XRefPaste62Row" hidden="1">#REF!</definedName>
    <definedName name="XRefPaste63" hidden="1">#REF!</definedName>
    <definedName name="XRefPaste63Row" localSheetId="9" hidden="1">#REF!</definedName>
    <definedName name="XRefPaste63Row" hidden="1">#REF!</definedName>
    <definedName name="XRefPaste64" localSheetId="9" hidden="1">#REF!</definedName>
    <definedName name="XRefPaste64" hidden="1">#REF!</definedName>
    <definedName name="XRefPaste64Row" localSheetId="9" hidden="1">#REF!</definedName>
    <definedName name="XRefPaste64Row" hidden="1">#REF!</definedName>
    <definedName name="XRefPaste65" hidden="1">#REF!</definedName>
    <definedName name="XRefPaste65Row" localSheetId="9" hidden="1">#REF!</definedName>
    <definedName name="XRefPaste65Row" hidden="1">#REF!</definedName>
    <definedName name="XRefPaste66" hidden="1">#REF!</definedName>
    <definedName name="XRefPaste66Row" localSheetId="9" hidden="1">#REF!</definedName>
    <definedName name="XRefPaste66Row" hidden="1">#REF!</definedName>
    <definedName name="XRefPaste67" localSheetId="9" hidden="1">#REF!</definedName>
    <definedName name="XRefPaste67" hidden="1">#REF!</definedName>
    <definedName name="XRefPaste67Row" localSheetId="9" hidden="1">#REF!</definedName>
    <definedName name="XRefPaste67Row" hidden="1">#REF!</definedName>
    <definedName name="XRefPaste68" hidden="1">#REF!</definedName>
    <definedName name="XRefPaste68Row" localSheetId="9" hidden="1">#REF!</definedName>
    <definedName name="XRefPaste68Row" hidden="1">#REF!</definedName>
    <definedName name="XRefPaste69" hidden="1">#REF!</definedName>
    <definedName name="XRefPaste69Row" localSheetId="9" hidden="1">#REF!</definedName>
    <definedName name="XRefPaste69Row" hidden="1">#REF!</definedName>
    <definedName name="XRefPaste6Row" localSheetId="9" hidden="1">#REF!</definedName>
    <definedName name="XRefPaste6Row" hidden="1">#REF!</definedName>
    <definedName name="XRefPaste7" localSheetId="9" hidden="1">#REF!</definedName>
    <definedName name="XRefPaste7" hidden="1">#REF!</definedName>
    <definedName name="XRefPaste70" hidden="1">#REF!</definedName>
    <definedName name="XRefPaste70Row" localSheetId="9" hidden="1">#REF!</definedName>
    <definedName name="XRefPaste70Row" hidden="1">#REF!</definedName>
    <definedName name="XRefPaste71" hidden="1">#REF!</definedName>
    <definedName name="XRefPaste71Row" localSheetId="9" hidden="1">#REF!</definedName>
    <definedName name="XRefPaste71Row" hidden="1">#REF!</definedName>
    <definedName name="XRefPaste72" localSheetId="9" hidden="1">#REF!</definedName>
    <definedName name="XRefPaste72" hidden="1">#REF!</definedName>
    <definedName name="XRefPaste72Row" localSheetId="9" hidden="1">#REF!</definedName>
    <definedName name="XRefPaste72Row" hidden="1">#REF!</definedName>
    <definedName name="XRefPaste73" localSheetId="9" hidden="1">#REF!</definedName>
    <definedName name="XRefPaste73" hidden="1">#REF!</definedName>
    <definedName name="XRefPaste73Row" localSheetId="9" hidden="1">#REF!</definedName>
    <definedName name="XRefPaste73Row" hidden="1">#REF!</definedName>
    <definedName name="XRefPaste74" localSheetId="9" hidden="1">#REF!</definedName>
    <definedName name="XRefPaste74" hidden="1">#REF!</definedName>
    <definedName name="XRefPaste74Row" localSheetId="9" hidden="1">#REF!</definedName>
    <definedName name="XRefPaste74Row" hidden="1">#REF!</definedName>
    <definedName name="XRefPaste75" localSheetId="9" hidden="1">#REF!</definedName>
    <definedName name="XRefPaste75" hidden="1">#REF!</definedName>
    <definedName name="XRefPaste75Row" localSheetId="9" hidden="1">#REF!</definedName>
    <definedName name="XRefPaste75Row" hidden="1">#REF!</definedName>
    <definedName name="XRefPaste76" localSheetId="9" hidden="1">#REF!</definedName>
    <definedName name="XRefPaste76" hidden="1">#REF!</definedName>
    <definedName name="XRefPaste76Row" localSheetId="9" hidden="1">#REF!</definedName>
    <definedName name="XRefPaste76Row" hidden="1">#REF!</definedName>
    <definedName name="XRefPaste77" localSheetId="9" hidden="1">#REF!</definedName>
    <definedName name="XRefPaste77" hidden="1">#REF!</definedName>
    <definedName name="XRefPaste77Row" localSheetId="9" hidden="1">#REF!</definedName>
    <definedName name="XRefPaste77Row" hidden="1">#REF!</definedName>
    <definedName name="XRefPaste78" localSheetId="9" hidden="1">#REF!</definedName>
    <definedName name="XRefPaste78" hidden="1">#REF!</definedName>
    <definedName name="XRefPaste78Row" localSheetId="9" hidden="1">#REF!</definedName>
    <definedName name="XRefPaste78Row" hidden="1">#REF!</definedName>
    <definedName name="XRefPaste79" localSheetId="9" hidden="1">#REF!</definedName>
    <definedName name="XRefPaste79" hidden="1">#REF!</definedName>
    <definedName name="XRefPaste79Row" localSheetId="9" hidden="1">#REF!</definedName>
    <definedName name="XRefPaste79Row" hidden="1">#REF!</definedName>
    <definedName name="XRefPaste7Row" localSheetId="9" hidden="1">#REF!</definedName>
    <definedName name="XRefPaste7Row" hidden="1">#REF!</definedName>
    <definedName name="XRefPaste8" localSheetId="9" hidden="1">#REF!</definedName>
    <definedName name="XRefPaste8" hidden="1">#REF!</definedName>
    <definedName name="XRefPaste80" localSheetId="9" hidden="1">#REF!</definedName>
    <definedName name="XRefPaste80" hidden="1">#REF!</definedName>
    <definedName name="XRefPaste80Row" localSheetId="9" hidden="1">#REF!</definedName>
    <definedName name="XRefPaste80Row" hidden="1">#REF!</definedName>
    <definedName name="XRefPaste81" localSheetId="9" hidden="1">#REF!</definedName>
    <definedName name="XRefPaste81" hidden="1">#REF!</definedName>
    <definedName name="XRefPaste81Row" localSheetId="9" hidden="1">#REF!</definedName>
    <definedName name="XRefPaste81Row" hidden="1">#REF!</definedName>
    <definedName name="XRefPaste82" localSheetId="9" hidden="1">#REF!</definedName>
    <definedName name="XRefPaste82" hidden="1">#REF!</definedName>
    <definedName name="XRefPaste82Row" localSheetId="9" hidden="1">#REF!</definedName>
    <definedName name="XRefPaste82Row" hidden="1">#REF!</definedName>
    <definedName name="XRefPaste83" localSheetId="9" hidden="1">#REF!</definedName>
    <definedName name="XRefPaste83" hidden="1">#REF!</definedName>
    <definedName name="XRefPaste83Row" localSheetId="9" hidden="1">#REF!</definedName>
    <definedName name="XRefPaste83Row" hidden="1">#REF!</definedName>
    <definedName name="XRefPaste84" localSheetId="9" hidden="1">#REF!</definedName>
    <definedName name="XRefPaste84" hidden="1">#REF!</definedName>
    <definedName name="XRefPaste84Row" localSheetId="9" hidden="1">#REF!</definedName>
    <definedName name="XRefPaste84Row" hidden="1">#REF!</definedName>
    <definedName name="XRefPaste85" localSheetId="9" hidden="1">#REF!</definedName>
    <definedName name="XRefPaste85" hidden="1">#REF!</definedName>
    <definedName name="XRefPaste85Row" localSheetId="9" hidden="1">#REF!</definedName>
    <definedName name="XRefPaste85Row" hidden="1">#REF!</definedName>
    <definedName name="XRefPaste86" localSheetId="9" hidden="1">#REF!</definedName>
    <definedName name="XRefPaste86" hidden="1">#REF!</definedName>
    <definedName name="XRefPaste86Row" localSheetId="9" hidden="1">#REF!</definedName>
    <definedName name="XRefPaste86Row" hidden="1">#REF!</definedName>
    <definedName name="XRefPaste87" localSheetId="9" hidden="1">#REF!</definedName>
    <definedName name="XRefPaste87" hidden="1">#REF!</definedName>
    <definedName name="XRefPaste87Row" localSheetId="9" hidden="1">#REF!</definedName>
    <definedName name="XRefPaste87Row" hidden="1">#REF!</definedName>
    <definedName name="XRefPaste88" localSheetId="9" hidden="1">#REF!</definedName>
    <definedName name="XRefPaste88" hidden="1">#REF!</definedName>
    <definedName name="XRefPaste88Row" localSheetId="9" hidden="1">#REF!</definedName>
    <definedName name="XRefPaste88Row" hidden="1">#REF!</definedName>
    <definedName name="XRefPaste89" localSheetId="9" hidden="1">#REF!</definedName>
    <definedName name="XRefPaste89" hidden="1">#REF!</definedName>
    <definedName name="XRefPaste89Row" localSheetId="9" hidden="1">#REF!</definedName>
    <definedName name="XRefPaste89Row" hidden="1">#REF!</definedName>
    <definedName name="XRefPaste8Row" localSheetId="9" hidden="1">#REF!</definedName>
    <definedName name="XRefPaste8Row" hidden="1">#REF!</definedName>
    <definedName name="XRefPaste9" hidden="1">#REF!</definedName>
    <definedName name="XRefPaste90" localSheetId="9" hidden="1">#REF!</definedName>
    <definedName name="XRefPaste90" hidden="1">#REF!</definedName>
    <definedName name="XRefPaste90Row" localSheetId="9" hidden="1">#REF!</definedName>
    <definedName name="XRefPaste90Row" hidden="1">#REF!</definedName>
    <definedName name="XRefPaste91" localSheetId="9" hidden="1">#REF!</definedName>
    <definedName name="XRefPaste91" hidden="1">#REF!</definedName>
    <definedName name="XRefPaste91Row" localSheetId="9" hidden="1">#REF!</definedName>
    <definedName name="XRefPaste91Row" hidden="1">#REF!</definedName>
    <definedName name="XRefPaste92" localSheetId="9" hidden="1">#REF!</definedName>
    <definedName name="XRefPaste92" hidden="1">#REF!</definedName>
    <definedName name="XRefPaste92Row" localSheetId="9" hidden="1">#REF!</definedName>
    <definedName name="XRefPaste92Row" hidden="1">#REF!</definedName>
    <definedName name="XRefPaste93" localSheetId="9" hidden="1">#REF!</definedName>
    <definedName name="XRefPaste93" hidden="1">#REF!</definedName>
    <definedName name="XRefPaste93Row" localSheetId="9" hidden="1">#REF!</definedName>
    <definedName name="XRefPaste93Row" hidden="1">#REF!</definedName>
    <definedName name="XRefPaste94" localSheetId="9" hidden="1">#REF!</definedName>
    <definedName name="XRefPaste94" hidden="1">#REF!</definedName>
    <definedName name="XRefPaste94Row" localSheetId="9" hidden="1">#REF!</definedName>
    <definedName name="XRefPaste94Row" hidden="1">#REF!</definedName>
    <definedName name="XRefPaste95" localSheetId="9" hidden="1">#REF!</definedName>
    <definedName name="XRefPaste95" hidden="1">#REF!</definedName>
    <definedName name="XRefPaste95Row" localSheetId="9" hidden="1">#REF!</definedName>
    <definedName name="XRefPaste95Row" hidden="1">#REF!</definedName>
    <definedName name="XRefPaste96" localSheetId="9" hidden="1">#REF!</definedName>
    <definedName name="XRefPaste96" hidden="1">#REF!</definedName>
    <definedName name="XRefPaste96Row" localSheetId="9" hidden="1">#REF!</definedName>
    <definedName name="XRefPaste96Row" hidden="1">#REF!</definedName>
    <definedName name="XRefPaste97" localSheetId="9" hidden="1">#REF!</definedName>
    <definedName name="XRefPaste97" hidden="1">#REF!</definedName>
    <definedName name="XRefPaste97Row" localSheetId="9" hidden="1">#REF!</definedName>
    <definedName name="XRefPaste97Row" hidden="1">#REF!</definedName>
    <definedName name="XRefPaste98" localSheetId="9" hidden="1">#REF!</definedName>
    <definedName name="XRefPaste98" hidden="1">#REF!</definedName>
    <definedName name="XRefPaste98Row" localSheetId="9" hidden="1">#REF!</definedName>
    <definedName name="XRefPaste98Row" hidden="1">#REF!</definedName>
    <definedName name="XRefPaste99" localSheetId="9" hidden="1">#REF!</definedName>
    <definedName name="XRefPaste99" hidden="1">#REF!</definedName>
    <definedName name="XRefPaste99Row" localSheetId="9" hidden="1">#REF!</definedName>
    <definedName name="XRefPaste99Row" hidden="1">#REF!</definedName>
    <definedName name="XRefPaste9Row" localSheetId="9" hidden="1">#REF!</definedName>
    <definedName name="XRefPaste9Row" hidden="1">#REF!</definedName>
    <definedName name="XRefPasteRangeCount" localSheetId="9" hidden="1">6</definedName>
    <definedName name="XRefPasteRangeCount" hidden="1">1</definedName>
    <definedName name="xx">#REF!</definedName>
    <definedName name="Z_5FCC9217_B3E9_4B91_A943_5F21728EBEE9_.wvu.PrintArea" localSheetId="6" hidden="1">'ACTIVO NETO'!$A$5:$F$5</definedName>
    <definedName name="Z_5FCC9217_B3E9_4B91_A943_5F21728EBEE9_.wvu.PrintArea" localSheetId="7" hidden="1">'ESTADO DE INGRESOS Y EGRESOS'!$A$5:$F$5</definedName>
    <definedName name="Z_5FCC9217_B3E9_4B91_A943_5F21728EBEE9_.wvu.PrintArea" localSheetId="8" hidden="1">'FLUJO DE EFECTIVO'!#REF!</definedName>
    <definedName name="Z_5FCC9217_B3E9_4B91_A943_5F21728EBEE9_.wvu.PrintArea" localSheetId="10" hidden="1">NOTAS!$A$7:$L$96</definedName>
    <definedName name="Z_5FCC9217_B3E9_4B91_A943_5F21728EBEE9_.wvu.PrintArea" localSheetId="9" hidden="1">'VARIACION DEL ACTIVO NETO'!#REF!</definedName>
    <definedName name="Z_5FCC9217_B3E9_4B91_A943_5F21728EBEE9_.wvu.Rows" localSheetId="8" hidden="1">'FLUJO DE EFECTIVO'!#REF!</definedName>
    <definedName name="Z_7015FC6D_0680_4B00_AA0E_B83DA1D0B666_.wvu.PrintArea" localSheetId="6" hidden="1">'ACTIVO NETO'!$A$5:$F$5</definedName>
    <definedName name="Z_7015FC6D_0680_4B00_AA0E_B83DA1D0B666_.wvu.PrintArea" localSheetId="7" hidden="1">'ESTADO DE INGRESOS Y EGRESOS'!$A$5:$F$5</definedName>
    <definedName name="Z_7015FC6D_0680_4B00_AA0E_B83DA1D0B666_.wvu.PrintArea" localSheetId="8" hidden="1">'FLUJO DE EFECTIVO'!#REF!</definedName>
    <definedName name="Z_7015FC6D_0680_4B00_AA0E_B83DA1D0B666_.wvu.PrintArea" localSheetId="10" hidden="1">NOTAS!$A$7:$L$96</definedName>
    <definedName name="Z_7015FC6D_0680_4B00_AA0E_B83DA1D0B666_.wvu.PrintArea" localSheetId="9" hidden="1">'VARIACION DEL ACTIVO NETO'!#REF!</definedName>
    <definedName name="Z_7015FC6D_0680_4B00_AA0E_B83DA1D0B666_.wvu.Rows" localSheetId="8" hidden="1">'FLUJO DE EFECTIVO'!#REF!</definedName>
    <definedName name="Z_970CBB53_F4B3_462F_AEFE_2BC403F5F0AD_.wvu.PrintArea" localSheetId="10" hidden="1">NOTAS!$A$7:$L$96</definedName>
    <definedName name="Z_B9F63820_5C32_455A_BC9D_0BE84D6B0867_.wvu.PrintArea" localSheetId="6" hidden="1">'ACTIVO NETO'!$A$5:$F$5</definedName>
    <definedName name="Z_B9F63820_5C32_455A_BC9D_0BE84D6B0867_.wvu.PrintArea" localSheetId="7" hidden="1">'ESTADO DE INGRESOS Y EGRESOS'!$A$5:$F$5</definedName>
    <definedName name="Z_B9F63820_5C32_455A_BC9D_0BE84D6B0867_.wvu.PrintArea" localSheetId="8" hidden="1">'FLUJO DE EFECTIVO'!#REF!</definedName>
    <definedName name="Z_B9F63820_5C32_455A_BC9D_0BE84D6B0867_.wvu.PrintArea" localSheetId="9" hidden="1">'VARIACION DEL ACTIVO NETO'!#REF!</definedName>
    <definedName name="Z_B9F63820_5C32_455A_BC9D_0BE84D6B0867_.wvu.Rows" localSheetId="8" hidden="1">'FLUJO DE EFECTIVO'!#REF!</definedName>
    <definedName name="Z_F3648BCD_1CED_4BBB_AE63_37BDB925883F_.wvu.PrintArea" localSheetId="6" hidden="1">'ACTIVO NETO'!$A$5:$F$5</definedName>
    <definedName name="Z_F3648BCD_1CED_4BBB_AE63_37BDB925883F_.wvu.PrintArea" localSheetId="7" hidden="1">'ESTADO DE INGRESOS Y EGRESOS'!$A$5:$F$5</definedName>
    <definedName name="Z_F3648BCD_1CED_4BBB_AE63_37BDB925883F_.wvu.PrintArea" localSheetId="8" hidden="1">'FLUJO DE EFECTIVO'!#REF!</definedName>
    <definedName name="Z_F3648BCD_1CED_4BBB_AE63_37BDB925883F_.wvu.PrintArea" localSheetId="10" hidden="1">NOTAS!$A$7:$L$96</definedName>
    <definedName name="Z_F3648BCD_1CED_4BBB_AE63_37BDB925883F_.wvu.PrintArea" localSheetId="9" hidden="1">'VARIACION DEL ACTIVO NETO'!#REF!</definedName>
    <definedName name="Z_F3648BCD_1CED_4BBB_AE63_37BDB925883F_.wvu.Rows" localSheetId="8" hidden="1">'FLUJO DE EFECTIVO'!#REF!</definedName>
    <definedName name="zdfd" localSheetId="10" hidden="1">#REF!</definedName>
    <definedName name="zdfd" hidden="1">#REF!</definedName>
  </definedNames>
  <calcPr calcId="191028"/>
  <customWorkbookViews>
    <customWorkbookView name="Yohana Benitez - Vista personalizada" guid="{B9F63820-5C32-455A-BC9D-0BE84D6B0867}" mergeInterval="0" personalView="1" maximized="1" xWindow="-8" yWindow="-8" windowWidth="1382" windowHeight="744" tabRatio="954" activeSheetId="9"/>
    <customWorkbookView name="Alejandro Otazú - Vista personalizada" guid="{7015FC6D-0680-4B00-AA0E-B83DA1D0B666}" mergeInterval="0" personalView="1" maximized="1" xWindow="-9" yWindow="-9" windowWidth="1938" windowHeight="1048" tabRatio="954" activeSheetId="9"/>
    <customWorkbookView name="Shirley Vichini - Vista personalizada" guid="{5FCC9217-B3E9-4B91-A943-5F21728EBEE9}" mergeInterval="0" personalView="1" maximized="1" xWindow="-9" yWindow="-9" windowWidth="1938" windowHeight="1048" tabRatio="954" activeSheetId="9"/>
    <customWorkbookView name="Dahiana Sanchez - Vista personalizada" guid="{F3648BCD-1CED-4BBB-AE63-37BDB925883F}" mergeInterval="0" personalView="1" maximized="1" xWindow="-9" yWindow="-9" windowWidth="1938" windowHeight="1048" tabRatio="954"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62" i="39" l="1"/>
  <c r="K61" i="39"/>
  <c r="K60" i="39"/>
  <c r="K59" i="39"/>
  <c r="K58" i="39"/>
  <c r="K57" i="39"/>
  <c r="K56" i="39"/>
  <c r="K55" i="39"/>
  <c r="K54" i="39"/>
  <c r="K53" i="39"/>
  <c r="K52" i="39"/>
  <c r="K51" i="39"/>
  <c r="K49" i="39"/>
  <c r="K48" i="39"/>
  <c r="K47" i="39"/>
  <c r="K46" i="39"/>
  <c r="K45" i="39"/>
  <c r="K44" i="39"/>
  <c r="K43" i="39"/>
  <c r="K42" i="39"/>
  <c r="K41" i="39"/>
  <c r="K40" i="39"/>
  <c r="K39" i="39"/>
  <c r="K38" i="39"/>
  <c r="K37" i="39"/>
  <c r="K36" i="39"/>
  <c r="K34" i="39"/>
  <c r="K33" i="39"/>
  <c r="K32" i="39"/>
  <c r="K31" i="39"/>
  <c r="K30" i="39"/>
  <c r="K29" i="39"/>
  <c r="K28" i="39"/>
  <c r="K27" i="39"/>
  <c r="K26" i="39"/>
  <c r="K25" i="39"/>
  <c r="K24" i="39"/>
  <c r="K23" i="39"/>
  <c r="K22" i="39"/>
  <c r="K21" i="39"/>
  <c r="K20" i="39"/>
  <c r="K19" i="39"/>
  <c r="K18" i="39"/>
  <c r="K17" i="39"/>
  <c r="K16" i="39"/>
  <c r="K15" i="39"/>
  <c r="K14" i="39"/>
  <c r="K13" i="39"/>
  <c r="K12" i="39"/>
  <c r="K11" i="39"/>
  <c r="K10" i="39"/>
  <c r="K9" i="39"/>
  <c r="K8" i="39"/>
  <c r="K7" i="39"/>
  <c r="AK557" i="38"/>
  <c r="AJ557" i="38"/>
  <c r="AG557" i="38"/>
  <c r="AK556" i="38"/>
  <c r="AJ556" i="38"/>
  <c r="AG556" i="38"/>
  <c r="AK555" i="38"/>
  <c r="AJ555" i="38"/>
  <c r="AG555" i="38"/>
  <c r="AK554" i="38"/>
  <c r="AJ554" i="38"/>
  <c r="AG554" i="38"/>
  <c r="AK553" i="38"/>
  <c r="AJ553" i="38"/>
  <c r="AG553" i="38"/>
  <c r="AK552" i="38"/>
  <c r="AJ552" i="38"/>
  <c r="AG552" i="38"/>
  <c r="AK551" i="38"/>
  <c r="AJ551" i="38"/>
  <c r="AG551" i="38"/>
  <c r="AK550" i="38"/>
  <c r="AJ550" i="38"/>
  <c r="AG550" i="38"/>
  <c r="AK549" i="38"/>
  <c r="AJ549" i="38"/>
  <c r="AG549" i="38"/>
  <c r="AK548" i="38"/>
  <c r="AJ548" i="38"/>
  <c r="AG548" i="38"/>
  <c r="AK547" i="38"/>
  <c r="AJ547" i="38"/>
  <c r="AG547" i="38"/>
  <c r="AK546" i="38"/>
  <c r="AJ546" i="38"/>
  <c r="AG546" i="38"/>
  <c r="Q546" i="38"/>
  <c r="Q547" i="38" s="1"/>
  <c r="Q548" i="38" s="1"/>
  <c r="Q549" i="38" s="1"/>
  <c r="Q550" i="38" s="1"/>
  <c r="Q551" i="38" s="1"/>
  <c r="Q552" i="38" s="1"/>
  <c r="Q553" i="38" s="1"/>
  <c r="Q554" i="38" s="1"/>
  <c r="Q555" i="38" s="1"/>
  <c r="Q556" i="38" s="1"/>
  <c r="Q557" i="38" s="1"/>
  <c r="P546" i="38"/>
  <c r="P547" i="38" s="1"/>
  <c r="P548" i="38" s="1"/>
  <c r="P549" i="38" s="1"/>
  <c r="P550" i="38" s="1"/>
  <c r="P551" i="38" s="1"/>
  <c r="P552" i="38" s="1"/>
  <c r="P553" i="38" s="1"/>
  <c r="P554" i="38" s="1"/>
  <c r="P555" i="38" s="1"/>
  <c r="P556" i="38" s="1"/>
  <c r="P557" i="38" s="1"/>
  <c r="O546" i="38"/>
  <c r="O547" i="38" s="1"/>
  <c r="O548" i="38" s="1"/>
  <c r="O549" i="38" s="1"/>
  <c r="O550" i="38" s="1"/>
  <c r="O551" i="38" s="1"/>
  <c r="O552" i="38" s="1"/>
  <c r="O553" i="38" s="1"/>
  <c r="O554" i="38" s="1"/>
  <c r="O555" i="38" s="1"/>
  <c r="O556" i="38" s="1"/>
  <c r="O557" i="38" s="1"/>
  <c r="H546" i="38"/>
  <c r="E546" i="38"/>
  <c r="E547" i="38" s="1"/>
  <c r="E548" i="38" s="1"/>
  <c r="E549" i="38" s="1"/>
  <c r="E550" i="38" s="1"/>
  <c r="E551" i="38" s="1"/>
  <c r="E552" i="38" s="1"/>
  <c r="E553" i="38" s="1"/>
  <c r="E554" i="38" s="1"/>
  <c r="E555" i="38" s="1"/>
  <c r="E556" i="38" s="1"/>
  <c r="E557" i="38" s="1"/>
  <c r="C546" i="38"/>
  <c r="C547" i="38" s="1"/>
  <c r="C548" i="38" s="1"/>
  <c r="C549" i="38" s="1"/>
  <c r="C550" i="38" s="1"/>
  <c r="C551" i="38" s="1"/>
  <c r="C552" i="38" s="1"/>
  <c r="C553" i="38" s="1"/>
  <c r="C554" i="38" s="1"/>
  <c r="C555" i="38" s="1"/>
  <c r="C556" i="38" s="1"/>
  <c r="C557" i="38" s="1"/>
  <c r="B546" i="38"/>
  <c r="B547" i="38" s="1"/>
  <c r="B548" i="38" s="1"/>
  <c r="B549" i="38" s="1"/>
  <c r="B550" i="38" s="1"/>
  <c r="B551" i="38" s="1"/>
  <c r="B552" i="38" s="1"/>
  <c r="B553" i="38" s="1"/>
  <c r="B554" i="38" s="1"/>
  <c r="B555" i="38" s="1"/>
  <c r="B556" i="38" s="1"/>
  <c r="B557" i="38" s="1"/>
  <c r="T545" i="38"/>
  <c r="AG545" i="38" s="1"/>
  <c r="AK544" i="38"/>
  <c r="AJ544" i="38"/>
  <c r="AG544" i="38"/>
  <c r="AK543" i="38"/>
  <c r="AJ543" i="38"/>
  <c r="AG543" i="38"/>
  <c r="AK542" i="38"/>
  <c r="AJ542" i="38"/>
  <c r="AG542" i="38"/>
  <c r="AK541" i="38"/>
  <c r="AJ541" i="38"/>
  <c r="AG541" i="38"/>
  <c r="AK540" i="38"/>
  <c r="AJ540" i="38"/>
  <c r="AG540" i="38"/>
  <c r="AK539" i="38"/>
  <c r="AJ539" i="38"/>
  <c r="AG539" i="38"/>
  <c r="AK538" i="38"/>
  <c r="AJ538" i="38"/>
  <c r="AG538" i="38"/>
  <c r="AK537" i="38"/>
  <c r="AJ537" i="38"/>
  <c r="AG537" i="38"/>
  <c r="AK536" i="38"/>
  <c r="AJ536" i="38"/>
  <c r="AG536" i="38"/>
  <c r="AK535" i="38"/>
  <c r="AJ535" i="38"/>
  <c r="AG535" i="38"/>
  <c r="AK534" i="38"/>
  <c r="AJ534" i="38"/>
  <c r="AG534" i="38"/>
  <c r="AK533" i="38"/>
  <c r="AJ533" i="38"/>
  <c r="AG533" i="38"/>
  <c r="Q533" i="38"/>
  <c r="Q534" i="38" s="1"/>
  <c r="Q535" i="38" s="1"/>
  <c r="Q536" i="38" s="1"/>
  <c r="Q537" i="38" s="1"/>
  <c r="Q538" i="38" s="1"/>
  <c r="Q539" i="38" s="1"/>
  <c r="Q540" i="38" s="1"/>
  <c r="Q541" i="38" s="1"/>
  <c r="Q542" i="38" s="1"/>
  <c r="Q543" i="38" s="1"/>
  <c r="Q544" i="38" s="1"/>
  <c r="P533" i="38"/>
  <c r="P534" i="38" s="1"/>
  <c r="P535" i="38" s="1"/>
  <c r="P536" i="38" s="1"/>
  <c r="P537" i="38" s="1"/>
  <c r="P538" i="38" s="1"/>
  <c r="P539" i="38" s="1"/>
  <c r="P540" i="38" s="1"/>
  <c r="P541" i="38" s="1"/>
  <c r="P542" i="38" s="1"/>
  <c r="P543" i="38" s="1"/>
  <c r="P544" i="38" s="1"/>
  <c r="O533" i="38"/>
  <c r="O534" i="38" s="1"/>
  <c r="O535" i="38" s="1"/>
  <c r="O536" i="38" s="1"/>
  <c r="O537" i="38" s="1"/>
  <c r="O538" i="38" s="1"/>
  <c r="O539" i="38" s="1"/>
  <c r="O540" i="38" s="1"/>
  <c r="O541" i="38" s="1"/>
  <c r="O542" i="38" s="1"/>
  <c r="O543" i="38" s="1"/>
  <c r="O544" i="38" s="1"/>
  <c r="H533" i="38"/>
  <c r="E533" i="38"/>
  <c r="E534" i="38" s="1"/>
  <c r="E535" i="38" s="1"/>
  <c r="E536" i="38" s="1"/>
  <c r="E537" i="38" s="1"/>
  <c r="E538" i="38" s="1"/>
  <c r="E539" i="38" s="1"/>
  <c r="E540" i="38" s="1"/>
  <c r="E541" i="38" s="1"/>
  <c r="E542" i="38" s="1"/>
  <c r="E543" i="38" s="1"/>
  <c r="E544" i="38" s="1"/>
  <c r="C533" i="38"/>
  <c r="C534" i="38" s="1"/>
  <c r="C535" i="38" s="1"/>
  <c r="C536" i="38" s="1"/>
  <c r="C537" i="38" s="1"/>
  <c r="C538" i="38" s="1"/>
  <c r="C539" i="38" s="1"/>
  <c r="C540" i="38" s="1"/>
  <c r="C541" i="38" s="1"/>
  <c r="C542" i="38" s="1"/>
  <c r="C543" i="38" s="1"/>
  <c r="C544" i="38" s="1"/>
  <c r="B533" i="38"/>
  <c r="B534" i="38" s="1"/>
  <c r="B535" i="38" s="1"/>
  <c r="B536" i="38" s="1"/>
  <c r="B537" i="38" s="1"/>
  <c r="B538" i="38" s="1"/>
  <c r="B539" i="38" s="1"/>
  <c r="B540" i="38" s="1"/>
  <c r="B541" i="38" s="1"/>
  <c r="B542" i="38" s="1"/>
  <c r="B543" i="38" s="1"/>
  <c r="B544" i="38" s="1"/>
  <c r="T532" i="38"/>
  <c r="AG532" i="38" s="1"/>
  <c r="AK531" i="38"/>
  <c r="AJ531" i="38"/>
  <c r="AG531" i="38"/>
  <c r="AK530" i="38"/>
  <c r="AJ530" i="38"/>
  <c r="AG530" i="38"/>
  <c r="AK529" i="38"/>
  <c r="AJ529" i="38"/>
  <c r="AG529" i="38"/>
  <c r="AK528" i="38"/>
  <c r="AJ528" i="38"/>
  <c r="AG528" i="38"/>
  <c r="AK527" i="38"/>
  <c r="AJ527" i="38"/>
  <c r="AG527" i="38"/>
  <c r="AK526" i="38"/>
  <c r="AJ526" i="38"/>
  <c r="AG526" i="38"/>
  <c r="AK525" i="38"/>
  <c r="AJ525" i="38"/>
  <c r="AG525" i="38"/>
  <c r="AK524" i="38"/>
  <c r="AJ524" i="38"/>
  <c r="AG524" i="38"/>
  <c r="AK523" i="38"/>
  <c r="AJ523" i="38"/>
  <c r="AG523" i="38"/>
  <c r="AK522" i="38"/>
  <c r="AJ522" i="38"/>
  <c r="AG522" i="38"/>
  <c r="AK521" i="38"/>
  <c r="AJ521" i="38"/>
  <c r="AG521" i="38"/>
  <c r="AK520" i="38"/>
  <c r="AJ520" i="38"/>
  <c r="AG520" i="38"/>
  <c r="AK519" i="38"/>
  <c r="AJ519" i="38"/>
  <c r="AG519" i="38"/>
  <c r="AK518" i="38"/>
  <c r="AJ518" i="38"/>
  <c r="AG518" i="38"/>
  <c r="AK517" i="38"/>
  <c r="AJ517" i="38"/>
  <c r="AG517" i="38"/>
  <c r="Y517" i="38"/>
  <c r="Y518" i="38" s="1"/>
  <c r="Y519" i="38" s="1"/>
  <c r="Y520" i="38" s="1"/>
  <c r="Y521" i="38" s="1"/>
  <c r="Y522" i="38" s="1"/>
  <c r="Y523" i="38" s="1"/>
  <c r="Y524" i="38" s="1"/>
  <c r="Y525" i="38" s="1"/>
  <c r="Y526" i="38" s="1"/>
  <c r="Y527" i="38" s="1"/>
  <c r="Y528" i="38" s="1"/>
  <c r="Y529" i="38" s="1"/>
  <c r="Y530" i="38" s="1"/>
  <c r="Y531" i="38" s="1"/>
  <c r="Q517" i="38"/>
  <c r="Q518" i="38" s="1"/>
  <c r="Q519" i="38" s="1"/>
  <c r="Q520" i="38" s="1"/>
  <c r="Q521" i="38" s="1"/>
  <c r="Q522" i="38" s="1"/>
  <c r="Q523" i="38" s="1"/>
  <c r="Q524" i="38" s="1"/>
  <c r="Q525" i="38" s="1"/>
  <c r="Q526" i="38" s="1"/>
  <c r="Q527" i="38" s="1"/>
  <c r="Q528" i="38" s="1"/>
  <c r="Q529" i="38" s="1"/>
  <c r="Q530" i="38" s="1"/>
  <c r="Q531" i="38" s="1"/>
  <c r="O517" i="38"/>
  <c r="O518" i="38" s="1"/>
  <c r="O519" i="38" s="1"/>
  <c r="O520" i="38" s="1"/>
  <c r="O521" i="38" s="1"/>
  <c r="O522" i="38" s="1"/>
  <c r="O523" i="38" s="1"/>
  <c r="O524" i="38" s="1"/>
  <c r="O525" i="38" s="1"/>
  <c r="O526" i="38" s="1"/>
  <c r="O527" i="38" s="1"/>
  <c r="O528" i="38" s="1"/>
  <c r="O529" i="38" s="1"/>
  <c r="O530" i="38" s="1"/>
  <c r="O531" i="38" s="1"/>
  <c r="H517" i="38"/>
  <c r="G517" i="38"/>
  <c r="G518" i="38" s="1"/>
  <c r="G519" i="38" s="1"/>
  <c r="G520" i="38" s="1"/>
  <c r="G521" i="38" s="1"/>
  <c r="G522" i="38" s="1"/>
  <c r="G523" i="38" s="1"/>
  <c r="G524" i="38" s="1"/>
  <c r="G525" i="38" s="1"/>
  <c r="G526" i="38" s="1"/>
  <c r="G527" i="38" s="1"/>
  <c r="G528" i="38" s="1"/>
  <c r="G529" i="38" s="1"/>
  <c r="G530" i="38" s="1"/>
  <c r="G531" i="38" s="1"/>
  <c r="F517" i="38"/>
  <c r="F518" i="38" s="1"/>
  <c r="F519" i="38" s="1"/>
  <c r="F520" i="38" s="1"/>
  <c r="F521" i="38" s="1"/>
  <c r="F522" i="38" s="1"/>
  <c r="F523" i="38" s="1"/>
  <c r="F524" i="38" s="1"/>
  <c r="F525" i="38" s="1"/>
  <c r="F526" i="38" s="1"/>
  <c r="F527" i="38" s="1"/>
  <c r="F528" i="38" s="1"/>
  <c r="F529" i="38" s="1"/>
  <c r="F530" i="38" s="1"/>
  <c r="F531" i="38" s="1"/>
  <c r="D517" i="38"/>
  <c r="D518" i="38" s="1"/>
  <c r="D519" i="38" s="1"/>
  <c r="D520" i="38" s="1"/>
  <c r="D521" i="38" s="1"/>
  <c r="D522" i="38" s="1"/>
  <c r="D523" i="38" s="1"/>
  <c r="D524" i="38" s="1"/>
  <c r="D525" i="38" s="1"/>
  <c r="D526" i="38" s="1"/>
  <c r="D527" i="38" s="1"/>
  <c r="D528" i="38" s="1"/>
  <c r="D529" i="38" s="1"/>
  <c r="D530" i="38" s="1"/>
  <c r="D531" i="38" s="1"/>
  <c r="C517" i="38"/>
  <c r="C518" i="38" s="1"/>
  <c r="C519" i="38" s="1"/>
  <c r="C520" i="38" s="1"/>
  <c r="C521" i="38" s="1"/>
  <c r="C522" i="38" s="1"/>
  <c r="C523" i="38" s="1"/>
  <c r="C524" i="38" s="1"/>
  <c r="C525" i="38" s="1"/>
  <c r="C526" i="38" s="1"/>
  <c r="C527" i="38" s="1"/>
  <c r="C528" i="38" s="1"/>
  <c r="C529" i="38" s="1"/>
  <c r="C530" i="38" s="1"/>
  <c r="C531" i="38" s="1"/>
  <c r="B517" i="38"/>
  <c r="B518" i="38" s="1"/>
  <c r="B519" i="38" s="1"/>
  <c r="B520" i="38" s="1"/>
  <c r="B521" i="38" s="1"/>
  <c r="B522" i="38" s="1"/>
  <c r="B523" i="38" s="1"/>
  <c r="B524" i="38" s="1"/>
  <c r="B525" i="38" s="1"/>
  <c r="B526" i="38" s="1"/>
  <c r="B527" i="38" s="1"/>
  <c r="B528" i="38" s="1"/>
  <c r="B529" i="38" s="1"/>
  <c r="B530" i="38" s="1"/>
  <c r="B531" i="38" s="1"/>
  <c r="T516" i="38"/>
  <c r="AG516" i="38" s="1"/>
  <c r="P516" i="38"/>
  <c r="P517" i="38" s="1"/>
  <c r="P518" i="38" s="1"/>
  <c r="P519" i="38" s="1"/>
  <c r="P520" i="38" s="1"/>
  <c r="P521" i="38" s="1"/>
  <c r="P522" i="38" s="1"/>
  <c r="P523" i="38" s="1"/>
  <c r="P524" i="38" s="1"/>
  <c r="P525" i="38" s="1"/>
  <c r="P526" i="38" s="1"/>
  <c r="P527" i="38" s="1"/>
  <c r="P528" i="38" s="1"/>
  <c r="P529" i="38" s="1"/>
  <c r="P530" i="38" s="1"/>
  <c r="P531" i="38" s="1"/>
  <c r="AK515" i="38"/>
  <c r="AJ515" i="38"/>
  <c r="AG515" i="38"/>
  <c r="AK514" i="38"/>
  <c r="AJ514" i="38"/>
  <c r="AG514" i="38"/>
  <c r="AK513" i="38"/>
  <c r="AJ513" i="38"/>
  <c r="AG513" i="38"/>
  <c r="AK512" i="38"/>
  <c r="AJ512" i="38"/>
  <c r="AG512" i="38"/>
  <c r="AK511" i="38"/>
  <c r="AJ511" i="38"/>
  <c r="AG511" i="38"/>
  <c r="AK510" i="38"/>
  <c r="AJ510" i="38"/>
  <c r="AG510" i="38"/>
  <c r="AK509" i="38"/>
  <c r="AJ509" i="38"/>
  <c r="AG509" i="38"/>
  <c r="AK508" i="38"/>
  <c r="AJ508" i="38"/>
  <c r="AG508" i="38"/>
  <c r="AK507" i="38"/>
  <c r="AJ507" i="38"/>
  <c r="AG507" i="38"/>
  <c r="AK506" i="38"/>
  <c r="AJ506" i="38"/>
  <c r="AG506" i="38"/>
  <c r="AK505" i="38"/>
  <c r="AJ505" i="38"/>
  <c r="AG505" i="38"/>
  <c r="AK504" i="38"/>
  <c r="AJ504" i="38"/>
  <c r="AG504" i="38"/>
  <c r="AK503" i="38"/>
  <c r="AJ503" i="38"/>
  <c r="AG503" i="38"/>
  <c r="AK502" i="38"/>
  <c r="AJ502" i="38"/>
  <c r="AG502" i="38"/>
  <c r="AK501" i="38"/>
  <c r="AJ501" i="38"/>
  <c r="AG501" i="38"/>
  <c r="Y501" i="38"/>
  <c r="Y502" i="38" s="1"/>
  <c r="Y503" i="38" s="1"/>
  <c r="Y504" i="38" s="1"/>
  <c r="Y505" i="38" s="1"/>
  <c r="Y506" i="38" s="1"/>
  <c r="Y507" i="38" s="1"/>
  <c r="Y508" i="38" s="1"/>
  <c r="Y509" i="38" s="1"/>
  <c r="Y510" i="38" s="1"/>
  <c r="Y511" i="38" s="1"/>
  <c r="Y512" i="38" s="1"/>
  <c r="Y513" i="38" s="1"/>
  <c r="Y514" i="38" s="1"/>
  <c r="Y515" i="38" s="1"/>
  <c r="Q501" i="38"/>
  <c r="Q502" i="38" s="1"/>
  <c r="Q503" i="38" s="1"/>
  <c r="Q504" i="38" s="1"/>
  <c r="Q505" i="38" s="1"/>
  <c r="Q506" i="38" s="1"/>
  <c r="Q507" i="38" s="1"/>
  <c r="Q508" i="38" s="1"/>
  <c r="Q509" i="38" s="1"/>
  <c r="Q510" i="38" s="1"/>
  <c r="Q511" i="38" s="1"/>
  <c r="Q512" i="38" s="1"/>
  <c r="Q513" i="38" s="1"/>
  <c r="Q514" i="38" s="1"/>
  <c r="Q515" i="38" s="1"/>
  <c r="O501" i="38"/>
  <c r="O502" i="38" s="1"/>
  <c r="O503" i="38" s="1"/>
  <c r="O504" i="38" s="1"/>
  <c r="O505" i="38" s="1"/>
  <c r="O506" i="38" s="1"/>
  <c r="O507" i="38" s="1"/>
  <c r="O508" i="38" s="1"/>
  <c r="O509" i="38" s="1"/>
  <c r="O510" i="38" s="1"/>
  <c r="O511" i="38" s="1"/>
  <c r="O512" i="38" s="1"/>
  <c r="O513" i="38" s="1"/>
  <c r="O514" i="38" s="1"/>
  <c r="O515" i="38" s="1"/>
  <c r="H501" i="38"/>
  <c r="G501" i="38"/>
  <c r="G502" i="38" s="1"/>
  <c r="G503" i="38" s="1"/>
  <c r="G504" i="38" s="1"/>
  <c r="G505" i="38" s="1"/>
  <c r="G506" i="38" s="1"/>
  <c r="G507" i="38" s="1"/>
  <c r="G508" i="38" s="1"/>
  <c r="G509" i="38" s="1"/>
  <c r="G510" i="38" s="1"/>
  <c r="G511" i="38" s="1"/>
  <c r="G512" i="38" s="1"/>
  <c r="G513" i="38" s="1"/>
  <c r="G514" i="38" s="1"/>
  <c r="G515" i="38" s="1"/>
  <c r="F501" i="38"/>
  <c r="F502" i="38" s="1"/>
  <c r="F503" i="38" s="1"/>
  <c r="F504" i="38" s="1"/>
  <c r="F505" i="38" s="1"/>
  <c r="F506" i="38" s="1"/>
  <c r="F507" i="38" s="1"/>
  <c r="F508" i="38" s="1"/>
  <c r="F509" i="38" s="1"/>
  <c r="F510" i="38" s="1"/>
  <c r="F511" i="38" s="1"/>
  <c r="F512" i="38" s="1"/>
  <c r="F513" i="38" s="1"/>
  <c r="F514" i="38" s="1"/>
  <c r="F515" i="38" s="1"/>
  <c r="D501" i="38"/>
  <c r="D502" i="38" s="1"/>
  <c r="D503" i="38" s="1"/>
  <c r="D504" i="38" s="1"/>
  <c r="D505" i="38" s="1"/>
  <c r="D506" i="38" s="1"/>
  <c r="D507" i="38" s="1"/>
  <c r="D508" i="38" s="1"/>
  <c r="D509" i="38" s="1"/>
  <c r="D510" i="38" s="1"/>
  <c r="D511" i="38" s="1"/>
  <c r="D512" i="38" s="1"/>
  <c r="D513" i="38" s="1"/>
  <c r="D514" i="38" s="1"/>
  <c r="D515" i="38" s="1"/>
  <c r="C501" i="38"/>
  <c r="C502" i="38" s="1"/>
  <c r="C503" i="38" s="1"/>
  <c r="C504" i="38" s="1"/>
  <c r="C505" i="38" s="1"/>
  <c r="C506" i="38" s="1"/>
  <c r="C507" i="38" s="1"/>
  <c r="C508" i="38" s="1"/>
  <c r="C509" i="38" s="1"/>
  <c r="C510" i="38" s="1"/>
  <c r="C511" i="38" s="1"/>
  <c r="C512" i="38" s="1"/>
  <c r="C513" i="38" s="1"/>
  <c r="C514" i="38" s="1"/>
  <c r="C515" i="38" s="1"/>
  <c r="B501" i="38"/>
  <c r="B502" i="38" s="1"/>
  <c r="B503" i="38" s="1"/>
  <c r="B504" i="38" s="1"/>
  <c r="B505" i="38" s="1"/>
  <c r="B506" i="38" s="1"/>
  <c r="B507" i="38" s="1"/>
  <c r="B508" i="38" s="1"/>
  <c r="B509" i="38" s="1"/>
  <c r="B510" i="38" s="1"/>
  <c r="B511" i="38" s="1"/>
  <c r="B512" i="38" s="1"/>
  <c r="B513" i="38" s="1"/>
  <c r="B514" i="38" s="1"/>
  <c r="B515" i="38" s="1"/>
  <c r="T500" i="38"/>
  <c r="AG500" i="38" s="1"/>
  <c r="P500" i="38"/>
  <c r="P501" i="38" s="1"/>
  <c r="P502" i="38" s="1"/>
  <c r="P503" i="38" s="1"/>
  <c r="P504" i="38" s="1"/>
  <c r="P505" i="38" s="1"/>
  <c r="P506" i="38" s="1"/>
  <c r="P507" i="38" s="1"/>
  <c r="P508" i="38" s="1"/>
  <c r="P509" i="38" s="1"/>
  <c r="P510" i="38" s="1"/>
  <c r="P511" i="38" s="1"/>
  <c r="P512" i="38" s="1"/>
  <c r="P513" i="38" s="1"/>
  <c r="P514" i="38" s="1"/>
  <c r="P515" i="38" s="1"/>
  <c r="AK499" i="38"/>
  <c r="AJ499" i="38"/>
  <c r="AG499" i="38"/>
  <c r="AK498" i="38"/>
  <c r="AJ498" i="38"/>
  <c r="AG498" i="38"/>
  <c r="AK497" i="38"/>
  <c r="AJ497" i="38"/>
  <c r="AG497" i="38"/>
  <c r="AK496" i="38"/>
  <c r="AJ496" i="38"/>
  <c r="AG496" i="38"/>
  <c r="AK495" i="38"/>
  <c r="AJ495" i="38"/>
  <c r="AG495" i="38"/>
  <c r="AK494" i="38"/>
  <c r="AJ494" i="38"/>
  <c r="AG494" i="38"/>
  <c r="AK493" i="38"/>
  <c r="AJ493" i="38"/>
  <c r="AG493" i="38"/>
  <c r="AK492" i="38"/>
  <c r="AJ492" i="38"/>
  <c r="AG492" i="38"/>
  <c r="Q492" i="38"/>
  <c r="Q493" i="38" s="1"/>
  <c r="Q494" i="38" s="1"/>
  <c r="Q495" i="38" s="1"/>
  <c r="Q496" i="38" s="1"/>
  <c r="Q497" i="38" s="1"/>
  <c r="Q498" i="38" s="1"/>
  <c r="Q499" i="38" s="1"/>
  <c r="P492" i="38"/>
  <c r="P493" i="38" s="1"/>
  <c r="P494" i="38" s="1"/>
  <c r="P495" i="38" s="1"/>
  <c r="P496" i="38" s="1"/>
  <c r="P497" i="38" s="1"/>
  <c r="P498" i="38" s="1"/>
  <c r="P499" i="38" s="1"/>
  <c r="O492" i="38"/>
  <c r="O493" i="38" s="1"/>
  <c r="O494" i="38" s="1"/>
  <c r="O495" i="38" s="1"/>
  <c r="O496" i="38" s="1"/>
  <c r="O497" i="38" s="1"/>
  <c r="O498" i="38" s="1"/>
  <c r="O499" i="38" s="1"/>
  <c r="H492" i="38"/>
  <c r="E492" i="38"/>
  <c r="E493" i="38" s="1"/>
  <c r="E494" i="38" s="1"/>
  <c r="E495" i="38" s="1"/>
  <c r="E496" i="38" s="1"/>
  <c r="E497" i="38" s="1"/>
  <c r="E498" i="38" s="1"/>
  <c r="E499" i="38" s="1"/>
  <c r="C492" i="38"/>
  <c r="C493" i="38" s="1"/>
  <c r="C494" i="38" s="1"/>
  <c r="C495" i="38" s="1"/>
  <c r="C496" i="38" s="1"/>
  <c r="C497" i="38" s="1"/>
  <c r="C498" i="38" s="1"/>
  <c r="C499" i="38" s="1"/>
  <c r="B492" i="38"/>
  <c r="B493" i="38" s="1"/>
  <c r="B494" i="38" s="1"/>
  <c r="B495" i="38" s="1"/>
  <c r="B496" i="38" s="1"/>
  <c r="B497" i="38" s="1"/>
  <c r="B498" i="38" s="1"/>
  <c r="B499" i="38" s="1"/>
  <c r="T491" i="38"/>
  <c r="AG491" i="38" s="1"/>
  <c r="T490" i="38"/>
  <c r="AG490" i="38" s="1"/>
  <c r="AK489" i="38"/>
  <c r="AJ489" i="38"/>
  <c r="AG489" i="38"/>
  <c r="AK488" i="38"/>
  <c r="AJ488" i="38"/>
  <c r="AG488" i="38"/>
  <c r="AK487" i="38"/>
  <c r="AJ487" i="38"/>
  <c r="AG487" i="38"/>
  <c r="AK486" i="38"/>
  <c r="AJ486" i="38"/>
  <c r="AG486" i="38"/>
  <c r="AK485" i="38"/>
  <c r="AJ485" i="38"/>
  <c r="AG485" i="38"/>
  <c r="AK484" i="38"/>
  <c r="AJ484" i="38"/>
  <c r="AG484" i="38"/>
  <c r="AK483" i="38"/>
  <c r="AJ483" i="38"/>
  <c r="AG483" i="38"/>
  <c r="AK482" i="38"/>
  <c r="AJ482" i="38"/>
  <c r="AG482" i="38"/>
  <c r="AK481" i="38"/>
  <c r="AJ481" i="38"/>
  <c r="AG481" i="38"/>
  <c r="AK480" i="38"/>
  <c r="AJ480" i="38"/>
  <c r="AG480" i="38"/>
  <c r="AK479" i="38"/>
  <c r="AJ479" i="38"/>
  <c r="AG479" i="38"/>
  <c r="AK478" i="38"/>
  <c r="AJ478" i="38"/>
  <c r="AG478" i="38"/>
  <c r="AK477" i="38"/>
  <c r="AJ477" i="38"/>
  <c r="AG477" i="38"/>
  <c r="Q477" i="38"/>
  <c r="Q478" i="38" s="1"/>
  <c r="Q479" i="38" s="1"/>
  <c r="Q480" i="38" s="1"/>
  <c r="Q481" i="38" s="1"/>
  <c r="Q482" i="38" s="1"/>
  <c r="Q483" i="38" s="1"/>
  <c r="Q484" i="38" s="1"/>
  <c r="Q485" i="38" s="1"/>
  <c r="Q486" i="38" s="1"/>
  <c r="Q487" i="38" s="1"/>
  <c r="Q488" i="38" s="1"/>
  <c r="Q489" i="38" s="1"/>
  <c r="P477" i="38"/>
  <c r="P478" i="38" s="1"/>
  <c r="P479" i="38" s="1"/>
  <c r="P480" i="38" s="1"/>
  <c r="P481" i="38" s="1"/>
  <c r="P482" i="38" s="1"/>
  <c r="P483" i="38" s="1"/>
  <c r="P484" i="38" s="1"/>
  <c r="P485" i="38" s="1"/>
  <c r="P486" i="38" s="1"/>
  <c r="P487" i="38" s="1"/>
  <c r="P488" i="38" s="1"/>
  <c r="P489" i="38" s="1"/>
  <c r="O477" i="38"/>
  <c r="O478" i="38" s="1"/>
  <c r="O479" i="38" s="1"/>
  <c r="O480" i="38" s="1"/>
  <c r="O481" i="38" s="1"/>
  <c r="O482" i="38" s="1"/>
  <c r="O483" i="38" s="1"/>
  <c r="O484" i="38" s="1"/>
  <c r="O485" i="38" s="1"/>
  <c r="O486" i="38" s="1"/>
  <c r="O487" i="38" s="1"/>
  <c r="O488" i="38" s="1"/>
  <c r="O489" i="38" s="1"/>
  <c r="H477" i="38"/>
  <c r="E477" i="38"/>
  <c r="E478" i="38" s="1"/>
  <c r="E479" i="38" s="1"/>
  <c r="E480" i="38" s="1"/>
  <c r="E481" i="38" s="1"/>
  <c r="E482" i="38" s="1"/>
  <c r="E483" i="38" s="1"/>
  <c r="E484" i="38" s="1"/>
  <c r="E485" i="38" s="1"/>
  <c r="E486" i="38" s="1"/>
  <c r="E487" i="38" s="1"/>
  <c r="E488" i="38" s="1"/>
  <c r="E489" i="38" s="1"/>
  <c r="C477" i="38"/>
  <c r="C478" i="38" s="1"/>
  <c r="C479" i="38" s="1"/>
  <c r="C480" i="38" s="1"/>
  <c r="C481" i="38" s="1"/>
  <c r="C482" i="38" s="1"/>
  <c r="C483" i="38" s="1"/>
  <c r="C484" i="38" s="1"/>
  <c r="C485" i="38" s="1"/>
  <c r="C486" i="38" s="1"/>
  <c r="C487" i="38" s="1"/>
  <c r="C488" i="38" s="1"/>
  <c r="C489" i="38" s="1"/>
  <c r="B477" i="38"/>
  <c r="B478" i="38" s="1"/>
  <c r="B479" i="38" s="1"/>
  <c r="B480" i="38" s="1"/>
  <c r="B481" i="38" s="1"/>
  <c r="B482" i="38" s="1"/>
  <c r="B483" i="38" s="1"/>
  <c r="B484" i="38" s="1"/>
  <c r="B485" i="38" s="1"/>
  <c r="B486" i="38" s="1"/>
  <c r="B487" i="38" s="1"/>
  <c r="B488" i="38" s="1"/>
  <c r="B489" i="38" s="1"/>
  <c r="T476" i="38"/>
  <c r="AG476" i="38" s="1"/>
  <c r="AK475" i="38"/>
  <c r="AJ475" i="38"/>
  <c r="AG475" i="38"/>
  <c r="AK474" i="38"/>
  <c r="AJ474" i="38"/>
  <c r="AG474" i="38"/>
  <c r="AK473" i="38"/>
  <c r="AJ473" i="38"/>
  <c r="AG473" i="38"/>
  <c r="AK472" i="38"/>
  <c r="AJ472" i="38"/>
  <c r="AG472" i="38"/>
  <c r="AK471" i="38"/>
  <c r="AJ471" i="38"/>
  <c r="AG471" i="38"/>
  <c r="AK470" i="38"/>
  <c r="AJ470" i="38"/>
  <c r="AG470" i="38"/>
  <c r="AK469" i="38"/>
  <c r="AJ469" i="38"/>
  <c r="AG469" i="38"/>
  <c r="AK468" i="38"/>
  <c r="AJ468" i="38"/>
  <c r="AG468" i="38"/>
  <c r="AK467" i="38"/>
  <c r="AJ467" i="38"/>
  <c r="AG467" i="38"/>
  <c r="AK466" i="38"/>
  <c r="AJ466" i="38"/>
  <c r="AG466" i="38"/>
  <c r="AK465" i="38"/>
  <c r="AJ465" i="38"/>
  <c r="AG465" i="38"/>
  <c r="Q465" i="38"/>
  <c r="Q466" i="38" s="1"/>
  <c r="Q467" i="38" s="1"/>
  <c r="Q468" i="38" s="1"/>
  <c r="Q469" i="38" s="1"/>
  <c r="Q470" i="38" s="1"/>
  <c r="Q471" i="38" s="1"/>
  <c r="Q472" i="38" s="1"/>
  <c r="Q473" i="38" s="1"/>
  <c r="Q474" i="38" s="1"/>
  <c r="Q475" i="38" s="1"/>
  <c r="P465" i="38"/>
  <c r="P466" i="38" s="1"/>
  <c r="P467" i="38" s="1"/>
  <c r="P468" i="38" s="1"/>
  <c r="P469" i="38" s="1"/>
  <c r="P470" i="38" s="1"/>
  <c r="P471" i="38" s="1"/>
  <c r="P472" i="38" s="1"/>
  <c r="P473" i="38" s="1"/>
  <c r="P474" i="38" s="1"/>
  <c r="P475" i="38" s="1"/>
  <c r="O465" i="38"/>
  <c r="O466" i="38" s="1"/>
  <c r="O467" i="38" s="1"/>
  <c r="O468" i="38" s="1"/>
  <c r="O469" i="38" s="1"/>
  <c r="O470" i="38" s="1"/>
  <c r="O471" i="38" s="1"/>
  <c r="O472" i="38" s="1"/>
  <c r="O473" i="38" s="1"/>
  <c r="O474" i="38" s="1"/>
  <c r="O475" i="38" s="1"/>
  <c r="H465" i="38"/>
  <c r="C465" i="38"/>
  <c r="C466" i="38" s="1"/>
  <c r="C467" i="38" s="1"/>
  <c r="C468" i="38" s="1"/>
  <c r="C469" i="38" s="1"/>
  <c r="C470" i="38" s="1"/>
  <c r="C471" i="38" s="1"/>
  <c r="C472" i="38" s="1"/>
  <c r="C473" i="38" s="1"/>
  <c r="C474" i="38" s="1"/>
  <c r="C475" i="38" s="1"/>
  <c r="B465" i="38"/>
  <c r="B466" i="38" s="1"/>
  <c r="B467" i="38" s="1"/>
  <c r="B468" i="38" s="1"/>
  <c r="B469" i="38" s="1"/>
  <c r="B470" i="38" s="1"/>
  <c r="B471" i="38" s="1"/>
  <c r="B472" i="38" s="1"/>
  <c r="B473" i="38" s="1"/>
  <c r="B474" i="38" s="1"/>
  <c r="B475" i="38" s="1"/>
  <c r="T464" i="38"/>
  <c r="AG464" i="38" s="1"/>
  <c r="AK463" i="38"/>
  <c r="AJ463" i="38"/>
  <c r="AG463" i="38"/>
  <c r="AK462" i="38"/>
  <c r="AJ462" i="38"/>
  <c r="AG462" i="38"/>
  <c r="AK461" i="38"/>
  <c r="AJ461" i="38"/>
  <c r="AG461" i="38"/>
  <c r="AK460" i="38"/>
  <c r="AJ460" i="38"/>
  <c r="AG460" i="38"/>
  <c r="AK459" i="38"/>
  <c r="AJ459" i="38"/>
  <c r="AG459" i="38"/>
  <c r="AK458" i="38"/>
  <c r="AJ458" i="38"/>
  <c r="AG458" i="38"/>
  <c r="AK457" i="38"/>
  <c r="AJ457" i="38"/>
  <c r="AG457" i="38"/>
  <c r="AK456" i="38"/>
  <c r="AJ456" i="38"/>
  <c r="AG456" i="38"/>
  <c r="AK455" i="38"/>
  <c r="AJ455" i="38"/>
  <c r="AG455" i="38"/>
  <c r="AK454" i="38"/>
  <c r="AJ454" i="38"/>
  <c r="AG454" i="38"/>
  <c r="AK453" i="38"/>
  <c r="AJ453" i="38"/>
  <c r="AG453" i="38"/>
  <c r="Q453" i="38"/>
  <c r="Q454" i="38" s="1"/>
  <c r="Q455" i="38" s="1"/>
  <c r="Q456" i="38" s="1"/>
  <c r="Q457" i="38" s="1"/>
  <c r="Q458" i="38" s="1"/>
  <c r="Q459" i="38" s="1"/>
  <c r="Q460" i="38" s="1"/>
  <c r="Q461" i="38" s="1"/>
  <c r="Q462" i="38" s="1"/>
  <c r="Q463" i="38" s="1"/>
  <c r="P453" i="38"/>
  <c r="P454" i="38" s="1"/>
  <c r="P455" i="38" s="1"/>
  <c r="P456" i="38" s="1"/>
  <c r="P457" i="38" s="1"/>
  <c r="P458" i="38" s="1"/>
  <c r="P459" i="38" s="1"/>
  <c r="P460" i="38" s="1"/>
  <c r="P461" i="38" s="1"/>
  <c r="P462" i="38" s="1"/>
  <c r="P463" i="38" s="1"/>
  <c r="O453" i="38"/>
  <c r="O454" i="38" s="1"/>
  <c r="O455" i="38" s="1"/>
  <c r="O456" i="38" s="1"/>
  <c r="O457" i="38" s="1"/>
  <c r="O458" i="38" s="1"/>
  <c r="O459" i="38" s="1"/>
  <c r="O460" i="38" s="1"/>
  <c r="O461" i="38" s="1"/>
  <c r="O462" i="38" s="1"/>
  <c r="O463" i="38" s="1"/>
  <c r="H453" i="38"/>
  <c r="C453" i="38"/>
  <c r="C454" i="38" s="1"/>
  <c r="C455" i="38" s="1"/>
  <c r="C456" i="38" s="1"/>
  <c r="C457" i="38" s="1"/>
  <c r="C458" i="38" s="1"/>
  <c r="C459" i="38" s="1"/>
  <c r="C460" i="38" s="1"/>
  <c r="C461" i="38" s="1"/>
  <c r="C462" i="38" s="1"/>
  <c r="C463" i="38" s="1"/>
  <c r="B453" i="38"/>
  <c r="B454" i="38" s="1"/>
  <c r="B455" i="38" s="1"/>
  <c r="B456" i="38" s="1"/>
  <c r="B457" i="38" s="1"/>
  <c r="B458" i="38" s="1"/>
  <c r="B459" i="38" s="1"/>
  <c r="B460" i="38" s="1"/>
  <c r="B461" i="38" s="1"/>
  <c r="B462" i="38" s="1"/>
  <c r="B463" i="38" s="1"/>
  <c r="T452" i="38"/>
  <c r="AG452" i="38" s="1"/>
  <c r="AK451" i="38"/>
  <c r="AJ451" i="38"/>
  <c r="AG451" i="38"/>
  <c r="AK450" i="38"/>
  <c r="AJ450" i="38"/>
  <c r="AG450" i="38"/>
  <c r="AK449" i="38"/>
  <c r="AJ449" i="38"/>
  <c r="AG449" i="38"/>
  <c r="AK448" i="38"/>
  <c r="AJ448" i="38"/>
  <c r="AG448" i="38"/>
  <c r="AK447" i="38"/>
  <c r="AJ447" i="38"/>
  <c r="AG447" i="38"/>
  <c r="Y447" i="38"/>
  <c r="Y448" i="38" s="1"/>
  <c r="Y449" i="38" s="1"/>
  <c r="Y450" i="38" s="1"/>
  <c r="Y451" i="38" s="1"/>
  <c r="Q447" i="38"/>
  <c r="Q448" i="38" s="1"/>
  <c r="Q449" i="38" s="1"/>
  <c r="Q450" i="38" s="1"/>
  <c r="Q451" i="38" s="1"/>
  <c r="P447" i="38"/>
  <c r="P448" i="38" s="1"/>
  <c r="P449" i="38" s="1"/>
  <c r="P450" i="38" s="1"/>
  <c r="P451" i="38" s="1"/>
  <c r="O447" i="38"/>
  <c r="O448" i="38" s="1"/>
  <c r="O449" i="38" s="1"/>
  <c r="O450" i="38" s="1"/>
  <c r="O451" i="38" s="1"/>
  <c r="H447" i="38"/>
  <c r="C447" i="38"/>
  <c r="C448" i="38" s="1"/>
  <c r="C449" i="38" s="1"/>
  <c r="C450" i="38" s="1"/>
  <c r="C451" i="38" s="1"/>
  <c r="B447" i="38"/>
  <c r="B448" i="38" s="1"/>
  <c r="B449" i="38" s="1"/>
  <c r="B450" i="38" s="1"/>
  <c r="B451" i="38" s="1"/>
  <c r="T446" i="38"/>
  <c r="AG446" i="38" s="1"/>
  <c r="AK445" i="38"/>
  <c r="AJ445" i="38"/>
  <c r="AG445" i="38"/>
  <c r="AK444" i="38"/>
  <c r="AJ444" i="38"/>
  <c r="AG444" i="38"/>
  <c r="AK443" i="38"/>
  <c r="AJ443" i="38"/>
  <c r="AG443" i="38"/>
  <c r="AK442" i="38"/>
  <c r="AJ442" i="38"/>
  <c r="AG442" i="38"/>
  <c r="AK441" i="38"/>
  <c r="AJ441" i="38"/>
  <c r="AG441" i="38"/>
  <c r="AK440" i="38"/>
  <c r="AJ440" i="38"/>
  <c r="AG440" i="38"/>
  <c r="AK439" i="38"/>
  <c r="AJ439" i="38"/>
  <c r="AG439" i="38"/>
  <c r="AK438" i="38"/>
  <c r="AJ438" i="38"/>
  <c r="AG438" i="38"/>
  <c r="AK437" i="38"/>
  <c r="AJ437" i="38"/>
  <c r="AG437" i="38"/>
  <c r="AK436" i="38"/>
  <c r="AJ436" i="38"/>
  <c r="AG436" i="38"/>
  <c r="AK435" i="38"/>
  <c r="AJ435" i="38"/>
  <c r="AG435" i="38"/>
  <c r="AK434" i="38"/>
  <c r="AJ434" i="38"/>
  <c r="AG434" i="38"/>
  <c r="Q434" i="38"/>
  <c r="Q435" i="38" s="1"/>
  <c r="Q436" i="38" s="1"/>
  <c r="Q437" i="38" s="1"/>
  <c r="Q438" i="38" s="1"/>
  <c r="Q439" i="38" s="1"/>
  <c r="Q440" i="38" s="1"/>
  <c r="Q441" i="38" s="1"/>
  <c r="Q442" i="38" s="1"/>
  <c r="Q443" i="38" s="1"/>
  <c r="Q444" i="38" s="1"/>
  <c r="Q445" i="38" s="1"/>
  <c r="P434" i="38"/>
  <c r="P435" i="38" s="1"/>
  <c r="P436" i="38" s="1"/>
  <c r="P437" i="38" s="1"/>
  <c r="P438" i="38" s="1"/>
  <c r="P439" i="38" s="1"/>
  <c r="P440" i="38" s="1"/>
  <c r="P441" i="38" s="1"/>
  <c r="P442" i="38" s="1"/>
  <c r="P443" i="38" s="1"/>
  <c r="P444" i="38" s="1"/>
  <c r="P445" i="38" s="1"/>
  <c r="O434" i="38"/>
  <c r="O435" i="38" s="1"/>
  <c r="O436" i="38" s="1"/>
  <c r="O437" i="38" s="1"/>
  <c r="O438" i="38" s="1"/>
  <c r="O439" i="38" s="1"/>
  <c r="O440" i="38" s="1"/>
  <c r="O441" i="38" s="1"/>
  <c r="O442" i="38" s="1"/>
  <c r="O443" i="38" s="1"/>
  <c r="O444" i="38" s="1"/>
  <c r="O445" i="38" s="1"/>
  <c r="H434" i="38"/>
  <c r="C434" i="38"/>
  <c r="C435" i="38" s="1"/>
  <c r="C436" i="38" s="1"/>
  <c r="C437" i="38" s="1"/>
  <c r="C438" i="38" s="1"/>
  <c r="C439" i="38" s="1"/>
  <c r="C440" i="38" s="1"/>
  <c r="C441" i="38" s="1"/>
  <c r="C442" i="38" s="1"/>
  <c r="C443" i="38" s="1"/>
  <c r="C444" i="38" s="1"/>
  <c r="C445" i="38" s="1"/>
  <c r="B434" i="38"/>
  <c r="B435" i="38" s="1"/>
  <c r="B436" i="38" s="1"/>
  <c r="B437" i="38" s="1"/>
  <c r="B438" i="38" s="1"/>
  <c r="B439" i="38" s="1"/>
  <c r="B440" i="38" s="1"/>
  <c r="B441" i="38" s="1"/>
  <c r="B442" i="38" s="1"/>
  <c r="B443" i="38" s="1"/>
  <c r="B444" i="38" s="1"/>
  <c r="B445" i="38" s="1"/>
  <c r="T433" i="38"/>
  <c r="AG433" i="38" s="1"/>
  <c r="AK432" i="38"/>
  <c r="AJ432" i="38"/>
  <c r="AG432" i="38"/>
  <c r="AK431" i="38"/>
  <c r="AJ431" i="38"/>
  <c r="AG431" i="38"/>
  <c r="AK430" i="38"/>
  <c r="AJ430" i="38"/>
  <c r="AG430" i="38"/>
  <c r="AK429" i="38"/>
  <c r="AJ429" i="38"/>
  <c r="AG429" i="38"/>
  <c r="AK428" i="38"/>
  <c r="AJ428" i="38"/>
  <c r="AG428" i="38"/>
  <c r="AK427" i="38"/>
  <c r="AJ427" i="38"/>
  <c r="AG427" i="38"/>
  <c r="AK426" i="38"/>
  <c r="AJ426" i="38"/>
  <c r="AG426" i="38"/>
  <c r="AK425" i="38"/>
  <c r="AJ425" i="38"/>
  <c r="AG425" i="38"/>
  <c r="AK424" i="38"/>
  <c r="AJ424" i="38"/>
  <c r="AG424" i="38"/>
  <c r="AK423" i="38"/>
  <c r="AJ423" i="38"/>
  <c r="AG423" i="38"/>
  <c r="AK422" i="38"/>
  <c r="AJ422" i="38"/>
  <c r="AG422" i="38"/>
  <c r="Y422" i="38"/>
  <c r="Y423" i="38" s="1"/>
  <c r="Y424" i="38" s="1"/>
  <c r="Y425" i="38" s="1"/>
  <c r="Y426" i="38" s="1"/>
  <c r="Y427" i="38" s="1"/>
  <c r="Y428" i="38" s="1"/>
  <c r="Y429" i="38" s="1"/>
  <c r="Y430" i="38" s="1"/>
  <c r="Y431" i="38" s="1"/>
  <c r="Y432" i="38" s="1"/>
  <c r="Q422" i="38"/>
  <c r="Q423" i="38" s="1"/>
  <c r="Q424" i="38" s="1"/>
  <c r="Q425" i="38" s="1"/>
  <c r="Q426" i="38" s="1"/>
  <c r="Q427" i="38" s="1"/>
  <c r="Q428" i="38" s="1"/>
  <c r="Q429" i="38" s="1"/>
  <c r="Q430" i="38" s="1"/>
  <c r="Q431" i="38" s="1"/>
  <c r="Q432" i="38" s="1"/>
  <c r="O422" i="38"/>
  <c r="O423" i="38" s="1"/>
  <c r="O424" i="38" s="1"/>
  <c r="O425" i="38" s="1"/>
  <c r="O426" i="38" s="1"/>
  <c r="O427" i="38" s="1"/>
  <c r="O428" i="38" s="1"/>
  <c r="O429" i="38" s="1"/>
  <c r="O430" i="38" s="1"/>
  <c r="O431" i="38" s="1"/>
  <c r="O432" i="38" s="1"/>
  <c r="H422" i="38"/>
  <c r="G422" i="38"/>
  <c r="G423" i="38" s="1"/>
  <c r="G424" i="38" s="1"/>
  <c r="G425" i="38" s="1"/>
  <c r="G426" i="38" s="1"/>
  <c r="G427" i="38" s="1"/>
  <c r="G428" i="38" s="1"/>
  <c r="G429" i="38" s="1"/>
  <c r="G430" i="38" s="1"/>
  <c r="G431" i="38" s="1"/>
  <c r="G432" i="38" s="1"/>
  <c r="F422" i="38"/>
  <c r="F423" i="38" s="1"/>
  <c r="F424" i="38" s="1"/>
  <c r="F425" i="38" s="1"/>
  <c r="F426" i="38" s="1"/>
  <c r="F427" i="38" s="1"/>
  <c r="F428" i="38" s="1"/>
  <c r="F429" i="38" s="1"/>
  <c r="F430" i="38" s="1"/>
  <c r="F431" i="38" s="1"/>
  <c r="F432" i="38" s="1"/>
  <c r="D422" i="38"/>
  <c r="D423" i="38" s="1"/>
  <c r="D424" i="38" s="1"/>
  <c r="D425" i="38" s="1"/>
  <c r="D426" i="38" s="1"/>
  <c r="D427" i="38" s="1"/>
  <c r="D428" i="38" s="1"/>
  <c r="D429" i="38" s="1"/>
  <c r="D430" i="38" s="1"/>
  <c r="D431" i="38" s="1"/>
  <c r="D432" i="38" s="1"/>
  <c r="C422" i="38"/>
  <c r="C423" i="38" s="1"/>
  <c r="C424" i="38" s="1"/>
  <c r="C425" i="38" s="1"/>
  <c r="C426" i="38" s="1"/>
  <c r="C427" i="38" s="1"/>
  <c r="C428" i="38" s="1"/>
  <c r="C429" i="38" s="1"/>
  <c r="C430" i="38" s="1"/>
  <c r="C431" i="38" s="1"/>
  <c r="C432" i="38" s="1"/>
  <c r="B422" i="38"/>
  <c r="B423" i="38" s="1"/>
  <c r="B424" i="38" s="1"/>
  <c r="B425" i="38" s="1"/>
  <c r="B426" i="38" s="1"/>
  <c r="B427" i="38" s="1"/>
  <c r="B428" i="38" s="1"/>
  <c r="B429" i="38" s="1"/>
  <c r="B430" i="38" s="1"/>
  <c r="B431" i="38" s="1"/>
  <c r="B432" i="38" s="1"/>
  <c r="T421" i="38"/>
  <c r="AG421" i="38" s="1"/>
  <c r="P421" i="38"/>
  <c r="P422" i="38" s="1"/>
  <c r="P423" i="38" s="1"/>
  <c r="P424" i="38" s="1"/>
  <c r="P425" i="38" s="1"/>
  <c r="P426" i="38" s="1"/>
  <c r="P427" i="38" s="1"/>
  <c r="P428" i="38" s="1"/>
  <c r="P429" i="38" s="1"/>
  <c r="P430" i="38" s="1"/>
  <c r="P431" i="38" s="1"/>
  <c r="P432" i="38" s="1"/>
  <c r="AK420" i="38"/>
  <c r="AJ420" i="38"/>
  <c r="AG420" i="38"/>
  <c r="AK419" i="38"/>
  <c r="AJ419" i="38"/>
  <c r="AG419" i="38"/>
  <c r="AK418" i="38"/>
  <c r="AJ418" i="38"/>
  <c r="AG418" i="38"/>
  <c r="AK417" i="38"/>
  <c r="AJ417" i="38"/>
  <c r="AG417" i="38"/>
  <c r="AK416" i="38"/>
  <c r="AJ416" i="38"/>
  <c r="AG416" i="38"/>
  <c r="AK415" i="38"/>
  <c r="AJ415" i="38"/>
  <c r="AG415" i="38"/>
  <c r="AK414" i="38"/>
  <c r="AJ414" i="38"/>
  <c r="AG414" i="38"/>
  <c r="AK413" i="38"/>
  <c r="AJ413" i="38"/>
  <c r="AG413" i="38"/>
  <c r="AK412" i="38"/>
  <c r="AJ412" i="38"/>
  <c r="AG412" i="38"/>
  <c r="AK411" i="38"/>
  <c r="AJ411" i="38"/>
  <c r="AG411" i="38"/>
  <c r="Y411" i="38"/>
  <c r="Y412" i="38" s="1"/>
  <c r="Y413" i="38" s="1"/>
  <c r="Y414" i="38" s="1"/>
  <c r="Y415" i="38" s="1"/>
  <c r="Y416" i="38" s="1"/>
  <c r="Y417" i="38" s="1"/>
  <c r="Y418" i="38" s="1"/>
  <c r="Y419" i="38" s="1"/>
  <c r="Y420" i="38" s="1"/>
  <c r="Q411" i="38"/>
  <c r="Q412" i="38" s="1"/>
  <c r="Q413" i="38" s="1"/>
  <c r="Q414" i="38" s="1"/>
  <c r="Q415" i="38" s="1"/>
  <c r="Q416" i="38" s="1"/>
  <c r="Q417" i="38" s="1"/>
  <c r="Q418" i="38" s="1"/>
  <c r="Q419" i="38" s="1"/>
  <c r="Q420" i="38" s="1"/>
  <c r="O411" i="38"/>
  <c r="O412" i="38" s="1"/>
  <c r="O413" i="38" s="1"/>
  <c r="O414" i="38" s="1"/>
  <c r="O415" i="38" s="1"/>
  <c r="O416" i="38" s="1"/>
  <c r="O417" i="38" s="1"/>
  <c r="O418" i="38" s="1"/>
  <c r="O419" i="38" s="1"/>
  <c r="O420" i="38" s="1"/>
  <c r="H411" i="38"/>
  <c r="G411" i="38"/>
  <c r="G412" i="38" s="1"/>
  <c r="G413" i="38" s="1"/>
  <c r="G414" i="38" s="1"/>
  <c r="G415" i="38" s="1"/>
  <c r="G416" i="38" s="1"/>
  <c r="G417" i="38" s="1"/>
  <c r="G418" i="38" s="1"/>
  <c r="G419" i="38" s="1"/>
  <c r="G420" i="38" s="1"/>
  <c r="F411" i="38"/>
  <c r="F412" i="38" s="1"/>
  <c r="F413" i="38" s="1"/>
  <c r="F414" i="38" s="1"/>
  <c r="F415" i="38" s="1"/>
  <c r="F416" i="38" s="1"/>
  <c r="F417" i="38" s="1"/>
  <c r="F418" i="38" s="1"/>
  <c r="F419" i="38" s="1"/>
  <c r="F420" i="38" s="1"/>
  <c r="D411" i="38"/>
  <c r="D412" i="38" s="1"/>
  <c r="D413" i="38" s="1"/>
  <c r="D414" i="38" s="1"/>
  <c r="D415" i="38" s="1"/>
  <c r="D416" i="38" s="1"/>
  <c r="D417" i="38" s="1"/>
  <c r="D418" i="38" s="1"/>
  <c r="D419" i="38" s="1"/>
  <c r="D420" i="38" s="1"/>
  <c r="C411" i="38"/>
  <c r="C412" i="38" s="1"/>
  <c r="C413" i="38" s="1"/>
  <c r="C414" i="38" s="1"/>
  <c r="C415" i="38" s="1"/>
  <c r="C416" i="38" s="1"/>
  <c r="C417" i="38" s="1"/>
  <c r="C418" i="38" s="1"/>
  <c r="C419" i="38" s="1"/>
  <c r="C420" i="38" s="1"/>
  <c r="B411" i="38"/>
  <c r="B412" i="38" s="1"/>
  <c r="B413" i="38" s="1"/>
  <c r="B414" i="38" s="1"/>
  <c r="B415" i="38" s="1"/>
  <c r="B416" i="38" s="1"/>
  <c r="B417" i="38" s="1"/>
  <c r="B418" i="38" s="1"/>
  <c r="B419" i="38" s="1"/>
  <c r="B420" i="38" s="1"/>
  <c r="T410" i="38"/>
  <c r="AG410" i="38" s="1"/>
  <c r="P410" i="38"/>
  <c r="P411" i="38" s="1"/>
  <c r="P412" i="38" s="1"/>
  <c r="P413" i="38" s="1"/>
  <c r="P414" i="38" s="1"/>
  <c r="P415" i="38" s="1"/>
  <c r="P416" i="38" s="1"/>
  <c r="P417" i="38" s="1"/>
  <c r="P418" i="38" s="1"/>
  <c r="P419" i="38" s="1"/>
  <c r="P420" i="38" s="1"/>
  <c r="AK409" i="38"/>
  <c r="AJ409" i="38"/>
  <c r="AG409" i="38"/>
  <c r="AK408" i="38"/>
  <c r="AJ408" i="38"/>
  <c r="AG408" i="38"/>
  <c r="AK407" i="38"/>
  <c r="AJ407" i="38"/>
  <c r="AG407" i="38"/>
  <c r="AK406" i="38"/>
  <c r="AJ406" i="38"/>
  <c r="AG406" i="38"/>
  <c r="AK405" i="38"/>
  <c r="AJ405" i="38"/>
  <c r="AG405" i="38"/>
  <c r="AK404" i="38"/>
  <c r="AJ404" i="38"/>
  <c r="AG404" i="38"/>
  <c r="AK403" i="38"/>
  <c r="AJ403" i="38"/>
  <c r="AG403" i="38"/>
  <c r="AK402" i="38"/>
  <c r="AJ402" i="38"/>
  <c r="AG402" i="38"/>
  <c r="AK401" i="38"/>
  <c r="AJ401" i="38"/>
  <c r="AG401" i="38"/>
  <c r="AK400" i="38"/>
  <c r="AJ400" i="38"/>
  <c r="AG400" i="38"/>
  <c r="AK399" i="38"/>
  <c r="AJ399" i="38"/>
  <c r="AG399" i="38"/>
  <c r="AK398" i="38"/>
  <c r="AJ398" i="38"/>
  <c r="AG398" i="38"/>
  <c r="Y398" i="38"/>
  <c r="Y399" i="38" s="1"/>
  <c r="Y400" i="38" s="1"/>
  <c r="Y401" i="38" s="1"/>
  <c r="Y402" i="38" s="1"/>
  <c r="Y403" i="38" s="1"/>
  <c r="Y404" i="38" s="1"/>
  <c r="Y405" i="38" s="1"/>
  <c r="Y406" i="38" s="1"/>
  <c r="Y407" i="38" s="1"/>
  <c r="Y408" i="38" s="1"/>
  <c r="Y409" i="38" s="1"/>
  <c r="Q398" i="38"/>
  <c r="Q399" i="38" s="1"/>
  <c r="Q400" i="38" s="1"/>
  <c r="Q401" i="38" s="1"/>
  <c r="Q402" i="38" s="1"/>
  <c r="Q403" i="38" s="1"/>
  <c r="Q404" i="38" s="1"/>
  <c r="Q405" i="38" s="1"/>
  <c r="Q406" i="38" s="1"/>
  <c r="Q407" i="38" s="1"/>
  <c r="Q408" i="38" s="1"/>
  <c r="Q409" i="38" s="1"/>
  <c r="P398" i="38"/>
  <c r="P399" i="38" s="1"/>
  <c r="P400" i="38" s="1"/>
  <c r="P401" i="38" s="1"/>
  <c r="P402" i="38" s="1"/>
  <c r="P403" i="38" s="1"/>
  <c r="P404" i="38" s="1"/>
  <c r="P405" i="38" s="1"/>
  <c r="P406" i="38" s="1"/>
  <c r="P407" i="38" s="1"/>
  <c r="P408" i="38" s="1"/>
  <c r="P409" i="38" s="1"/>
  <c r="O398" i="38"/>
  <c r="O399" i="38" s="1"/>
  <c r="O400" i="38" s="1"/>
  <c r="O401" i="38" s="1"/>
  <c r="O402" i="38" s="1"/>
  <c r="O403" i="38" s="1"/>
  <c r="O404" i="38" s="1"/>
  <c r="O405" i="38" s="1"/>
  <c r="O406" i="38" s="1"/>
  <c r="O407" i="38" s="1"/>
  <c r="O408" i="38" s="1"/>
  <c r="O409" i="38" s="1"/>
  <c r="H398" i="38"/>
  <c r="G398" i="38"/>
  <c r="G399" i="38" s="1"/>
  <c r="G400" i="38" s="1"/>
  <c r="G401" i="38" s="1"/>
  <c r="G402" i="38" s="1"/>
  <c r="G403" i="38" s="1"/>
  <c r="G404" i="38" s="1"/>
  <c r="G405" i="38" s="1"/>
  <c r="G406" i="38" s="1"/>
  <c r="G407" i="38" s="1"/>
  <c r="G408" i="38" s="1"/>
  <c r="G409" i="38" s="1"/>
  <c r="F398" i="38"/>
  <c r="F399" i="38" s="1"/>
  <c r="F400" i="38" s="1"/>
  <c r="F401" i="38" s="1"/>
  <c r="F402" i="38" s="1"/>
  <c r="F403" i="38" s="1"/>
  <c r="F404" i="38" s="1"/>
  <c r="F405" i="38" s="1"/>
  <c r="F406" i="38" s="1"/>
  <c r="F407" i="38" s="1"/>
  <c r="F408" i="38" s="1"/>
  <c r="F409" i="38" s="1"/>
  <c r="D398" i="38"/>
  <c r="D399" i="38" s="1"/>
  <c r="D400" i="38" s="1"/>
  <c r="D401" i="38" s="1"/>
  <c r="D402" i="38" s="1"/>
  <c r="D403" i="38" s="1"/>
  <c r="D404" i="38" s="1"/>
  <c r="D405" i="38" s="1"/>
  <c r="D406" i="38" s="1"/>
  <c r="D407" i="38" s="1"/>
  <c r="D408" i="38" s="1"/>
  <c r="D409" i="38" s="1"/>
  <c r="C398" i="38"/>
  <c r="C399" i="38" s="1"/>
  <c r="C400" i="38" s="1"/>
  <c r="C401" i="38" s="1"/>
  <c r="C402" i="38" s="1"/>
  <c r="C403" i="38" s="1"/>
  <c r="C404" i="38" s="1"/>
  <c r="C405" i="38" s="1"/>
  <c r="C406" i="38" s="1"/>
  <c r="C407" i="38" s="1"/>
  <c r="C408" i="38" s="1"/>
  <c r="C409" i="38" s="1"/>
  <c r="B398" i="38"/>
  <c r="B399" i="38" s="1"/>
  <c r="B400" i="38" s="1"/>
  <c r="B401" i="38" s="1"/>
  <c r="B402" i="38" s="1"/>
  <c r="B403" i="38" s="1"/>
  <c r="B404" i="38" s="1"/>
  <c r="B405" i="38" s="1"/>
  <c r="B406" i="38" s="1"/>
  <c r="B407" i="38" s="1"/>
  <c r="B408" i="38" s="1"/>
  <c r="B409" i="38" s="1"/>
  <c r="T397" i="38"/>
  <c r="AG397" i="38" s="1"/>
  <c r="AK396" i="38"/>
  <c r="AJ396" i="38"/>
  <c r="AG396" i="38"/>
  <c r="AK395" i="38"/>
  <c r="AJ395" i="38"/>
  <c r="AG395" i="38"/>
  <c r="AK394" i="38"/>
  <c r="AJ394" i="38"/>
  <c r="AG394" i="38"/>
  <c r="AK393" i="38"/>
  <c r="AJ393" i="38"/>
  <c r="AG393" i="38"/>
  <c r="AK392" i="38"/>
  <c r="AJ392" i="38"/>
  <c r="AG392" i="38"/>
  <c r="AK391" i="38"/>
  <c r="AJ391" i="38"/>
  <c r="AG391" i="38"/>
  <c r="Q391" i="38"/>
  <c r="Q392" i="38" s="1"/>
  <c r="Q393" i="38" s="1"/>
  <c r="Q394" i="38" s="1"/>
  <c r="Q395" i="38" s="1"/>
  <c r="Q396" i="38" s="1"/>
  <c r="P391" i="38"/>
  <c r="P392" i="38" s="1"/>
  <c r="P393" i="38" s="1"/>
  <c r="P394" i="38" s="1"/>
  <c r="P395" i="38" s="1"/>
  <c r="P396" i="38" s="1"/>
  <c r="O391" i="38"/>
  <c r="O392" i="38" s="1"/>
  <c r="O393" i="38" s="1"/>
  <c r="O394" i="38" s="1"/>
  <c r="O395" i="38" s="1"/>
  <c r="O396" i="38" s="1"/>
  <c r="H391" i="38"/>
  <c r="C391" i="38"/>
  <c r="C392" i="38" s="1"/>
  <c r="C393" i="38" s="1"/>
  <c r="C394" i="38" s="1"/>
  <c r="C395" i="38" s="1"/>
  <c r="C396" i="38" s="1"/>
  <c r="B391" i="38"/>
  <c r="B392" i="38" s="1"/>
  <c r="B393" i="38" s="1"/>
  <c r="B394" i="38" s="1"/>
  <c r="B395" i="38" s="1"/>
  <c r="B396" i="38" s="1"/>
  <c r="T390" i="38"/>
  <c r="AG390" i="38" s="1"/>
  <c r="AK389" i="38"/>
  <c r="AJ389" i="38"/>
  <c r="AG389" i="38"/>
  <c r="AK388" i="38"/>
  <c r="AJ388" i="38"/>
  <c r="AG388" i="38"/>
  <c r="AK387" i="38"/>
  <c r="AJ387" i="38"/>
  <c r="AG387" i="38"/>
  <c r="AK386" i="38"/>
  <c r="AJ386" i="38"/>
  <c r="AG386" i="38"/>
  <c r="AK385" i="38"/>
  <c r="AJ385" i="38"/>
  <c r="AG385" i="38"/>
  <c r="AK384" i="38"/>
  <c r="AJ384" i="38"/>
  <c r="AG384" i="38"/>
  <c r="Q384" i="38"/>
  <c r="Q385" i="38" s="1"/>
  <c r="Q386" i="38" s="1"/>
  <c r="Q387" i="38" s="1"/>
  <c r="Q388" i="38" s="1"/>
  <c r="Q389" i="38" s="1"/>
  <c r="P384" i="38"/>
  <c r="P385" i="38" s="1"/>
  <c r="P386" i="38" s="1"/>
  <c r="P387" i="38" s="1"/>
  <c r="P388" i="38" s="1"/>
  <c r="P389" i="38" s="1"/>
  <c r="O384" i="38"/>
  <c r="O385" i="38" s="1"/>
  <c r="O386" i="38" s="1"/>
  <c r="O387" i="38" s="1"/>
  <c r="O388" i="38" s="1"/>
  <c r="O389" i="38" s="1"/>
  <c r="H384" i="38"/>
  <c r="C384" i="38"/>
  <c r="C385" i="38" s="1"/>
  <c r="C386" i="38" s="1"/>
  <c r="C387" i="38" s="1"/>
  <c r="C388" i="38" s="1"/>
  <c r="C389" i="38" s="1"/>
  <c r="B384" i="38"/>
  <c r="B385" i="38" s="1"/>
  <c r="B386" i="38" s="1"/>
  <c r="B387" i="38" s="1"/>
  <c r="B388" i="38" s="1"/>
  <c r="B389" i="38" s="1"/>
  <c r="T383" i="38"/>
  <c r="AG383" i="38" s="1"/>
  <c r="AK382" i="38"/>
  <c r="AJ382" i="38"/>
  <c r="AG382" i="38"/>
  <c r="AK381" i="38"/>
  <c r="AJ381" i="38"/>
  <c r="AG381" i="38"/>
  <c r="AK380" i="38"/>
  <c r="AJ380" i="38"/>
  <c r="AG380" i="38"/>
  <c r="AK379" i="38"/>
  <c r="AJ379" i="38"/>
  <c r="AG379" i="38"/>
  <c r="AK378" i="38"/>
  <c r="AJ378" i="38"/>
  <c r="AG378" i="38"/>
  <c r="AK377" i="38"/>
  <c r="AJ377" i="38"/>
  <c r="AG377" i="38"/>
  <c r="AC377" i="38"/>
  <c r="AC378" i="38" s="1"/>
  <c r="AC379" i="38" s="1"/>
  <c r="AC380" i="38" s="1"/>
  <c r="AC381" i="38" s="1"/>
  <c r="AC382" i="38" s="1"/>
  <c r="Y377" i="38"/>
  <c r="Y378" i="38" s="1"/>
  <c r="Y379" i="38" s="1"/>
  <c r="Y380" i="38" s="1"/>
  <c r="Y381" i="38" s="1"/>
  <c r="Y382" i="38" s="1"/>
  <c r="Q377" i="38"/>
  <c r="Q378" i="38" s="1"/>
  <c r="Q379" i="38" s="1"/>
  <c r="Q380" i="38" s="1"/>
  <c r="Q381" i="38" s="1"/>
  <c r="Q382" i="38" s="1"/>
  <c r="P377" i="38"/>
  <c r="P378" i="38" s="1"/>
  <c r="P379" i="38" s="1"/>
  <c r="P380" i="38" s="1"/>
  <c r="P381" i="38" s="1"/>
  <c r="P382" i="38" s="1"/>
  <c r="O377" i="38"/>
  <c r="O378" i="38" s="1"/>
  <c r="O379" i="38" s="1"/>
  <c r="O380" i="38" s="1"/>
  <c r="O381" i="38" s="1"/>
  <c r="O382" i="38" s="1"/>
  <c r="H377" i="38"/>
  <c r="G377" i="38"/>
  <c r="G378" i="38" s="1"/>
  <c r="G379" i="38" s="1"/>
  <c r="G380" i="38" s="1"/>
  <c r="G381" i="38" s="1"/>
  <c r="G382" i="38" s="1"/>
  <c r="F377" i="38"/>
  <c r="F378" i="38" s="1"/>
  <c r="F379" i="38" s="1"/>
  <c r="F380" i="38" s="1"/>
  <c r="F381" i="38" s="1"/>
  <c r="F382" i="38" s="1"/>
  <c r="E377" i="38"/>
  <c r="E378" i="38" s="1"/>
  <c r="E379" i="38" s="1"/>
  <c r="E380" i="38" s="1"/>
  <c r="E381" i="38" s="1"/>
  <c r="E382" i="38" s="1"/>
  <c r="D377" i="38"/>
  <c r="D378" i="38" s="1"/>
  <c r="D379" i="38" s="1"/>
  <c r="D380" i="38" s="1"/>
  <c r="D381" i="38" s="1"/>
  <c r="D382" i="38" s="1"/>
  <c r="C377" i="38"/>
  <c r="C378" i="38" s="1"/>
  <c r="C379" i="38" s="1"/>
  <c r="C380" i="38" s="1"/>
  <c r="C381" i="38" s="1"/>
  <c r="C382" i="38" s="1"/>
  <c r="B377" i="38"/>
  <c r="B378" i="38" s="1"/>
  <c r="B379" i="38" s="1"/>
  <c r="B380" i="38" s="1"/>
  <c r="B381" i="38" s="1"/>
  <c r="B382" i="38" s="1"/>
  <c r="T376" i="38"/>
  <c r="AG376" i="38" s="1"/>
  <c r="AK375" i="38"/>
  <c r="AJ375" i="38"/>
  <c r="AG375" i="38"/>
  <c r="AK374" i="38"/>
  <c r="AJ374" i="38"/>
  <c r="AG374" i="38"/>
  <c r="Q374" i="38"/>
  <c r="Q375" i="38" s="1"/>
  <c r="P374" i="38"/>
  <c r="P375" i="38" s="1"/>
  <c r="O374" i="38"/>
  <c r="O375" i="38" s="1"/>
  <c r="H374" i="38"/>
  <c r="E374" i="38"/>
  <c r="E375" i="38" s="1"/>
  <c r="C374" i="38"/>
  <c r="C375" i="38" s="1"/>
  <c r="B374" i="38"/>
  <c r="B375" i="38" s="1"/>
  <c r="T373" i="38"/>
  <c r="AG373" i="38" s="1"/>
  <c r="AK372" i="38"/>
  <c r="AJ372" i="38"/>
  <c r="AG372" i="38"/>
  <c r="AK371" i="38"/>
  <c r="AJ371" i="38"/>
  <c r="AG371" i="38"/>
  <c r="AK370" i="38"/>
  <c r="AJ370" i="38"/>
  <c r="AG370" i="38"/>
  <c r="AK369" i="38"/>
  <c r="AJ369" i="38"/>
  <c r="AG369" i="38"/>
  <c r="AK368" i="38"/>
  <c r="AJ368" i="38"/>
  <c r="AG368" i="38"/>
  <c r="AK367" i="38"/>
  <c r="AJ367" i="38"/>
  <c r="AG367" i="38"/>
  <c r="AK366" i="38"/>
  <c r="AJ366" i="38"/>
  <c r="AG366" i="38"/>
  <c r="AK365" i="38"/>
  <c r="AJ365" i="38"/>
  <c r="AG365" i="38"/>
  <c r="AK364" i="38"/>
  <c r="AJ364" i="38"/>
  <c r="AG364" i="38"/>
  <c r="AK363" i="38"/>
  <c r="AJ363" i="38"/>
  <c r="AG363" i="38"/>
  <c r="AK362" i="38"/>
  <c r="AJ362" i="38"/>
  <c r="AG362" i="38"/>
  <c r="AK361" i="38"/>
  <c r="AJ361" i="38"/>
  <c r="AG361" i="38"/>
  <c r="Q361" i="38"/>
  <c r="Q362" i="38" s="1"/>
  <c r="Q363" i="38" s="1"/>
  <c r="Q364" i="38" s="1"/>
  <c r="Q365" i="38" s="1"/>
  <c r="Q366" i="38" s="1"/>
  <c r="Q367" i="38" s="1"/>
  <c r="Q368" i="38" s="1"/>
  <c r="Q369" i="38" s="1"/>
  <c r="Q370" i="38" s="1"/>
  <c r="Q371" i="38" s="1"/>
  <c r="Q372" i="38" s="1"/>
  <c r="P361" i="38"/>
  <c r="P362" i="38" s="1"/>
  <c r="P363" i="38" s="1"/>
  <c r="P364" i="38" s="1"/>
  <c r="P365" i="38" s="1"/>
  <c r="P366" i="38" s="1"/>
  <c r="P367" i="38" s="1"/>
  <c r="P368" i="38" s="1"/>
  <c r="P369" i="38" s="1"/>
  <c r="P370" i="38" s="1"/>
  <c r="P371" i="38" s="1"/>
  <c r="P372" i="38" s="1"/>
  <c r="O361" i="38"/>
  <c r="O362" i="38" s="1"/>
  <c r="O363" i="38" s="1"/>
  <c r="O364" i="38" s="1"/>
  <c r="O365" i="38" s="1"/>
  <c r="O366" i="38" s="1"/>
  <c r="O367" i="38" s="1"/>
  <c r="O368" i="38" s="1"/>
  <c r="O369" i="38" s="1"/>
  <c r="O370" i="38" s="1"/>
  <c r="O371" i="38" s="1"/>
  <c r="O372" i="38" s="1"/>
  <c r="H361" i="38"/>
  <c r="E361" i="38"/>
  <c r="E362" i="38" s="1"/>
  <c r="E363" i="38" s="1"/>
  <c r="E364" i="38" s="1"/>
  <c r="E365" i="38" s="1"/>
  <c r="E366" i="38" s="1"/>
  <c r="E367" i="38" s="1"/>
  <c r="E368" i="38" s="1"/>
  <c r="E369" i="38" s="1"/>
  <c r="E370" i="38" s="1"/>
  <c r="E371" i="38" s="1"/>
  <c r="E372" i="38" s="1"/>
  <c r="C361" i="38"/>
  <c r="C362" i="38" s="1"/>
  <c r="C363" i="38" s="1"/>
  <c r="C364" i="38" s="1"/>
  <c r="C365" i="38" s="1"/>
  <c r="C366" i="38" s="1"/>
  <c r="C367" i="38" s="1"/>
  <c r="C368" i="38" s="1"/>
  <c r="C369" i="38" s="1"/>
  <c r="C370" i="38" s="1"/>
  <c r="C371" i="38" s="1"/>
  <c r="C372" i="38" s="1"/>
  <c r="B361" i="38"/>
  <c r="B362" i="38" s="1"/>
  <c r="B363" i="38" s="1"/>
  <c r="B364" i="38" s="1"/>
  <c r="B365" i="38" s="1"/>
  <c r="B366" i="38" s="1"/>
  <c r="B367" i="38" s="1"/>
  <c r="B368" i="38" s="1"/>
  <c r="B369" i="38" s="1"/>
  <c r="B370" i="38" s="1"/>
  <c r="B371" i="38" s="1"/>
  <c r="B372" i="38" s="1"/>
  <c r="T360" i="38"/>
  <c r="AG360" i="38" s="1"/>
  <c r="AK359" i="38"/>
  <c r="AJ359" i="38"/>
  <c r="AG359" i="38"/>
  <c r="AK358" i="38"/>
  <c r="AJ358" i="38"/>
  <c r="AG358" i="38"/>
  <c r="AK357" i="38"/>
  <c r="AJ357" i="38"/>
  <c r="AG357" i="38"/>
  <c r="AK356" i="38"/>
  <c r="AJ356" i="38"/>
  <c r="AG356" i="38"/>
  <c r="AK355" i="38"/>
  <c r="AJ355" i="38"/>
  <c r="AG355" i="38"/>
  <c r="AK354" i="38"/>
  <c r="AJ354" i="38"/>
  <c r="AG354" i="38"/>
  <c r="AK353" i="38"/>
  <c r="AJ353" i="38"/>
  <c r="AG353" i="38"/>
  <c r="AK352" i="38"/>
  <c r="AJ352" i="38"/>
  <c r="AG352" i="38"/>
  <c r="AK351" i="38"/>
  <c r="AJ351" i="38"/>
  <c r="AG351" i="38"/>
  <c r="AK350" i="38"/>
  <c r="AJ350" i="38"/>
  <c r="AG350" i="38"/>
  <c r="AK349" i="38"/>
  <c r="AJ349" i="38"/>
  <c r="AG349" i="38"/>
  <c r="AK348" i="38"/>
  <c r="AJ348" i="38"/>
  <c r="AG348" i="38"/>
  <c r="Q348" i="38"/>
  <c r="Q349" i="38" s="1"/>
  <c r="Q350" i="38" s="1"/>
  <c r="Q351" i="38" s="1"/>
  <c r="Q352" i="38" s="1"/>
  <c r="Q353" i="38" s="1"/>
  <c r="Q354" i="38" s="1"/>
  <c r="Q355" i="38" s="1"/>
  <c r="Q356" i="38" s="1"/>
  <c r="Q357" i="38" s="1"/>
  <c r="Q358" i="38" s="1"/>
  <c r="Q359" i="38" s="1"/>
  <c r="P348" i="38"/>
  <c r="P349" i="38" s="1"/>
  <c r="P350" i="38" s="1"/>
  <c r="P351" i="38" s="1"/>
  <c r="P352" i="38" s="1"/>
  <c r="P353" i="38" s="1"/>
  <c r="P354" i="38" s="1"/>
  <c r="P355" i="38" s="1"/>
  <c r="P356" i="38" s="1"/>
  <c r="P357" i="38" s="1"/>
  <c r="P358" i="38" s="1"/>
  <c r="P359" i="38" s="1"/>
  <c r="O348" i="38"/>
  <c r="O349" i="38" s="1"/>
  <c r="O350" i="38" s="1"/>
  <c r="O351" i="38" s="1"/>
  <c r="O352" i="38" s="1"/>
  <c r="O353" i="38" s="1"/>
  <c r="O354" i="38" s="1"/>
  <c r="O355" i="38" s="1"/>
  <c r="O356" i="38" s="1"/>
  <c r="O357" i="38" s="1"/>
  <c r="O358" i="38" s="1"/>
  <c r="O359" i="38" s="1"/>
  <c r="H348" i="38"/>
  <c r="E348" i="38"/>
  <c r="E349" i="38" s="1"/>
  <c r="E350" i="38" s="1"/>
  <c r="E351" i="38" s="1"/>
  <c r="E352" i="38" s="1"/>
  <c r="E353" i="38" s="1"/>
  <c r="E354" i="38" s="1"/>
  <c r="E355" i="38" s="1"/>
  <c r="E356" i="38" s="1"/>
  <c r="E357" i="38" s="1"/>
  <c r="E358" i="38" s="1"/>
  <c r="E359" i="38" s="1"/>
  <c r="C348" i="38"/>
  <c r="C349" i="38" s="1"/>
  <c r="C350" i="38" s="1"/>
  <c r="C351" i="38" s="1"/>
  <c r="C352" i="38" s="1"/>
  <c r="C353" i="38" s="1"/>
  <c r="C354" i="38" s="1"/>
  <c r="C355" i="38" s="1"/>
  <c r="C356" i="38" s="1"/>
  <c r="C357" i="38" s="1"/>
  <c r="C358" i="38" s="1"/>
  <c r="C359" i="38" s="1"/>
  <c r="B348" i="38"/>
  <c r="B349" i="38" s="1"/>
  <c r="B350" i="38" s="1"/>
  <c r="B351" i="38" s="1"/>
  <c r="B352" i="38" s="1"/>
  <c r="B353" i="38" s="1"/>
  <c r="B354" i="38" s="1"/>
  <c r="B355" i="38" s="1"/>
  <c r="B356" i="38" s="1"/>
  <c r="B357" i="38" s="1"/>
  <c r="B358" i="38" s="1"/>
  <c r="B359" i="38" s="1"/>
  <c r="T347" i="38"/>
  <c r="AG347" i="38" s="1"/>
  <c r="AK346" i="38"/>
  <c r="AJ346" i="38"/>
  <c r="AG346" i="38"/>
  <c r="AK345" i="38"/>
  <c r="AJ345" i="38"/>
  <c r="AG345" i="38"/>
  <c r="AK344" i="38"/>
  <c r="AJ344" i="38"/>
  <c r="AG344" i="38"/>
  <c r="AK343" i="38"/>
  <c r="AJ343" i="38"/>
  <c r="AG343" i="38"/>
  <c r="AK342" i="38"/>
  <c r="AJ342" i="38"/>
  <c r="AG342" i="38"/>
  <c r="AK341" i="38"/>
  <c r="AJ341" i="38"/>
  <c r="AG341" i="38"/>
  <c r="AC341" i="38"/>
  <c r="AC342" i="38" s="1"/>
  <c r="AC343" i="38" s="1"/>
  <c r="AC344" i="38" s="1"/>
  <c r="AC345" i="38" s="1"/>
  <c r="AC346" i="38" s="1"/>
  <c r="Q341" i="38"/>
  <c r="Q342" i="38" s="1"/>
  <c r="Q343" i="38" s="1"/>
  <c r="Q344" i="38" s="1"/>
  <c r="Q345" i="38" s="1"/>
  <c r="Q346" i="38" s="1"/>
  <c r="P341" i="38"/>
  <c r="P342" i="38" s="1"/>
  <c r="P343" i="38" s="1"/>
  <c r="P344" i="38" s="1"/>
  <c r="P345" i="38" s="1"/>
  <c r="P346" i="38" s="1"/>
  <c r="O341" i="38"/>
  <c r="O342" i="38" s="1"/>
  <c r="O343" i="38" s="1"/>
  <c r="O344" i="38" s="1"/>
  <c r="O345" i="38" s="1"/>
  <c r="O346" i="38" s="1"/>
  <c r="H341" i="38"/>
  <c r="G341" i="38"/>
  <c r="G342" i="38" s="1"/>
  <c r="G343" i="38" s="1"/>
  <c r="G344" i="38" s="1"/>
  <c r="G345" i="38" s="1"/>
  <c r="G346" i="38" s="1"/>
  <c r="F341" i="38"/>
  <c r="F342" i="38" s="1"/>
  <c r="F343" i="38" s="1"/>
  <c r="F344" i="38" s="1"/>
  <c r="F345" i="38" s="1"/>
  <c r="F346" i="38" s="1"/>
  <c r="E341" i="38"/>
  <c r="E342" i="38" s="1"/>
  <c r="E343" i="38" s="1"/>
  <c r="E344" i="38" s="1"/>
  <c r="E345" i="38" s="1"/>
  <c r="E346" i="38" s="1"/>
  <c r="D341" i="38"/>
  <c r="D342" i="38" s="1"/>
  <c r="D343" i="38" s="1"/>
  <c r="D344" i="38" s="1"/>
  <c r="D345" i="38" s="1"/>
  <c r="D346" i="38" s="1"/>
  <c r="C341" i="38"/>
  <c r="C342" i="38" s="1"/>
  <c r="C343" i="38" s="1"/>
  <c r="C344" i="38" s="1"/>
  <c r="C345" i="38" s="1"/>
  <c r="C346" i="38" s="1"/>
  <c r="B341" i="38"/>
  <c r="B342" i="38" s="1"/>
  <c r="B343" i="38" s="1"/>
  <c r="B344" i="38" s="1"/>
  <c r="B345" i="38" s="1"/>
  <c r="B346" i="38" s="1"/>
  <c r="T340" i="38"/>
  <c r="AG340" i="38" s="1"/>
  <c r="AK339" i="38"/>
  <c r="AJ339" i="38"/>
  <c r="AG339" i="38"/>
  <c r="AK338" i="38"/>
  <c r="AJ338" i="38"/>
  <c r="AG338" i="38"/>
  <c r="AK337" i="38"/>
  <c r="AJ337" i="38"/>
  <c r="AG337" i="38"/>
  <c r="AK336" i="38"/>
  <c r="AJ336" i="38"/>
  <c r="AG336" i="38"/>
  <c r="AK335" i="38"/>
  <c r="AJ335" i="38"/>
  <c r="AG335" i="38"/>
  <c r="AK334" i="38"/>
  <c r="AJ334" i="38"/>
  <c r="AG334" i="38"/>
  <c r="AC334" i="38"/>
  <c r="AC335" i="38" s="1"/>
  <c r="AC336" i="38" s="1"/>
  <c r="AC337" i="38" s="1"/>
  <c r="AC338" i="38" s="1"/>
  <c r="AC339" i="38" s="1"/>
  <c r="P334" i="38"/>
  <c r="P335" i="38" s="1"/>
  <c r="P336" i="38" s="1"/>
  <c r="P337" i="38" s="1"/>
  <c r="P338" i="38" s="1"/>
  <c r="P339" i="38" s="1"/>
  <c r="O334" i="38"/>
  <c r="O335" i="38" s="1"/>
  <c r="O336" i="38" s="1"/>
  <c r="O337" i="38" s="1"/>
  <c r="O338" i="38" s="1"/>
  <c r="O339" i="38" s="1"/>
  <c r="H334" i="38"/>
  <c r="G334" i="38"/>
  <c r="G335" i="38" s="1"/>
  <c r="G336" i="38" s="1"/>
  <c r="G337" i="38" s="1"/>
  <c r="G338" i="38" s="1"/>
  <c r="G339" i="38" s="1"/>
  <c r="F334" i="38"/>
  <c r="F335" i="38" s="1"/>
  <c r="F336" i="38" s="1"/>
  <c r="F337" i="38" s="1"/>
  <c r="F338" i="38" s="1"/>
  <c r="F339" i="38" s="1"/>
  <c r="E334" i="38"/>
  <c r="E335" i="38" s="1"/>
  <c r="E336" i="38" s="1"/>
  <c r="E337" i="38" s="1"/>
  <c r="E338" i="38" s="1"/>
  <c r="E339" i="38" s="1"/>
  <c r="D334" i="38"/>
  <c r="D335" i="38" s="1"/>
  <c r="D336" i="38" s="1"/>
  <c r="D337" i="38" s="1"/>
  <c r="D338" i="38" s="1"/>
  <c r="D339" i="38" s="1"/>
  <c r="C334" i="38"/>
  <c r="C335" i="38" s="1"/>
  <c r="C336" i="38" s="1"/>
  <c r="C337" i="38" s="1"/>
  <c r="C338" i="38" s="1"/>
  <c r="C339" i="38" s="1"/>
  <c r="B334" i="38"/>
  <c r="B335" i="38" s="1"/>
  <c r="B336" i="38" s="1"/>
  <c r="B337" i="38" s="1"/>
  <c r="B338" i="38" s="1"/>
  <c r="B339" i="38" s="1"/>
  <c r="T333" i="38"/>
  <c r="AG333" i="38" s="1"/>
  <c r="AK332" i="38"/>
  <c r="AJ332" i="38"/>
  <c r="AG332" i="38"/>
  <c r="AK331" i="38"/>
  <c r="AJ331" i="38"/>
  <c r="AG331" i="38"/>
  <c r="AK330" i="38"/>
  <c r="AJ330" i="38"/>
  <c r="AG330" i="38"/>
  <c r="AK329" i="38"/>
  <c r="AJ329" i="38"/>
  <c r="AG329" i="38"/>
  <c r="AC329" i="38"/>
  <c r="AC330" i="38" s="1"/>
  <c r="AC331" i="38" s="1"/>
  <c r="AC332" i="38" s="1"/>
  <c r="Q329" i="38"/>
  <c r="Q330" i="38" s="1"/>
  <c r="Q331" i="38" s="1"/>
  <c r="Q332" i="38" s="1"/>
  <c r="P329" i="38"/>
  <c r="P330" i="38" s="1"/>
  <c r="P331" i="38" s="1"/>
  <c r="P332" i="38" s="1"/>
  <c r="O329" i="38"/>
  <c r="O330" i="38" s="1"/>
  <c r="O331" i="38" s="1"/>
  <c r="O332" i="38" s="1"/>
  <c r="H329" i="38"/>
  <c r="G329" i="38"/>
  <c r="G330" i="38" s="1"/>
  <c r="G331" i="38" s="1"/>
  <c r="G332" i="38" s="1"/>
  <c r="F329" i="38"/>
  <c r="F330" i="38" s="1"/>
  <c r="F331" i="38" s="1"/>
  <c r="F332" i="38" s="1"/>
  <c r="E329" i="38"/>
  <c r="E330" i="38" s="1"/>
  <c r="E331" i="38" s="1"/>
  <c r="E332" i="38" s="1"/>
  <c r="D329" i="38"/>
  <c r="D330" i="38" s="1"/>
  <c r="D331" i="38" s="1"/>
  <c r="D332" i="38" s="1"/>
  <c r="C329" i="38"/>
  <c r="C330" i="38" s="1"/>
  <c r="C331" i="38" s="1"/>
  <c r="C332" i="38" s="1"/>
  <c r="B329" i="38"/>
  <c r="B330" i="38" s="1"/>
  <c r="B331" i="38" s="1"/>
  <c r="B332" i="38" s="1"/>
  <c r="T328" i="38"/>
  <c r="AG328" i="38" s="1"/>
  <c r="AK327" i="38"/>
  <c r="AJ327" i="38"/>
  <c r="AG327" i="38"/>
  <c r="AK326" i="38"/>
  <c r="AJ326" i="38"/>
  <c r="AG326" i="38"/>
  <c r="AK325" i="38"/>
  <c r="AJ325" i="38"/>
  <c r="AG325" i="38"/>
  <c r="AK324" i="38"/>
  <c r="AJ324" i="38"/>
  <c r="AG324" i="38"/>
  <c r="AC324" i="38"/>
  <c r="AC325" i="38" s="1"/>
  <c r="AC326" i="38" s="1"/>
  <c r="AC327" i="38" s="1"/>
  <c r="Q324" i="38"/>
  <c r="Q325" i="38" s="1"/>
  <c r="Q326" i="38" s="1"/>
  <c r="Q327" i="38" s="1"/>
  <c r="P324" i="38"/>
  <c r="P325" i="38" s="1"/>
  <c r="P326" i="38" s="1"/>
  <c r="P327" i="38" s="1"/>
  <c r="O324" i="38"/>
  <c r="O325" i="38" s="1"/>
  <c r="O326" i="38" s="1"/>
  <c r="O327" i="38" s="1"/>
  <c r="H324" i="38"/>
  <c r="G324" i="38"/>
  <c r="G325" i="38" s="1"/>
  <c r="G326" i="38" s="1"/>
  <c r="G327" i="38" s="1"/>
  <c r="F324" i="38"/>
  <c r="F325" i="38" s="1"/>
  <c r="F326" i="38" s="1"/>
  <c r="F327" i="38" s="1"/>
  <c r="E324" i="38"/>
  <c r="E325" i="38" s="1"/>
  <c r="E326" i="38" s="1"/>
  <c r="E327" i="38" s="1"/>
  <c r="D324" i="38"/>
  <c r="D325" i="38" s="1"/>
  <c r="D326" i="38" s="1"/>
  <c r="D327" i="38" s="1"/>
  <c r="C324" i="38"/>
  <c r="C325" i="38" s="1"/>
  <c r="C326" i="38" s="1"/>
  <c r="C327" i="38" s="1"/>
  <c r="B324" i="38"/>
  <c r="B325" i="38" s="1"/>
  <c r="B326" i="38" s="1"/>
  <c r="B327" i="38" s="1"/>
  <c r="T323" i="38"/>
  <c r="AG323" i="38" s="1"/>
  <c r="AK322" i="38"/>
  <c r="AJ322" i="38"/>
  <c r="AG322" i="38"/>
  <c r="AK321" i="38"/>
  <c r="AJ321" i="38"/>
  <c r="AG321" i="38"/>
  <c r="AK320" i="38"/>
  <c r="AJ320" i="38"/>
  <c r="AG320" i="38"/>
  <c r="AK319" i="38"/>
  <c r="AJ319" i="38"/>
  <c r="AG319" i="38"/>
  <c r="AC319" i="38"/>
  <c r="AC320" i="38" s="1"/>
  <c r="AC321" i="38" s="1"/>
  <c r="AC322" i="38" s="1"/>
  <c r="Q319" i="38"/>
  <c r="Q320" i="38" s="1"/>
  <c r="Q321" i="38" s="1"/>
  <c r="Q322" i="38" s="1"/>
  <c r="O319" i="38"/>
  <c r="O320" i="38" s="1"/>
  <c r="O321" i="38" s="1"/>
  <c r="O322" i="38" s="1"/>
  <c r="H319" i="38"/>
  <c r="G319" i="38"/>
  <c r="G320" i="38" s="1"/>
  <c r="G321" i="38" s="1"/>
  <c r="G322" i="38" s="1"/>
  <c r="F319" i="38"/>
  <c r="F320" i="38" s="1"/>
  <c r="F321" i="38" s="1"/>
  <c r="F322" i="38" s="1"/>
  <c r="E319" i="38"/>
  <c r="E320" i="38" s="1"/>
  <c r="E321" i="38" s="1"/>
  <c r="E322" i="38" s="1"/>
  <c r="D319" i="38"/>
  <c r="D320" i="38" s="1"/>
  <c r="D321" i="38" s="1"/>
  <c r="D322" i="38" s="1"/>
  <c r="C319" i="38"/>
  <c r="C320" i="38" s="1"/>
  <c r="C321" i="38" s="1"/>
  <c r="C322" i="38" s="1"/>
  <c r="B319" i="38"/>
  <c r="B320" i="38" s="1"/>
  <c r="B321" i="38" s="1"/>
  <c r="B322" i="38" s="1"/>
  <c r="T318" i="38"/>
  <c r="AG318" i="38" s="1"/>
  <c r="P318" i="38"/>
  <c r="P319" i="38" s="1"/>
  <c r="P320" i="38" s="1"/>
  <c r="P321" i="38" s="1"/>
  <c r="P322" i="38" s="1"/>
  <c r="AK317" i="38"/>
  <c r="AJ317" i="38"/>
  <c r="AG317" i="38"/>
  <c r="AK316" i="38"/>
  <c r="AJ316" i="38"/>
  <c r="AG316" i="38"/>
  <c r="AK315" i="38"/>
  <c r="AJ315" i="38"/>
  <c r="AG315" i="38"/>
  <c r="AK314" i="38"/>
  <c r="AJ314" i="38"/>
  <c r="AG314" i="38"/>
  <c r="AK313" i="38"/>
  <c r="AJ313" i="38"/>
  <c r="AG313" i="38"/>
  <c r="AK312" i="38"/>
  <c r="AJ312" i="38"/>
  <c r="AG312" i="38"/>
  <c r="AK311" i="38"/>
  <c r="AJ311" i="38"/>
  <c r="AG311" i="38"/>
  <c r="AK310" i="38"/>
  <c r="AJ310" i="38"/>
  <c r="AG310" i="38"/>
  <c r="Q310" i="38"/>
  <c r="Q311" i="38" s="1"/>
  <c r="Q312" i="38" s="1"/>
  <c r="Q313" i="38" s="1"/>
  <c r="Q314" i="38" s="1"/>
  <c r="Q315" i="38" s="1"/>
  <c r="Q316" i="38" s="1"/>
  <c r="Q317" i="38" s="1"/>
  <c r="O310" i="38"/>
  <c r="O311" i="38" s="1"/>
  <c r="O312" i="38" s="1"/>
  <c r="O313" i="38" s="1"/>
  <c r="O314" i="38" s="1"/>
  <c r="O315" i="38" s="1"/>
  <c r="O316" i="38" s="1"/>
  <c r="O317" i="38" s="1"/>
  <c r="H310" i="38"/>
  <c r="E310" i="38"/>
  <c r="E311" i="38" s="1"/>
  <c r="E312" i="38" s="1"/>
  <c r="E313" i="38" s="1"/>
  <c r="E314" i="38" s="1"/>
  <c r="E315" i="38" s="1"/>
  <c r="E316" i="38" s="1"/>
  <c r="E317" i="38" s="1"/>
  <c r="C310" i="38"/>
  <c r="C311" i="38" s="1"/>
  <c r="C312" i="38" s="1"/>
  <c r="C313" i="38" s="1"/>
  <c r="C314" i="38" s="1"/>
  <c r="C315" i="38" s="1"/>
  <c r="C316" i="38" s="1"/>
  <c r="C317" i="38" s="1"/>
  <c r="B310" i="38"/>
  <c r="B311" i="38" s="1"/>
  <c r="B312" i="38" s="1"/>
  <c r="B313" i="38" s="1"/>
  <c r="B314" i="38" s="1"/>
  <c r="B315" i="38" s="1"/>
  <c r="B316" i="38" s="1"/>
  <c r="B317" i="38" s="1"/>
  <c r="T309" i="38"/>
  <c r="AG309" i="38" s="1"/>
  <c r="P309" i="38"/>
  <c r="P310" i="38" s="1"/>
  <c r="P311" i="38" s="1"/>
  <c r="P312" i="38" s="1"/>
  <c r="P313" i="38" s="1"/>
  <c r="P314" i="38" s="1"/>
  <c r="P315" i="38" s="1"/>
  <c r="P316" i="38" s="1"/>
  <c r="P317" i="38" s="1"/>
  <c r="AK308" i="38"/>
  <c r="AJ308" i="38"/>
  <c r="AG308" i="38"/>
  <c r="AK307" i="38"/>
  <c r="AJ307" i="38"/>
  <c r="AG307" i="38"/>
  <c r="AK306" i="38"/>
  <c r="AJ306" i="38"/>
  <c r="AG306" i="38"/>
  <c r="AK305" i="38"/>
  <c r="AJ305" i="38"/>
  <c r="AG305" i="38"/>
  <c r="AK304" i="38"/>
  <c r="AJ304" i="38"/>
  <c r="AG304" i="38"/>
  <c r="AK303" i="38"/>
  <c r="AJ303" i="38"/>
  <c r="AG303" i="38"/>
  <c r="AK302" i="38"/>
  <c r="AJ302" i="38"/>
  <c r="AG302" i="38"/>
  <c r="AK301" i="38"/>
  <c r="AJ301" i="38"/>
  <c r="AG301" i="38"/>
  <c r="AK300" i="38"/>
  <c r="AJ300" i="38"/>
  <c r="AG300" i="38"/>
  <c r="Q300" i="38"/>
  <c r="Q301" i="38" s="1"/>
  <c r="Q302" i="38" s="1"/>
  <c r="Q303" i="38" s="1"/>
  <c r="Q304" i="38" s="1"/>
  <c r="Q305" i="38" s="1"/>
  <c r="Q306" i="38" s="1"/>
  <c r="Q307" i="38" s="1"/>
  <c r="Q308" i="38" s="1"/>
  <c r="P300" i="38"/>
  <c r="P301" i="38" s="1"/>
  <c r="P302" i="38" s="1"/>
  <c r="P303" i="38" s="1"/>
  <c r="P304" i="38" s="1"/>
  <c r="P305" i="38" s="1"/>
  <c r="P306" i="38" s="1"/>
  <c r="P307" i="38" s="1"/>
  <c r="P308" i="38" s="1"/>
  <c r="O300" i="38"/>
  <c r="O301" i="38" s="1"/>
  <c r="O302" i="38" s="1"/>
  <c r="O303" i="38" s="1"/>
  <c r="O304" i="38" s="1"/>
  <c r="O305" i="38" s="1"/>
  <c r="O306" i="38" s="1"/>
  <c r="O307" i="38" s="1"/>
  <c r="O308" i="38" s="1"/>
  <c r="H300" i="38"/>
  <c r="E300" i="38"/>
  <c r="E301" i="38" s="1"/>
  <c r="E302" i="38" s="1"/>
  <c r="E303" i="38" s="1"/>
  <c r="E304" i="38" s="1"/>
  <c r="E305" i="38" s="1"/>
  <c r="E306" i="38" s="1"/>
  <c r="E307" i="38" s="1"/>
  <c r="E308" i="38" s="1"/>
  <c r="C300" i="38"/>
  <c r="C301" i="38" s="1"/>
  <c r="C302" i="38" s="1"/>
  <c r="C303" i="38" s="1"/>
  <c r="C304" i="38" s="1"/>
  <c r="C305" i="38" s="1"/>
  <c r="C306" i="38" s="1"/>
  <c r="C307" i="38" s="1"/>
  <c r="C308" i="38" s="1"/>
  <c r="T299" i="38"/>
  <c r="AG299" i="38" s="1"/>
  <c r="AK298" i="38"/>
  <c r="AJ298" i="38"/>
  <c r="AG298" i="38"/>
  <c r="AK297" i="38"/>
  <c r="AJ297" i="38"/>
  <c r="AG297" i="38"/>
  <c r="AK296" i="38"/>
  <c r="AJ296" i="38"/>
  <c r="AG296" i="38"/>
  <c r="AK295" i="38"/>
  <c r="AJ295" i="38"/>
  <c r="AG295" i="38"/>
  <c r="Q295" i="38"/>
  <c r="Q296" i="38" s="1"/>
  <c r="Q297" i="38" s="1"/>
  <c r="Q298" i="38" s="1"/>
  <c r="P295" i="38"/>
  <c r="P296" i="38" s="1"/>
  <c r="P297" i="38" s="1"/>
  <c r="P298" i="38" s="1"/>
  <c r="O295" i="38"/>
  <c r="O296" i="38" s="1"/>
  <c r="O297" i="38" s="1"/>
  <c r="O298" i="38" s="1"/>
  <c r="H295" i="38"/>
  <c r="E295" i="38"/>
  <c r="E296" i="38" s="1"/>
  <c r="E297" i="38" s="1"/>
  <c r="E298" i="38" s="1"/>
  <c r="C295" i="38"/>
  <c r="C296" i="38" s="1"/>
  <c r="C297" i="38" s="1"/>
  <c r="C298" i="38" s="1"/>
  <c r="T294" i="38"/>
  <c r="AG294" i="38" s="1"/>
  <c r="AK293" i="38"/>
  <c r="AJ293" i="38"/>
  <c r="AG293" i="38"/>
  <c r="AK292" i="38"/>
  <c r="AJ292" i="38"/>
  <c r="AG292" i="38"/>
  <c r="AK291" i="38"/>
  <c r="AJ291" i="38"/>
  <c r="AG291" i="38"/>
  <c r="AK290" i="38"/>
  <c r="AJ290" i="38"/>
  <c r="AG290" i="38"/>
  <c r="Q290" i="38"/>
  <c r="Q291" i="38" s="1"/>
  <c r="Q292" i="38" s="1"/>
  <c r="Q293" i="38" s="1"/>
  <c r="P290" i="38"/>
  <c r="P291" i="38" s="1"/>
  <c r="P292" i="38" s="1"/>
  <c r="P293" i="38" s="1"/>
  <c r="O290" i="38"/>
  <c r="O291" i="38" s="1"/>
  <c r="O292" i="38" s="1"/>
  <c r="O293" i="38" s="1"/>
  <c r="H290" i="38"/>
  <c r="E290" i="38"/>
  <c r="E291" i="38" s="1"/>
  <c r="E292" i="38" s="1"/>
  <c r="E293" i="38" s="1"/>
  <c r="C290" i="38"/>
  <c r="C291" i="38" s="1"/>
  <c r="C292" i="38" s="1"/>
  <c r="C293" i="38" s="1"/>
  <c r="T289" i="38"/>
  <c r="AG289" i="38" s="1"/>
  <c r="AK288" i="38"/>
  <c r="AJ288" i="38"/>
  <c r="AG288" i="38"/>
  <c r="T288" i="38"/>
  <c r="AI288" i="38" s="1"/>
  <c r="AK287" i="38"/>
  <c r="AJ287" i="38"/>
  <c r="AG287" i="38"/>
  <c r="T287" i="38"/>
  <c r="AI287" i="38" s="1"/>
  <c r="AK286" i="38"/>
  <c r="AJ286" i="38"/>
  <c r="AG286" i="38"/>
  <c r="T286" i="38"/>
  <c r="AI286" i="38" s="1"/>
  <c r="AK285" i="38"/>
  <c r="AJ285" i="38"/>
  <c r="AG285" i="38"/>
  <c r="T285" i="38"/>
  <c r="AI285" i="38" s="1"/>
  <c r="AK284" i="38"/>
  <c r="AJ284" i="38"/>
  <c r="AG284" i="38"/>
  <c r="T284" i="38"/>
  <c r="AI284" i="38" s="1"/>
  <c r="AK283" i="38"/>
  <c r="AJ283" i="38"/>
  <c r="AG283" i="38"/>
  <c r="T283" i="38"/>
  <c r="AI283" i="38" s="1"/>
  <c r="AK282" i="38"/>
  <c r="AJ282" i="38"/>
  <c r="AG282" i="38"/>
  <c r="T282" i="38"/>
  <c r="AI282" i="38" s="1"/>
  <c r="AK281" i="38"/>
  <c r="AJ281" i="38"/>
  <c r="AG281" i="38"/>
  <c r="T281" i="38"/>
  <c r="AI281" i="38" s="1"/>
  <c r="AK280" i="38"/>
  <c r="AJ280" i="38"/>
  <c r="AG280" i="38"/>
  <c r="T280" i="38"/>
  <c r="AI280" i="38" s="1"/>
  <c r="AK279" i="38"/>
  <c r="AJ279" i="38"/>
  <c r="AG279" i="38"/>
  <c r="T279" i="38"/>
  <c r="AI279" i="38" s="1"/>
  <c r="AK278" i="38"/>
  <c r="AJ278" i="38"/>
  <c r="AG278" i="38"/>
  <c r="T278" i="38"/>
  <c r="AI278" i="38" s="1"/>
  <c r="AK277" i="38"/>
  <c r="AJ277" i="38"/>
  <c r="AG277" i="38"/>
  <c r="T277" i="38"/>
  <c r="AI277" i="38" s="1"/>
  <c r="AK276" i="38"/>
  <c r="AJ276" i="38"/>
  <c r="AG276" i="38"/>
  <c r="T276" i="38"/>
  <c r="AI276" i="38" s="1"/>
  <c r="AK275" i="38"/>
  <c r="AJ275" i="38"/>
  <c r="AG275" i="38"/>
  <c r="T275" i="38"/>
  <c r="AI275" i="38" s="1"/>
  <c r="AK274" i="38"/>
  <c r="AJ274" i="38"/>
  <c r="AG274" i="38"/>
  <c r="T274" i="38"/>
  <c r="AI274" i="38" s="1"/>
  <c r="AK273" i="38"/>
  <c r="AJ273" i="38"/>
  <c r="AG273" i="38"/>
  <c r="T273" i="38"/>
  <c r="AI273" i="38" s="1"/>
  <c r="AK272" i="38"/>
  <c r="AJ272" i="38"/>
  <c r="AG272" i="38"/>
  <c r="T272" i="38"/>
  <c r="AI272" i="38" s="1"/>
  <c r="AK271" i="38"/>
  <c r="AJ271" i="38"/>
  <c r="AG271" i="38"/>
  <c r="T271" i="38"/>
  <c r="AI271" i="38" s="1"/>
  <c r="AK270" i="38"/>
  <c r="AJ270" i="38"/>
  <c r="AG270" i="38"/>
  <c r="T270" i="38"/>
  <c r="AI270" i="38" s="1"/>
  <c r="AK269" i="38"/>
  <c r="AJ269" i="38"/>
  <c r="AG269" i="38"/>
  <c r="T269" i="38"/>
  <c r="AI269" i="38" s="1"/>
  <c r="AK268" i="38"/>
  <c r="AJ268" i="38"/>
  <c r="AG268" i="38"/>
  <c r="T268" i="38"/>
  <c r="AI268" i="38" s="1"/>
  <c r="AK267" i="38"/>
  <c r="AJ267" i="38"/>
  <c r="AG267" i="38"/>
  <c r="T267" i="38"/>
  <c r="AI267" i="38" s="1"/>
  <c r="AK266" i="38"/>
  <c r="AJ266" i="38"/>
  <c r="AG266" i="38"/>
  <c r="T266" i="38"/>
  <c r="AI266" i="38" s="1"/>
  <c r="AK265" i="38"/>
  <c r="AJ265" i="38"/>
  <c r="AG265" i="38"/>
  <c r="T265" i="38"/>
  <c r="AI265" i="38" s="1"/>
  <c r="AK264" i="38"/>
  <c r="AJ264" i="38"/>
  <c r="AG264" i="38"/>
  <c r="T264" i="38"/>
  <c r="AI264" i="38" s="1"/>
  <c r="AK263" i="38"/>
  <c r="AJ263" i="38"/>
  <c r="AG263" i="38"/>
  <c r="T263" i="38"/>
  <c r="AI263" i="38" s="1"/>
  <c r="AK262" i="38"/>
  <c r="AJ262" i="38"/>
  <c r="AG262" i="38"/>
  <c r="T262" i="38"/>
  <c r="AI262" i="38" s="1"/>
  <c r="AK261" i="38"/>
  <c r="AJ261" i="38"/>
  <c r="AG261" i="38"/>
  <c r="T261" i="38"/>
  <c r="AI261" i="38" s="1"/>
  <c r="AK260" i="38"/>
  <c r="AJ260" i="38"/>
  <c r="AG260" i="38"/>
  <c r="T260" i="38"/>
  <c r="AI260" i="38" s="1"/>
  <c r="AK259" i="38"/>
  <c r="AJ259" i="38"/>
  <c r="AG259" i="38"/>
  <c r="T259" i="38"/>
  <c r="AI259" i="38" s="1"/>
  <c r="AK258" i="38"/>
  <c r="AJ258" i="38"/>
  <c r="AG258" i="38"/>
  <c r="T258" i="38"/>
  <c r="AI258" i="38" s="1"/>
  <c r="AK257" i="38"/>
  <c r="AJ257" i="38"/>
  <c r="AG257" i="38"/>
  <c r="T257" i="38"/>
  <c r="AI257" i="38" s="1"/>
  <c r="AK256" i="38"/>
  <c r="AJ256" i="38"/>
  <c r="AG256" i="38"/>
  <c r="T256" i="38"/>
  <c r="AI256" i="38" s="1"/>
  <c r="AK255" i="38"/>
  <c r="AJ255" i="38"/>
  <c r="AG255" i="38"/>
  <c r="T255" i="38"/>
  <c r="AI255" i="38" s="1"/>
  <c r="AK254" i="38"/>
  <c r="AJ254" i="38"/>
  <c r="AG254" i="38"/>
  <c r="T254" i="38"/>
  <c r="AI254" i="38" s="1"/>
  <c r="AK253" i="38"/>
  <c r="AJ253" i="38"/>
  <c r="AG253" i="38"/>
  <c r="T253" i="38"/>
  <c r="AI253" i="38" s="1"/>
  <c r="Q253" i="38"/>
  <c r="P253" i="38"/>
  <c r="P254" i="38" s="1"/>
  <c r="P255" i="38" s="1"/>
  <c r="P256" i="38" s="1"/>
  <c r="P257" i="38" s="1"/>
  <c r="P258" i="38" s="1"/>
  <c r="P259" i="38" s="1"/>
  <c r="P260" i="38" s="1"/>
  <c r="P261" i="38" s="1"/>
  <c r="P262" i="38" s="1"/>
  <c r="P263" i="38" s="1"/>
  <c r="P264" i="38" s="1"/>
  <c r="P265" i="38" s="1"/>
  <c r="P266" i="38" s="1"/>
  <c r="P267" i="38" s="1"/>
  <c r="P268" i="38" s="1"/>
  <c r="P269" i="38" s="1"/>
  <c r="P270" i="38" s="1"/>
  <c r="P271" i="38" s="1"/>
  <c r="P272" i="38" s="1"/>
  <c r="P273" i="38" s="1"/>
  <c r="P274" i="38" s="1"/>
  <c r="P275" i="38" s="1"/>
  <c r="P276" i="38" s="1"/>
  <c r="P277" i="38" s="1"/>
  <c r="P278" i="38" s="1"/>
  <c r="P279" i="38" s="1"/>
  <c r="P280" i="38" s="1"/>
  <c r="P281" i="38" s="1"/>
  <c r="P282" i="38" s="1"/>
  <c r="P283" i="38" s="1"/>
  <c r="P284" i="38" s="1"/>
  <c r="P285" i="38" s="1"/>
  <c r="P286" i="38" s="1"/>
  <c r="P287" i="38" s="1"/>
  <c r="P288" i="38" s="1"/>
  <c r="O253" i="38"/>
  <c r="O254" i="38" s="1"/>
  <c r="O255" i="38" s="1"/>
  <c r="O256" i="38" s="1"/>
  <c r="O257" i="38" s="1"/>
  <c r="O258" i="38" s="1"/>
  <c r="O259" i="38" s="1"/>
  <c r="O260" i="38" s="1"/>
  <c r="O261" i="38" s="1"/>
  <c r="O262" i="38" s="1"/>
  <c r="O263" i="38" s="1"/>
  <c r="O264" i="38" s="1"/>
  <c r="O265" i="38" s="1"/>
  <c r="O266" i="38" s="1"/>
  <c r="O267" i="38" s="1"/>
  <c r="O268" i="38" s="1"/>
  <c r="O269" i="38" s="1"/>
  <c r="O270" i="38" s="1"/>
  <c r="O271" i="38" s="1"/>
  <c r="O272" i="38" s="1"/>
  <c r="O273" i="38" s="1"/>
  <c r="O274" i="38" s="1"/>
  <c r="O275" i="38" s="1"/>
  <c r="O276" i="38" s="1"/>
  <c r="O277" i="38" s="1"/>
  <c r="O278" i="38" s="1"/>
  <c r="O279" i="38" s="1"/>
  <c r="O280" i="38" s="1"/>
  <c r="O281" i="38" s="1"/>
  <c r="O282" i="38" s="1"/>
  <c r="O283" i="38" s="1"/>
  <c r="O284" i="38" s="1"/>
  <c r="O285" i="38" s="1"/>
  <c r="O286" i="38" s="1"/>
  <c r="O287" i="38" s="1"/>
  <c r="O288" i="38" s="1"/>
  <c r="E253" i="38"/>
  <c r="E254" i="38" s="1"/>
  <c r="E255" i="38" s="1"/>
  <c r="E256" i="38" s="1"/>
  <c r="E257" i="38" s="1"/>
  <c r="E258" i="38" s="1"/>
  <c r="E259" i="38" s="1"/>
  <c r="E260" i="38" s="1"/>
  <c r="E261" i="38" s="1"/>
  <c r="E262" i="38" s="1"/>
  <c r="E263" i="38" s="1"/>
  <c r="E264" i="38" s="1"/>
  <c r="E265" i="38" s="1"/>
  <c r="E266" i="38" s="1"/>
  <c r="E267" i="38" s="1"/>
  <c r="E268" i="38" s="1"/>
  <c r="E269" i="38" s="1"/>
  <c r="E270" i="38" s="1"/>
  <c r="E271" i="38" s="1"/>
  <c r="E272" i="38" s="1"/>
  <c r="E273" i="38" s="1"/>
  <c r="E274" i="38" s="1"/>
  <c r="E275" i="38" s="1"/>
  <c r="E276" i="38" s="1"/>
  <c r="E277" i="38" s="1"/>
  <c r="E278" i="38" s="1"/>
  <c r="E279" i="38" s="1"/>
  <c r="E280" i="38" s="1"/>
  <c r="E281" i="38" s="1"/>
  <c r="E282" i="38" s="1"/>
  <c r="E283" i="38" s="1"/>
  <c r="E284" i="38" s="1"/>
  <c r="E285" i="38" s="1"/>
  <c r="E286" i="38" s="1"/>
  <c r="E287" i="38" s="1"/>
  <c r="E288" i="38" s="1"/>
  <c r="C253" i="38"/>
  <c r="C254" i="38" s="1"/>
  <c r="C255" i="38" s="1"/>
  <c r="C256" i="38" s="1"/>
  <c r="C257" i="38" s="1"/>
  <c r="C258" i="38" s="1"/>
  <c r="C259" i="38" s="1"/>
  <c r="C260" i="38" s="1"/>
  <c r="C261" i="38" s="1"/>
  <c r="C262" i="38" s="1"/>
  <c r="C263" i="38" s="1"/>
  <c r="C264" i="38" s="1"/>
  <c r="C265" i="38" s="1"/>
  <c r="C266" i="38" s="1"/>
  <c r="C267" i="38" s="1"/>
  <c r="C268" i="38" s="1"/>
  <c r="C269" i="38" s="1"/>
  <c r="C270" i="38" s="1"/>
  <c r="C271" i="38" s="1"/>
  <c r="C272" i="38" s="1"/>
  <c r="C273" i="38" s="1"/>
  <c r="C274" i="38" s="1"/>
  <c r="C275" i="38" s="1"/>
  <c r="C276" i="38" s="1"/>
  <c r="C277" i="38" s="1"/>
  <c r="C278" i="38" s="1"/>
  <c r="C279" i="38" s="1"/>
  <c r="C280" i="38" s="1"/>
  <c r="C281" i="38" s="1"/>
  <c r="C282" i="38" s="1"/>
  <c r="C283" i="38" s="1"/>
  <c r="C284" i="38" s="1"/>
  <c r="C285" i="38" s="1"/>
  <c r="C286" i="38" s="1"/>
  <c r="C287" i="38" s="1"/>
  <c r="C288" i="38" s="1"/>
  <c r="B253" i="38"/>
  <c r="B254" i="38" s="1"/>
  <c r="B255" i="38" s="1"/>
  <c r="B256" i="38" s="1"/>
  <c r="B257" i="38" s="1"/>
  <c r="B258" i="38" s="1"/>
  <c r="B259" i="38" s="1"/>
  <c r="B260" i="38" s="1"/>
  <c r="B261" i="38" s="1"/>
  <c r="B262" i="38" s="1"/>
  <c r="B263" i="38" s="1"/>
  <c r="B264" i="38" s="1"/>
  <c r="B265" i="38" s="1"/>
  <c r="B266" i="38" s="1"/>
  <c r="B267" i="38" s="1"/>
  <c r="B268" i="38" s="1"/>
  <c r="B269" i="38" s="1"/>
  <c r="B270" i="38" s="1"/>
  <c r="B271" i="38" s="1"/>
  <c r="B272" i="38" s="1"/>
  <c r="B273" i="38" s="1"/>
  <c r="B274" i="38" s="1"/>
  <c r="B275" i="38" s="1"/>
  <c r="B276" i="38" s="1"/>
  <c r="B277" i="38" s="1"/>
  <c r="B278" i="38" s="1"/>
  <c r="B279" i="38" s="1"/>
  <c r="B280" i="38" s="1"/>
  <c r="B281" i="38" s="1"/>
  <c r="B282" i="38" s="1"/>
  <c r="B283" i="38" s="1"/>
  <c r="B284" i="38" s="1"/>
  <c r="B285" i="38" s="1"/>
  <c r="B286" i="38" s="1"/>
  <c r="B287" i="38" s="1"/>
  <c r="B288" i="38" s="1"/>
  <c r="T252" i="38"/>
  <c r="AG252" i="38" s="1"/>
  <c r="AK251" i="38"/>
  <c r="AJ251" i="38"/>
  <c r="AG251" i="38"/>
  <c r="T251" i="38"/>
  <c r="AI251" i="38" s="1"/>
  <c r="AK250" i="38"/>
  <c r="AJ250" i="38"/>
  <c r="AG250" i="38"/>
  <c r="T250" i="38"/>
  <c r="AI250" i="38" s="1"/>
  <c r="AK249" i="38"/>
  <c r="AJ249" i="38"/>
  <c r="AG249" i="38"/>
  <c r="T249" i="38"/>
  <c r="AI249" i="38" s="1"/>
  <c r="AK248" i="38"/>
  <c r="AJ248" i="38"/>
  <c r="AG248" i="38"/>
  <c r="T248" i="38"/>
  <c r="AI248" i="38" s="1"/>
  <c r="AK247" i="38"/>
  <c r="AJ247" i="38"/>
  <c r="AG247" i="38"/>
  <c r="T247" i="38"/>
  <c r="AI247" i="38" s="1"/>
  <c r="AK246" i="38"/>
  <c r="AJ246" i="38"/>
  <c r="AG246" i="38"/>
  <c r="T246" i="38"/>
  <c r="AI246" i="38" s="1"/>
  <c r="AK245" i="38"/>
  <c r="AJ245" i="38"/>
  <c r="AG245" i="38"/>
  <c r="T245" i="38"/>
  <c r="AI245" i="38" s="1"/>
  <c r="AK244" i="38"/>
  <c r="AJ244" i="38"/>
  <c r="AG244" i="38"/>
  <c r="T244" i="38"/>
  <c r="AI244" i="38" s="1"/>
  <c r="AK243" i="38"/>
  <c r="AJ243" i="38"/>
  <c r="AG243" i="38"/>
  <c r="T243" i="38"/>
  <c r="AI243" i="38" s="1"/>
  <c r="AK242" i="38"/>
  <c r="AJ242" i="38"/>
  <c r="AG242" i="38"/>
  <c r="T242" i="38"/>
  <c r="AI242" i="38" s="1"/>
  <c r="AK241" i="38"/>
  <c r="AJ241" i="38"/>
  <c r="AG241" i="38"/>
  <c r="T241" i="38"/>
  <c r="AI241" i="38" s="1"/>
  <c r="AK240" i="38"/>
  <c r="AJ240" i="38"/>
  <c r="AG240" i="38"/>
  <c r="T240" i="38"/>
  <c r="AI240" i="38" s="1"/>
  <c r="AK239" i="38"/>
  <c r="AJ239" i="38"/>
  <c r="AG239" i="38"/>
  <c r="T239" i="38"/>
  <c r="AI239" i="38" s="1"/>
  <c r="AK238" i="38"/>
  <c r="AJ238" i="38"/>
  <c r="AG238" i="38"/>
  <c r="T238" i="38"/>
  <c r="AI238" i="38" s="1"/>
  <c r="AK237" i="38"/>
  <c r="AJ237" i="38"/>
  <c r="AG237" i="38"/>
  <c r="T237" i="38"/>
  <c r="AI237" i="38" s="1"/>
  <c r="AK236" i="38"/>
  <c r="AJ236" i="38"/>
  <c r="AG236" i="38"/>
  <c r="T236" i="38"/>
  <c r="AI236" i="38" s="1"/>
  <c r="AK235" i="38"/>
  <c r="AJ235" i="38"/>
  <c r="AG235" i="38"/>
  <c r="T235" i="38"/>
  <c r="AI235" i="38" s="1"/>
  <c r="AK234" i="38"/>
  <c r="AJ234" i="38"/>
  <c r="AG234" i="38"/>
  <c r="T234" i="38"/>
  <c r="AI234" i="38" s="1"/>
  <c r="AK233" i="38"/>
  <c r="AJ233" i="38"/>
  <c r="AG233" i="38"/>
  <c r="T233" i="38"/>
  <c r="AI233" i="38" s="1"/>
  <c r="AK232" i="38"/>
  <c r="AJ232" i="38"/>
  <c r="AG232" i="38"/>
  <c r="T232" i="38"/>
  <c r="AI232" i="38" s="1"/>
  <c r="AK231" i="38"/>
  <c r="AJ231" i="38"/>
  <c r="AG231" i="38"/>
  <c r="T231" i="38"/>
  <c r="AI231" i="38" s="1"/>
  <c r="AK230" i="38"/>
  <c r="AJ230" i="38"/>
  <c r="AG230" i="38"/>
  <c r="T230" i="38"/>
  <c r="AI230" i="38" s="1"/>
  <c r="AK229" i="38"/>
  <c r="AJ229" i="38"/>
  <c r="AG229" i="38"/>
  <c r="T229" i="38"/>
  <c r="AI229" i="38" s="1"/>
  <c r="AK228" i="38"/>
  <c r="AJ228" i="38"/>
  <c r="AG228" i="38"/>
  <c r="T228" i="38"/>
  <c r="AI228" i="38" s="1"/>
  <c r="AK227" i="38"/>
  <c r="AJ227" i="38"/>
  <c r="AG227" i="38"/>
  <c r="T227" i="38"/>
  <c r="AI227" i="38" s="1"/>
  <c r="AK226" i="38"/>
  <c r="AJ226" i="38"/>
  <c r="AG226" i="38"/>
  <c r="T226" i="38"/>
  <c r="AI226" i="38" s="1"/>
  <c r="AK225" i="38"/>
  <c r="AJ225" i="38"/>
  <c r="AG225" i="38"/>
  <c r="T225" i="38"/>
  <c r="AI225" i="38" s="1"/>
  <c r="AK224" i="38"/>
  <c r="AJ224" i="38"/>
  <c r="AG224" i="38"/>
  <c r="T224" i="38"/>
  <c r="AI224" i="38" s="1"/>
  <c r="AK223" i="38"/>
  <c r="AJ223" i="38"/>
  <c r="AG223" i="38"/>
  <c r="T223" i="38"/>
  <c r="AI223" i="38" s="1"/>
  <c r="AK222" i="38"/>
  <c r="AJ222" i="38"/>
  <c r="AG222" i="38"/>
  <c r="T222" i="38"/>
  <c r="AI222" i="38" s="1"/>
  <c r="AK221" i="38"/>
  <c r="AJ221" i="38"/>
  <c r="AG221" i="38"/>
  <c r="T221" i="38"/>
  <c r="AI221" i="38" s="1"/>
  <c r="AK220" i="38"/>
  <c r="AJ220" i="38"/>
  <c r="AG220" i="38"/>
  <c r="T220" i="38"/>
  <c r="AI220" i="38" s="1"/>
  <c r="AK219" i="38"/>
  <c r="AJ219" i="38"/>
  <c r="AG219" i="38"/>
  <c r="T219" i="38"/>
  <c r="AI219" i="38" s="1"/>
  <c r="AK218" i="38"/>
  <c r="AJ218" i="38"/>
  <c r="AG218" i="38"/>
  <c r="T218" i="38"/>
  <c r="AI218" i="38" s="1"/>
  <c r="AK217" i="38"/>
  <c r="AJ217" i="38"/>
  <c r="AG217" i="38"/>
  <c r="T217" i="38"/>
  <c r="AI217" i="38" s="1"/>
  <c r="AK216" i="38"/>
  <c r="AJ216" i="38"/>
  <c r="AG216" i="38"/>
  <c r="T216" i="38"/>
  <c r="AI216" i="38" s="1"/>
  <c r="Q216" i="38"/>
  <c r="Q217" i="38" s="1"/>
  <c r="Q218" i="38" s="1"/>
  <c r="Q219" i="38" s="1"/>
  <c r="Q220" i="38" s="1"/>
  <c r="Q221" i="38" s="1"/>
  <c r="Q222" i="38" s="1"/>
  <c r="Q223" i="38" s="1"/>
  <c r="Q224" i="38" s="1"/>
  <c r="Q225" i="38" s="1"/>
  <c r="Q226" i="38" s="1"/>
  <c r="Q227" i="38" s="1"/>
  <c r="Q228" i="38" s="1"/>
  <c r="Q229" i="38" s="1"/>
  <c r="Q230" i="38" s="1"/>
  <c r="Q231" i="38" s="1"/>
  <c r="Q232" i="38" s="1"/>
  <c r="Q233" i="38" s="1"/>
  <c r="Q234" i="38" s="1"/>
  <c r="Q235" i="38" s="1"/>
  <c r="Q236" i="38" s="1"/>
  <c r="Q237" i="38" s="1"/>
  <c r="Q238" i="38" s="1"/>
  <c r="Q239" i="38" s="1"/>
  <c r="Q240" i="38" s="1"/>
  <c r="Q241" i="38" s="1"/>
  <c r="Q242" i="38" s="1"/>
  <c r="Q243" i="38" s="1"/>
  <c r="Q244" i="38" s="1"/>
  <c r="Q245" i="38" s="1"/>
  <c r="P216" i="38"/>
  <c r="P217" i="38" s="1"/>
  <c r="P218" i="38" s="1"/>
  <c r="P219" i="38" s="1"/>
  <c r="P220" i="38" s="1"/>
  <c r="P221" i="38" s="1"/>
  <c r="P222" i="38" s="1"/>
  <c r="P223" i="38" s="1"/>
  <c r="P224" i="38" s="1"/>
  <c r="P225" i="38" s="1"/>
  <c r="P226" i="38" s="1"/>
  <c r="P227" i="38" s="1"/>
  <c r="P228" i="38" s="1"/>
  <c r="P229" i="38" s="1"/>
  <c r="P230" i="38" s="1"/>
  <c r="P231" i="38" s="1"/>
  <c r="P232" i="38" s="1"/>
  <c r="P233" i="38" s="1"/>
  <c r="P234" i="38" s="1"/>
  <c r="P235" i="38" s="1"/>
  <c r="P236" i="38" s="1"/>
  <c r="P237" i="38" s="1"/>
  <c r="P238" i="38" s="1"/>
  <c r="P239" i="38" s="1"/>
  <c r="P240" i="38" s="1"/>
  <c r="P241" i="38" s="1"/>
  <c r="P242" i="38" s="1"/>
  <c r="P243" i="38" s="1"/>
  <c r="P244" i="38" s="1"/>
  <c r="P245" i="38" s="1"/>
  <c r="P246" i="38" s="1"/>
  <c r="P247" i="38" s="1"/>
  <c r="P248" i="38" s="1"/>
  <c r="P249" i="38" s="1"/>
  <c r="P250" i="38" s="1"/>
  <c r="P251" i="38" s="1"/>
  <c r="O216" i="38"/>
  <c r="O217" i="38" s="1"/>
  <c r="O218" i="38" s="1"/>
  <c r="O219" i="38" s="1"/>
  <c r="O220" i="38" s="1"/>
  <c r="O221" i="38" s="1"/>
  <c r="O222" i="38" s="1"/>
  <c r="O223" i="38" s="1"/>
  <c r="O224" i="38" s="1"/>
  <c r="O225" i="38" s="1"/>
  <c r="O226" i="38" s="1"/>
  <c r="O227" i="38" s="1"/>
  <c r="O228" i="38" s="1"/>
  <c r="O229" i="38" s="1"/>
  <c r="O230" i="38" s="1"/>
  <c r="O231" i="38" s="1"/>
  <c r="O232" i="38" s="1"/>
  <c r="O233" i="38" s="1"/>
  <c r="O234" i="38" s="1"/>
  <c r="O235" i="38" s="1"/>
  <c r="O236" i="38" s="1"/>
  <c r="O237" i="38" s="1"/>
  <c r="O238" i="38" s="1"/>
  <c r="O239" i="38" s="1"/>
  <c r="O240" i="38" s="1"/>
  <c r="O241" i="38" s="1"/>
  <c r="O242" i="38" s="1"/>
  <c r="O243" i="38" s="1"/>
  <c r="O244" i="38" s="1"/>
  <c r="O245" i="38" s="1"/>
  <c r="O246" i="38" s="1"/>
  <c r="O247" i="38" s="1"/>
  <c r="O248" i="38" s="1"/>
  <c r="O249" i="38" s="1"/>
  <c r="O250" i="38" s="1"/>
  <c r="O251" i="38" s="1"/>
  <c r="E216" i="38"/>
  <c r="E217" i="38" s="1"/>
  <c r="E218" i="38" s="1"/>
  <c r="E219" i="38" s="1"/>
  <c r="E220" i="38" s="1"/>
  <c r="E221" i="38" s="1"/>
  <c r="E222" i="38" s="1"/>
  <c r="E223" i="38" s="1"/>
  <c r="E224" i="38" s="1"/>
  <c r="E225" i="38" s="1"/>
  <c r="E226" i="38" s="1"/>
  <c r="E227" i="38" s="1"/>
  <c r="E228" i="38" s="1"/>
  <c r="E229" i="38" s="1"/>
  <c r="E230" i="38" s="1"/>
  <c r="E231" i="38" s="1"/>
  <c r="E232" i="38" s="1"/>
  <c r="E233" i="38" s="1"/>
  <c r="E234" i="38" s="1"/>
  <c r="E235" i="38" s="1"/>
  <c r="E236" i="38" s="1"/>
  <c r="E237" i="38" s="1"/>
  <c r="E238" i="38" s="1"/>
  <c r="E239" i="38" s="1"/>
  <c r="E240" i="38" s="1"/>
  <c r="E241" i="38" s="1"/>
  <c r="E242" i="38" s="1"/>
  <c r="E243" i="38" s="1"/>
  <c r="E244" i="38" s="1"/>
  <c r="E245" i="38" s="1"/>
  <c r="E246" i="38" s="1"/>
  <c r="E247" i="38" s="1"/>
  <c r="E248" i="38" s="1"/>
  <c r="E249" i="38" s="1"/>
  <c r="E250" i="38" s="1"/>
  <c r="E251" i="38" s="1"/>
  <c r="C216" i="38"/>
  <c r="C217" i="38" s="1"/>
  <c r="C218" i="38" s="1"/>
  <c r="C219" i="38" s="1"/>
  <c r="C220" i="38" s="1"/>
  <c r="C221" i="38" s="1"/>
  <c r="C222" i="38" s="1"/>
  <c r="C223" i="38" s="1"/>
  <c r="C224" i="38" s="1"/>
  <c r="C225" i="38" s="1"/>
  <c r="C226" i="38" s="1"/>
  <c r="C227" i="38" s="1"/>
  <c r="C228" i="38" s="1"/>
  <c r="C229" i="38" s="1"/>
  <c r="C230" i="38" s="1"/>
  <c r="C231" i="38" s="1"/>
  <c r="C232" i="38" s="1"/>
  <c r="C233" i="38" s="1"/>
  <c r="C234" i="38" s="1"/>
  <c r="C235" i="38" s="1"/>
  <c r="C236" i="38" s="1"/>
  <c r="C237" i="38" s="1"/>
  <c r="C238" i="38" s="1"/>
  <c r="C239" i="38" s="1"/>
  <c r="C240" i="38" s="1"/>
  <c r="C241" i="38" s="1"/>
  <c r="C242" i="38" s="1"/>
  <c r="C243" i="38" s="1"/>
  <c r="C244" i="38" s="1"/>
  <c r="C245" i="38" s="1"/>
  <c r="C246" i="38" s="1"/>
  <c r="C247" i="38" s="1"/>
  <c r="C248" i="38" s="1"/>
  <c r="C249" i="38" s="1"/>
  <c r="C250" i="38" s="1"/>
  <c r="C251" i="38" s="1"/>
  <c r="B216" i="38"/>
  <c r="B217" i="38" s="1"/>
  <c r="B218" i="38" s="1"/>
  <c r="B219" i="38" s="1"/>
  <c r="B220" i="38" s="1"/>
  <c r="B221" i="38" s="1"/>
  <c r="B222" i="38" s="1"/>
  <c r="B223" i="38" s="1"/>
  <c r="B224" i="38" s="1"/>
  <c r="B225" i="38" s="1"/>
  <c r="B226" i="38" s="1"/>
  <c r="B227" i="38" s="1"/>
  <c r="B228" i="38" s="1"/>
  <c r="B229" i="38" s="1"/>
  <c r="B230" i="38" s="1"/>
  <c r="B231" i="38" s="1"/>
  <c r="B232" i="38" s="1"/>
  <c r="B233" i="38" s="1"/>
  <c r="B234" i="38" s="1"/>
  <c r="B235" i="38" s="1"/>
  <c r="B236" i="38" s="1"/>
  <c r="B237" i="38" s="1"/>
  <c r="B238" i="38" s="1"/>
  <c r="B239" i="38" s="1"/>
  <c r="B240" i="38" s="1"/>
  <c r="B241" i="38" s="1"/>
  <c r="B242" i="38" s="1"/>
  <c r="B243" i="38" s="1"/>
  <c r="B244" i="38" s="1"/>
  <c r="B245" i="38" s="1"/>
  <c r="B246" i="38" s="1"/>
  <c r="B247" i="38" s="1"/>
  <c r="B248" i="38" s="1"/>
  <c r="B249" i="38" s="1"/>
  <c r="B250" i="38" s="1"/>
  <c r="B251" i="38" s="1"/>
  <c r="T215" i="38"/>
  <c r="AG215" i="38" s="1"/>
  <c r="AK214" i="38"/>
  <c r="AJ214" i="38"/>
  <c r="AG214" i="38"/>
  <c r="T214" i="38"/>
  <c r="AI214" i="38" s="1"/>
  <c r="AK213" i="38"/>
  <c r="AJ213" i="38"/>
  <c r="AG213" i="38"/>
  <c r="T213" i="38"/>
  <c r="AI213" i="38" s="1"/>
  <c r="AK212" i="38"/>
  <c r="AJ212" i="38"/>
  <c r="AG212" i="38"/>
  <c r="T212" i="38"/>
  <c r="AI212" i="38" s="1"/>
  <c r="AK211" i="38"/>
  <c r="AJ211" i="38"/>
  <c r="AG211" i="38"/>
  <c r="T211" i="38"/>
  <c r="AI211" i="38" s="1"/>
  <c r="AK210" i="38"/>
  <c r="AJ210" i="38"/>
  <c r="AG210" i="38"/>
  <c r="T210" i="38"/>
  <c r="AI210" i="38" s="1"/>
  <c r="AK209" i="38"/>
  <c r="AJ209" i="38"/>
  <c r="AG209" i="38"/>
  <c r="T209" i="38"/>
  <c r="AI209" i="38" s="1"/>
  <c r="AK208" i="38"/>
  <c r="AJ208" i="38"/>
  <c r="AG208" i="38"/>
  <c r="T208" i="38"/>
  <c r="AI208" i="38" s="1"/>
  <c r="AK207" i="38"/>
  <c r="AJ207" i="38"/>
  <c r="AG207" i="38"/>
  <c r="T207" i="38"/>
  <c r="AI207" i="38" s="1"/>
  <c r="AK206" i="38"/>
  <c r="AJ206" i="38"/>
  <c r="AG206" i="38"/>
  <c r="T206" i="38"/>
  <c r="AI206" i="38" s="1"/>
  <c r="AK205" i="38"/>
  <c r="AJ205" i="38"/>
  <c r="AG205" i="38"/>
  <c r="T205" i="38"/>
  <c r="AI205" i="38" s="1"/>
  <c r="AK204" i="38"/>
  <c r="AJ204" i="38"/>
  <c r="AG204" i="38"/>
  <c r="T204" i="38"/>
  <c r="AI204" i="38" s="1"/>
  <c r="AK203" i="38"/>
  <c r="AJ203" i="38"/>
  <c r="AG203" i="38"/>
  <c r="T203" i="38"/>
  <c r="AI203" i="38" s="1"/>
  <c r="AK202" i="38"/>
  <c r="AJ202" i="38"/>
  <c r="AG202" i="38"/>
  <c r="T202" i="38"/>
  <c r="AI202" i="38" s="1"/>
  <c r="AK201" i="38"/>
  <c r="AJ201" i="38"/>
  <c r="AG201" i="38"/>
  <c r="T201" i="38"/>
  <c r="AI201" i="38" s="1"/>
  <c r="AK200" i="38"/>
  <c r="AJ200" i="38"/>
  <c r="AG200" i="38"/>
  <c r="T200" i="38"/>
  <c r="AI200" i="38" s="1"/>
  <c r="AK199" i="38"/>
  <c r="AJ199" i="38"/>
  <c r="AG199" i="38"/>
  <c r="T199" i="38"/>
  <c r="AI199" i="38" s="1"/>
  <c r="AK198" i="38"/>
  <c r="AJ198" i="38"/>
  <c r="AG198" i="38"/>
  <c r="T198" i="38"/>
  <c r="AI198" i="38" s="1"/>
  <c r="AK197" i="38"/>
  <c r="AJ197" i="38"/>
  <c r="AG197" i="38"/>
  <c r="T197" i="38"/>
  <c r="AI197" i="38" s="1"/>
  <c r="AK196" i="38"/>
  <c r="AJ196" i="38"/>
  <c r="AG196" i="38"/>
  <c r="T196" i="38"/>
  <c r="AI196" i="38" s="1"/>
  <c r="Q196" i="38"/>
  <c r="Q197" i="38" s="1"/>
  <c r="Q198" i="38" s="1"/>
  <c r="Q199" i="38" s="1"/>
  <c r="Q200" i="38" s="1"/>
  <c r="Q201" i="38" s="1"/>
  <c r="Q202" i="38" s="1"/>
  <c r="Q203" i="38" s="1"/>
  <c r="Q204" i="38" s="1"/>
  <c r="Q205" i="38" s="1"/>
  <c r="Q206" i="38" s="1"/>
  <c r="Q207" i="38" s="1"/>
  <c r="Q208" i="38" s="1"/>
  <c r="Q209" i="38" s="1"/>
  <c r="Q210" i="38" s="1"/>
  <c r="Q211" i="38" s="1"/>
  <c r="Q212" i="38" s="1"/>
  <c r="Q213" i="38" s="1"/>
  <c r="Q214" i="38" s="1"/>
  <c r="O196" i="38"/>
  <c r="O197" i="38" s="1"/>
  <c r="O198" i="38" s="1"/>
  <c r="O199" i="38" s="1"/>
  <c r="O200" i="38" s="1"/>
  <c r="O201" i="38" s="1"/>
  <c r="O202" i="38" s="1"/>
  <c r="O203" i="38" s="1"/>
  <c r="O204" i="38" s="1"/>
  <c r="O205" i="38" s="1"/>
  <c r="O206" i="38" s="1"/>
  <c r="O207" i="38" s="1"/>
  <c r="O208" i="38" s="1"/>
  <c r="O209" i="38" s="1"/>
  <c r="O210" i="38" s="1"/>
  <c r="O211" i="38" s="1"/>
  <c r="O212" i="38" s="1"/>
  <c r="O213" i="38" s="1"/>
  <c r="O214" i="38" s="1"/>
  <c r="E196" i="38"/>
  <c r="E197" i="38" s="1"/>
  <c r="E198" i="38" s="1"/>
  <c r="E199" i="38" s="1"/>
  <c r="E200" i="38" s="1"/>
  <c r="E201" i="38" s="1"/>
  <c r="E202" i="38" s="1"/>
  <c r="E203" i="38" s="1"/>
  <c r="E204" i="38" s="1"/>
  <c r="E205" i="38" s="1"/>
  <c r="E206" i="38" s="1"/>
  <c r="E207" i="38" s="1"/>
  <c r="E208" i="38" s="1"/>
  <c r="E209" i="38" s="1"/>
  <c r="E210" i="38" s="1"/>
  <c r="E211" i="38" s="1"/>
  <c r="E212" i="38" s="1"/>
  <c r="E213" i="38" s="1"/>
  <c r="E214" i="38" s="1"/>
  <c r="C196" i="38"/>
  <c r="C197" i="38" s="1"/>
  <c r="C198" i="38" s="1"/>
  <c r="C199" i="38" s="1"/>
  <c r="C200" i="38" s="1"/>
  <c r="C201" i="38" s="1"/>
  <c r="C202" i="38" s="1"/>
  <c r="C203" i="38" s="1"/>
  <c r="C204" i="38" s="1"/>
  <c r="C205" i="38" s="1"/>
  <c r="C206" i="38" s="1"/>
  <c r="C207" i="38" s="1"/>
  <c r="C208" i="38" s="1"/>
  <c r="C209" i="38" s="1"/>
  <c r="C210" i="38" s="1"/>
  <c r="C211" i="38" s="1"/>
  <c r="C212" i="38" s="1"/>
  <c r="C213" i="38" s="1"/>
  <c r="C214" i="38" s="1"/>
  <c r="B196" i="38"/>
  <c r="B197" i="38" s="1"/>
  <c r="B198" i="38" s="1"/>
  <c r="B199" i="38" s="1"/>
  <c r="B200" i="38" s="1"/>
  <c r="B201" i="38" s="1"/>
  <c r="B202" i="38" s="1"/>
  <c r="B203" i="38" s="1"/>
  <c r="B204" i="38" s="1"/>
  <c r="B205" i="38" s="1"/>
  <c r="B206" i="38" s="1"/>
  <c r="B207" i="38" s="1"/>
  <c r="B208" i="38" s="1"/>
  <c r="B209" i="38" s="1"/>
  <c r="B210" i="38" s="1"/>
  <c r="B211" i="38" s="1"/>
  <c r="B212" i="38" s="1"/>
  <c r="B213" i="38" s="1"/>
  <c r="B214" i="38" s="1"/>
  <c r="T195" i="38"/>
  <c r="AG195" i="38" s="1"/>
  <c r="P195" i="38"/>
  <c r="P196" i="38" s="1"/>
  <c r="P197" i="38" s="1"/>
  <c r="P198" i="38" s="1"/>
  <c r="P199" i="38" s="1"/>
  <c r="P200" i="38" s="1"/>
  <c r="P201" i="38" s="1"/>
  <c r="P202" i="38" s="1"/>
  <c r="P203" i="38" s="1"/>
  <c r="P204" i="38" s="1"/>
  <c r="P205" i="38" s="1"/>
  <c r="P206" i="38" s="1"/>
  <c r="P207" i="38" s="1"/>
  <c r="P208" i="38" s="1"/>
  <c r="P209" i="38" s="1"/>
  <c r="P210" i="38" s="1"/>
  <c r="P211" i="38" s="1"/>
  <c r="P212" i="38" s="1"/>
  <c r="P213" i="38" s="1"/>
  <c r="P214" i="38" s="1"/>
  <c r="AK194" i="38"/>
  <c r="AJ194" i="38"/>
  <c r="AG194" i="38"/>
  <c r="AK193" i="38"/>
  <c r="AJ193" i="38"/>
  <c r="AG193" i="38"/>
  <c r="AK192" i="38"/>
  <c r="AJ192" i="38"/>
  <c r="AG192" i="38"/>
  <c r="AK191" i="38"/>
  <c r="AJ191" i="38"/>
  <c r="AG191" i="38"/>
  <c r="AK190" i="38"/>
  <c r="AJ190" i="38"/>
  <c r="AG190" i="38"/>
  <c r="AK189" i="38"/>
  <c r="AJ189" i="38"/>
  <c r="AG189" i="38"/>
  <c r="AK188" i="38"/>
  <c r="AJ188" i="38"/>
  <c r="AG188" i="38"/>
  <c r="AK187" i="38"/>
  <c r="AJ187" i="38"/>
  <c r="AG187" i="38"/>
  <c r="AK186" i="38"/>
  <c r="AJ186" i="38"/>
  <c r="AG186" i="38"/>
  <c r="AK185" i="38"/>
  <c r="AJ185" i="38"/>
  <c r="AG185" i="38"/>
  <c r="AK184" i="38"/>
  <c r="AJ184" i="38"/>
  <c r="AG184" i="38"/>
  <c r="P184" i="38"/>
  <c r="P185" i="38" s="1"/>
  <c r="P186" i="38" s="1"/>
  <c r="P187" i="38" s="1"/>
  <c r="P188" i="38" s="1"/>
  <c r="P189" i="38" s="1"/>
  <c r="P190" i="38" s="1"/>
  <c r="P191" i="38" s="1"/>
  <c r="P192" i="38" s="1"/>
  <c r="P193" i="38" s="1"/>
  <c r="P194" i="38" s="1"/>
  <c r="O184" i="38"/>
  <c r="O185" i="38" s="1"/>
  <c r="O186" i="38" s="1"/>
  <c r="O187" i="38" s="1"/>
  <c r="O188" i="38" s="1"/>
  <c r="O189" i="38" s="1"/>
  <c r="O190" i="38" s="1"/>
  <c r="O191" i="38" s="1"/>
  <c r="O192" i="38" s="1"/>
  <c r="O193" i="38" s="1"/>
  <c r="O194" i="38" s="1"/>
  <c r="H184" i="38"/>
  <c r="E184" i="38"/>
  <c r="E185" i="38" s="1"/>
  <c r="E186" i="38" s="1"/>
  <c r="E187" i="38" s="1"/>
  <c r="E188" i="38" s="1"/>
  <c r="E189" i="38" s="1"/>
  <c r="E190" i="38" s="1"/>
  <c r="E191" i="38" s="1"/>
  <c r="E192" i="38" s="1"/>
  <c r="E193" i="38" s="1"/>
  <c r="E194" i="38" s="1"/>
  <c r="C184" i="38"/>
  <c r="C185" i="38" s="1"/>
  <c r="C186" i="38" s="1"/>
  <c r="C187" i="38" s="1"/>
  <c r="C188" i="38" s="1"/>
  <c r="C189" i="38" s="1"/>
  <c r="C190" i="38" s="1"/>
  <c r="C191" i="38" s="1"/>
  <c r="C192" i="38" s="1"/>
  <c r="C193" i="38" s="1"/>
  <c r="C194" i="38" s="1"/>
  <c r="B184" i="38"/>
  <c r="B185" i="38" s="1"/>
  <c r="B186" i="38" s="1"/>
  <c r="B187" i="38" s="1"/>
  <c r="B188" i="38" s="1"/>
  <c r="B189" i="38" s="1"/>
  <c r="B190" i="38" s="1"/>
  <c r="B191" i="38" s="1"/>
  <c r="B192" i="38" s="1"/>
  <c r="B193" i="38" s="1"/>
  <c r="B194" i="38" s="1"/>
  <c r="T183" i="38"/>
  <c r="AG183" i="38" s="1"/>
  <c r="AK182" i="38"/>
  <c r="AJ182" i="38"/>
  <c r="AG182" i="38"/>
  <c r="AK181" i="38"/>
  <c r="AJ181" i="38"/>
  <c r="AG181" i="38"/>
  <c r="AK180" i="38"/>
  <c r="AJ180" i="38"/>
  <c r="AG180" i="38"/>
  <c r="AK179" i="38"/>
  <c r="AJ179" i="38"/>
  <c r="AG179" i="38"/>
  <c r="AK178" i="38"/>
  <c r="AJ178" i="38"/>
  <c r="AG178" i="38"/>
  <c r="AK177" i="38"/>
  <c r="AJ177" i="38"/>
  <c r="AG177" i="38"/>
  <c r="AK176" i="38"/>
  <c r="AJ176" i="38"/>
  <c r="AG176" i="38"/>
  <c r="AK175" i="38"/>
  <c r="AJ175" i="38"/>
  <c r="AG175" i="38"/>
  <c r="AK174" i="38"/>
  <c r="AJ174" i="38"/>
  <c r="AG174" i="38"/>
  <c r="Q174" i="38"/>
  <c r="Q175" i="38" s="1"/>
  <c r="Q176" i="38" s="1"/>
  <c r="Q177" i="38" s="1"/>
  <c r="Q178" i="38" s="1"/>
  <c r="Q179" i="38" s="1"/>
  <c r="Q180" i="38" s="1"/>
  <c r="Q181" i="38" s="1"/>
  <c r="Q182" i="38" s="1"/>
  <c r="P174" i="38"/>
  <c r="P175" i="38" s="1"/>
  <c r="P176" i="38" s="1"/>
  <c r="P177" i="38" s="1"/>
  <c r="P178" i="38" s="1"/>
  <c r="P179" i="38" s="1"/>
  <c r="P180" i="38" s="1"/>
  <c r="P181" i="38" s="1"/>
  <c r="P182" i="38" s="1"/>
  <c r="O174" i="38"/>
  <c r="O175" i="38" s="1"/>
  <c r="O176" i="38" s="1"/>
  <c r="O177" i="38" s="1"/>
  <c r="O178" i="38" s="1"/>
  <c r="O179" i="38" s="1"/>
  <c r="O180" i="38" s="1"/>
  <c r="O181" i="38" s="1"/>
  <c r="O182" i="38" s="1"/>
  <c r="H174" i="38"/>
  <c r="E174" i="38"/>
  <c r="E175" i="38" s="1"/>
  <c r="E176" i="38" s="1"/>
  <c r="E177" i="38" s="1"/>
  <c r="E178" i="38" s="1"/>
  <c r="E179" i="38" s="1"/>
  <c r="E180" i="38" s="1"/>
  <c r="E181" i="38" s="1"/>
  <c r="E182" i="38" s="1"/>
  <c r="C174" i="38"/>
  <c r="C175" i="38" s="1"/>
  <c r="C176" i="38" s="1"/>
  <c r="C177" i="38" s="1"/>
  <c r="C178" i="38" s="1"/>
  <c r="C179" i="38" s="1"/>
  <c r="C180" i="38" s="1"/>
  <c r="C181" i="38" s="1"/>
  <c r="C182" i="38" s="1"/>
  <c r="B174" i="38"/>
  <c r="B175" i="38" s="1"/>
  <c r="B176" i="38" s="1"/>
  <c r="B177" i="38" s="1"/>
  <c r="B178" i="38" s="1"/>
  <c r="B179" i="38" s="1"/>
  <c r="B180" i="38" s="1"/>
  <c r="B181" i="38" s="1"/>
  <c r="B182" i="38" s="1"/>
  <c r="T173" i="38"/>
  <c r="AG173" i="38" s="1"/>
  <c r="AK172" i="38"/>
  <c r="AJ172" i="38"/>
  <c r="AG172" i="38"/>
  <c r="AK171" i="38"/>
  <c r="AJ171" i="38"/>
  <c r="AG171" i="38"/>
  <c r="AK170" i="38"/>
  <c r="AJ170" i="38"/>
  <c r="AG170" i="38"/>
  <c r="AK169" i="38"/>
  <c r="AJ169" i="38"/>
  <c r="AG169" i="38"/>
  <c r="AK168" i="38"/>
  <c r="AJ168" i="38"/>
  <c r="AG168" i="38"/>
  <c r="AK167" i="38"/>
  <c r="AJ167" i="38"/>
  <c r="AG167" i="38"/>
  <c r="AK166" i="38"/>
  <c r="AJ166" i="38"/>
  <c r="AG166" i="38"/>
  <c r="AK165" i="38"/>
  <c r="AJ165" i="38"/>
  <c r="AG165" i="38"/>
  <c r="AK164" i="38"/>
  <c r="AJ164" i="38"/>
  <c r="AG164" i="38"/>
  <c r="AK163" i="38"/>
  <c r="AJ163" i="38"/>
  <c r="AG163" i="38"/>
  <c r="AK162" i="38"/>
  <c r="AJ162" i="38"/>
  <c r="AG162" i="38"/>
  <c r="AK161" i="38"/>
  <c r="AJ161" i="38"/>
  <c r="AG161" i="38"/>
  <c r="AK160" i="38"/>
  <c r="AJ160" i="38"/>
  <c r="AG160" i="38"/>
  <c r="O160" i="38"/>
  <c r="O161" i="38" s="1"/>
  <c r="O162" i="38" s="1"/>
  <c r="O163" i="38" s="1"/>
  <c r="O164" i="38" s="1"/>
  <c r="O165" i="38" s="1"/>
  <c r="O166" i="38" s="1"/>
  <c r="O167" i="38" s="1"/>
  <c r="O168" i="38" s="1"/>
  <c r="O169" i="38" s="1"/>
  <c r="O170" i="38" s="1"/>
  <c r="O171" i="38" s="1"/>
  <c r="O172" i="38" s="1"/>
  <c r="H160" i="38"/>
  <c r="E160" i="38"/>
  <c r="E161" i="38" s="1"/>
  <c r="E162" i="38" s="1"/>
  <c r="E163" i="38" s="1"/>
  <c r="E164" i="38" s="1"/>
  <c r="E165" i="38" s="1"/>
  <c r="E166" i="38" s="1"/>
  <c r="E167" i="38" s="1"/>
  <c r="E168" i="38" s="1"/>
  <c r="E169" i="38" s="1"/>
  <c r="E170" i="38" s="1"/>
  <c r="E171" i="38" s="1"/>
  <c r="E172" i="38" s="1"/>
  <c r="C160" i="38"/>
  <c r="C161" i="38" s="1"/>
  <c r="C162" i="38" s="1"/>
  <c r="C163" i="38" s="1"/>
  <c r="C164" i="38" s="1"/>
  <c r="C165" i="38" s="1"/>
  <c r="C166" i="38" s="1"/>
  <c r="C167" i="38" s="1"/>
  <c r="C168" i="38" s="1"/>
  <c r="C169" i="38" s="1"/>
  <c r="C170" i="38" s="1"/>
  <c r="C171" i="38" s="1"/>
  <c r="C172" i="38" s="1"/>
  <c r="B160" i="38"/>
  <c r="B161" i="38" s="1"/>
  <c r="B162" i="38" s="1"/>
  <c r="B163" i="38" s="1"/>
  <c r="B164" i="38" s="1"/>
  <c r="B165" i="38" s="1"/>
  <c r="B166" i="38" s="1"/>
  <c r="B167" i="38" s="1"/>
  <c r="B168" i="38" s="1"/>
  <c r="B169" i="38" s="1"/>
  <c r="B170" i="38" s="1"/>
  <c r="B171" i="38" s="1"/>
  <c r="B172" i="38" s="1"/>
  <c r="T159" i="38"/>
  <c r="AG159" i="38" s="1"/>
  <c r="P159" i="38"/>
  <c r="P160" i="38" s="1"/>
  <c r="P161" i="38" s="1"/>
  <c r="P162" i="38" s="1"/>
  <c r="P163" i="38" s="1"/>
  <c r="P164" i="38" s="1"/>
  <c r="P165" i="38" s="1"/>
  <c r="P166" i="38" s="1"/>
  <c r="P167" i="38" s="1"/>
  <c r="P168" i="38" s="1"/>
  <c r="P169" i="38" s="1"/>
  <c r="P170" i="38" s="1"/>
  <c r="P171" i="38" s="1"/>
  <c r="P172" i="38" s="1"/>
  <c r="AK158" i="38"/>
  <c r="AJ158" i="38"/>
  <c r="AG158" i="38"/>
  <c r="AK157" i="38"/>
  <c r="AJ157" i="38"/>
  <c r="AG157" i="38"/>
  <c r="AK156" i="38"/>
  <c r="AJ156" i="38"/>
  <c r="AG156" i="38"/>
  <c r="AK155" i="38"/>
  <c r="AJ155" i="38"/>
  <c r="AG155" i="38"/>
  <c r="AK154" i="38"/>
  <c r="AJ154" i="38"/>
  <c r="AG154" i="38"/>
  <c r="AK153" i="38"/>
  <c r="AJ153" i="38"/>
  <c r="AG153" i="38"/>
  <c r="AK152" i="38"/>
  <c r="AJ152" i="38"/>
  <c r="AG152" i="38"/>
  <c r="AK151" i="38"/>
  <c r="AJ151" i="38"/>
  <c r="AG151" i="38"/>
  <c r="AK150" i="38"/>
  <c r="AJ150" i="38"/>
  <c r="AG150" i="38"/>
  <c r="AK149" i="38"/>
  <c r="AJ149" i="38"/>
  <c r="AG149" i="38"/>
  <c r="AK148" i="38"/>
  <c r="AJ148" i="38"/>
  <c r="AG148" i="38"/>
  <c r="AK147" i="38"/>
  <c r="AJ147" i="38"/>
  <c r="AG147" i="38"/>
  <c r="AK146" i="38"/>
  <c r="AJ146" i="38"/>
  <c r="AG146" i="38"/>
  <c r="Q146" i="38"/>
  <c r="Q147" i="38" s="1"/>
  <c r="Q148" i="38" s="1"/>
  <c r="Q149" i="38" s="1"/>
  <c r="Q150" i="38" s="1"/>
  <c r="Q151" i="38" s="1"/>
  <c r="Q152" i="38" s="1"/>
  <c r="Q153" i="38" s="1"/>
  <c r="Q154" i="38" s="1"/>
  <c r="Q155" i="38" s="1"/>
  <c r="Q156" i="38" s="1"/>
  <c r="Q157" i="38" s="1"/>
  <c r="Q158" i="38" s="1"/>
  <c r="P146" i="38"/>
  <c r="P147" i="38" s="1"/>
  <c r="P148" i="38" s="1"/>
  <c r="P149" i="38" s="1"/>
  <c r="P150" i="38" s="1"/>
  <c r="P151" i="38" s="1"/>
  <c r="P152" i="38" s="1"/>
  <c r="P153" i="38" s="1"/>
  <c r="P154" i="38" s="1"/>
  <c r="P155" i="38" s="1"/>
  <c r="P156" i="38" s="1"/>
  <c r="P157" i="38" s="1"/>
  <c r="P158" i="38" s="1"/>
  <c r="O146" i="38"/>
  <c r="O147" i="38" s="1"/>
  <c r="O148" i="38" s="1"/>
  <c r="O149" i="38" s="1"/>
  <c r="O150" i="38" s="1"/>
  <c r="O151" i="38" s="1"/>
  <c r="O152" i="38" s="1"/>
  <c r="O153" i="38" s="1"/>
  <c r="O154" i="38" s="1"/>
  <c r="O155" i="38" s="1"/>
  <c r="O156" i="38" s="1"/>
  <c r="O157" i="38" s="1"/>
  <c r="O158" i="38" s="1"/>
  <c r="E146" i="38"/>
  <c r="E147" i="38" s="1"/>
  <c r="E148" i="38" s="1"/>
  <c r="E149" i="38" s="1"/>
  <c r="E150" i="38" s="1"/>
  <c r="E151" i="38" s="1"/>
  <c r="E152" i="38" s="1"/>
  <c r="E153" i="38" s="1"/>
  <c r="E154" i="38" s="1"/>
  <c r="E155" i="38" s="1"/>
  <c r="E156" i="38" s="1"/>
  <c r="E157" i="38" s="1"/>
  <c r="E158" i="38" s="1"/>
  <c r="C146" i="38"/>
  <c r="C147" i="38" s="1"/>
  <c r="C148" i="38" s="1"/>
  <c r="C149" i="38" s="1"/>
  <c r="C150" i="38" s="1"/>
  <c r="C151" i="38" s="1"/>
  <c r="C152" i="38" s="1"/>
  <c r="C153" i="38" s="1"/>
  <c r="C154" i="38" s="1"/>
  <c r="C155" i="38" s="1"/>
  <c r="C156" i="38" s="1"/>
  <c r="C157" i="38" s="1"/>
  <c r="C158" i="38" s="1"/>
  <c r="B146" i="38"/>
  <c r="B147" i="38" s="1"/>
  <c r="B148" i="38" s="1"/>
  <c r="B149" i="38" s="1"/>
  <c r="B150" i="38" s="1"/>
  <c r="B151" i="38" s="1"/>
  <c r="B152" i="38" s="1"/>
  <c r="B153" i="38" s="1"/>
  <c r="B154" i="38" s="1"/>
  <c r="B155" i="38" s="1"/>
  <c r="B156" i="38" s="1"/>
  <c r="B157" i="38" s="1"/>
  <c r="B158" i="38" s="1"/>
  <c r="H145" i="38"/>
  <c r="AK144" i="38"/>
  <c r="AJ144" i="38"/>
  <c r="AG144" i="38"/>
  <c r="T144" i="38"/>
  <c r="AI144" i="38" s="1"/>
  <c r="AK143" i="38"/>
  <c r="AJ143" i="38"/>
  <c r="AG143" i="38"/>
  <c r="T143" i="38"/>
  <c r="AI143" i="38" s="1"/>
  <c r="AK142" i="38"/>
  <c r="AJ142" i="38"/>
  <c r="AG142" i="38"/>
  <c r="T142" i="38"/>
  <c r="AI142" i="38" s="1"/>
  <c r="AK141" i="38"/>
  <c r="AJ141" i="38"/>
  <c r="AG141" i="38"/>
  <c r="T141" i="38"/>
  <c r="AI141" i="38" s="1"/>
  <c r="AK140" i="38"/>
  <c r="AJ140" i="38"/>
  <c r="AG140" i="38"/>
  <c r="T140" i="38"/>
  <c r="AI140" i="38" s="1"/>
  <c r="Q140" i="38"/>
  <c r="Q141" i="38" s="1"/>
  <c r="Q142" i="38" s="1"/>
  <c r="Q143" i="38" s="1"/>
  <c r="Q144" i="38" s="1"/>
  <c r="P140" i="38"/>
  <c r="P141" i="38" s="1"/>
  <c r="P142" i="38" s="1"/>
  <c r="P143" i="38" s="1"/>
  <c r="P144" i="38" s="1"/>
  <c r="O140" i="38"/>
  <c r="O141" i="38" s="1"/>
  <c r="O142" i="38" s="1"/>
  <c r="O143" i="38" s="1"/>
  <c r="O144" i="38" s="1"/>
  <c r="C140" i="38"/>
  <c r="C141" i="38" s="1"/>
  <c r="C142" i="38" s="1"/>
  <c r="C143" i="38" s="1"/>
  <c r="C144" i="38" s="1"/>
  <c r="B140" i="38"/>
  <c r="B141" i="38" s="1"/>
  <c r="B142" i="38" s="1"/>
  <c r="B143" i="38" s="1"/>
  <c r="B144" i="38" s="1"/>
  <c r="T139" i="38"/>
  <c r="AG139" i="38" s="1"/>
  <c r="AK138" i="38"/>
  <c r="AJ138" i="38"/>
  <c r="AG138" i="38"/>
  <c r="AK137" i="38"/>
  <c r="AJ137" i="38"/>
  <c r="AG137" i="38"/>
  <c r="AK136" i="38"/>
  <c r="AJ136" i="38"/>
  <c r="AG136" i="38"/>
  <c r="AK135" i="38"/>
  <c r="AJ135" i="38"/>
  <c r="AG135" i="38"/>
  <c r="AK134" i="38"/>
  <c r="AJ134" i="38"/>
  <c r="AG134" i="38"/>
  <c r="AK133" i="38"/>
  <c r="AJ133" i="38"/>
  <c r="AG133" i="38"/>
  <c r="Q133" i="38"/>
  <c r="Q134" i="38" s="1"/>
  <c r="Q135" i="38" s="1"/>
  <c r="Q136" i="38" s="1"/>
  <c r="Q137" i="38" s="1"/>
  <c r="Q138" i="38" s="1"/>
  <c r="P133" i="38"/>
  <c r="P134" i="38" s="1"/>
  <c r="P135" i="38" s="1"/>
  <c r="P136" i="38" s="1"/>
  <c r="P137" i="38" s="1"/>
  <c r="P138" i="38" s="1"/>
  <c r="O133" i="38"/>
  <c r="O134" i="38" s="1"/>
  <c r="O135" i="38" s="1"/>
  <c r="O136" i="38" s="1"/>
  <c r="O137" i="38" s="1"/>
  <c r="O138" i="38" s="1"/>
  <c r="H133" i="38"/>
  <c r="C133" i="38"/>
  <c r="C134" i="38" s="1"/>
  <c r="C135" i="38" s="1"/>
  <c r="C136" i="38" s="1"/>
  <c r="C137" i="38" s="1"/>
  <c r="C138" i="38" s="1"/>
  <c r="B133" i="38"/>
  <c r="B134" i="38" s="1"/>
  <c r="B135" i="38" s="1"/>
  <c r="B136" i="38" s="1"/>
  <c r="B137" i="38" s="1"/>
  <c r="B138" i="38" s="1"/>
  <c r="T132" i="38"/>
  <c r="AG132" i="38" s="1"/>
  <c r="AK131" i="38"/>
  <c r="AJ131" i="38"/>
  <c r="AG131" i="38"/>
  <c r="AK130" i="38"/>
  <c r="AJ130" i="38"/>
  <c r="AG130" i="38"/>
  <c r="AK129" i="38"/>
  <c r="AJ129" i="38"/>
  <c r="AG129" i="38"/>
  <c r="AK128" i="38"/>
  <c r="AJ128" i="38"/>
  <c r="AG128" i="38"/>
  <c r="AK127" i="38"/>
  <c r="AJ127" i="38"/>
  <c r="AG127" i="38"/>
  <c r="AK126" i="38"/>
  <c r="AJ126" i="38"/>
  <c r="AG126" i="38"/>
  <c r="AK125" i="38"/>
  <c r="AJ125" i="38"/>
  <c r="AG125" i="38"/>
  <c r="AK124" i="38"/>
  <c r="AJ124" i="38"/>
  <c r="AG124" i="38"/>
  <c r="AK123" i="38"/>
  <c r="AJ123" i="38"/>
  <c r="AG123" i="38"/>
  <c r="AK122" i="38"/>
  <c r="AJ122" i="38"/>
  <c r="AG122" i="38"/>
  <c r="AK121" i="38"/>
  <c r="AJ121" i="38"/>
  <c r="AG121" i="38"/>
  <c r="Q121" i="38"/>
  <c r="Q122" i="38" s="1"/>
  <c r="Q123" i="38" s="1"/>
  <c r="Q124" i="38" s="1"/>
  <c r="Q125" i="38" s="1"/>
  <c r="Q126" i="38" s="1"/>
  <c r="Q127" i="38" s="1"/>
  <c r="Q128" i="38" s="1"/>
  <c r="Q129" i="38" s="1"/>
  <c r="Q130" i="38" s="1"/>
  <c r="Q131" i="38" s="1"/>
  <c r="P121" i="38"/>
  <c r="P122" i="38" s="1"/>
  <c r="P123" i="38" s="1"/>
  <c r="P124" i="38" s="1"/>
  <c r="P125" i="38" s="1"/>
  <c r="P126" i="38" s="1"/>
  <c r="P127" i="38" s="1"/>
  <c r="P128" i="38" s="1"/>
  <c r="P129" i="38" s="1"/>
  <c r="P130" i="38" s="1"/>
  <c r="P131" i="38" s="1"/>
  <c r="O121" i="38"/>
  <c r="O122" i="38" s="1"/>
  <c r="O123" i="38" s="1"/>
  <c r="O124" i="38" s="1"/>
  <c r="O125" i="38" s="1"/>
  <c r="O126" i="38" s="1"/>
  <c r="O127" i="38" s="1"/>
  <c r="O128" i="38" s="1"/>
  <c r="O129" i="38" s="1"/>
  <c r="O130" i="38" s="1"/>
  <c r="O131" i="38" s="1"/>
  <c r="H121" i="38"/>
  <c r="F121" i="38"/>
  <c r="F122" i="38" s="1"/>
  <c r="F123" i="38" s="1"/>
  <c r="F124" i="38" s="1"/>
  <c r="F125" i="38" s="1"/>
  <c r="F126" i="38" s="1"/>
  <c r="F127" i="38" s="1"/>
  <c r="F128" i="38" s="1"/>
  <c r="F129" i="38" s="1"/>
  <c r="F130" i="38" s="1"/>
  <c r="F131" i="38" s="1"/>
  <c r="E121" i="38"/>
  <c r="E122" i="38" s="1"/>
  <c r="E123" i="38" s="1"/>
  <c r="E124" i="38" s="1"/>
  <c r="E125" i="38" s="1"/>
  <c r="E126" i="38" s="1"/>
  <c r="E127" i="38" s="1"/>
  <c r="E128" i="38" s="1"/>
  <c r="E129" i="38" s="1"/>
  <c r="E130" i="38" s="1"/>
  <c r="E131" i="38" s="1"/>
  <c r="D121" i="38"/>
  <c r="D122" i="38" s="1"/>
  <c r="D123" i="38" s="1"/>
  <c r="D124" i="38" s="1"/>
  <c r="D125" i="38" s="1"/>
  <c r="D126" i="38" s="1"/>
  <c r="D127" i="38" s="1"/>
  <c r="D128" i="38" s="1"/>
  <c r="D129" i="38" s="1"/>
  <c r="D130" i="38" s="1"/>
  <c r="D131" i="38" s="1"/>
  <c r="C121" i="38"/>
  <c r="C122" i="38" s="1"/>
  <c r="C123" i="38" s="1"/>
  <c r="C124" i="38" s="1"/>
  <c r="C125" i="38" s="1"/>
  <c r="C126" i="38" s="1"/>
  <c r="C127" i="38" s="1"/>
  <c r="C128" i="38" s="1"/>
  <c r="C129" i="38" s="1"/>
  <c r="C130" i="38" s="1"/>
  <c r="C131" i="38" s="1"/>
  <c r="B121" i="38"/>
  <c r="B122" i="38" s="1"/>
  <c r="B123" i="38" s="1"/>
  <c r="B124" i="38" s="1"/>
  <c r="B125" i="38" s="1"/>
  <c r="B126" i="38" s="1"/>
  <c r="B127" i="38" s="1"/>
  <c r="B128" i="38" s="1"/>
  <c r="B129" i="38" s="1"/>
  <c r="B130" i="38" s="1"/>
  <c r="B131" i="38" s="1"/>
  <c r="T120" i="38"/>
  <c r="AG120" i="38" s="1"/>
  <c r="AK119" i="38"/>
  <c r="AJ119" i="38"/>
  <c r="AG119" i="38"/>
  <c r="AK118" i="38"/>
  <c r="AJ118" i="38"/>
  <c r="AG118" i="38"/>
  <c r="AK117" i="38"/>
  <c r="AJ117" i="38"/>
  <c r="AG117" i="38"/>
  <c r="AK116" i="38"/>
  <c r="AJ116" i="38"/>
  <c r="AG116" i="38"/>
  <c r="AK115" i="38"/>
  <c r="AJ115" i="38"/>
  <c r="AG115" i="38"/>
  <c r="AK114" i="38"/>
  <c r="AJ114" i="38"/>
  <c r="AG114" i="38"/>
  <c r="AK113" i="38"/>
  <c r="AJ113" i="38"/>
  <c r="AG113" i="38"/>
  <c r="AK112" i="38"/>
  <c r="AJ112" i="38"/>
  <c r="AG112" i="38"/>
  <c r="Q112" i="38"/>
  <c r="Q113" i="38" s="1"/>
  <c r="Q114" i="38" s="1"/>
  <c r="Q115" i="38" s="1"/>
  <c r="Q116" i="38" s="1"/>
  <c r="Q117" i="38" s="1"/>
  <c r="Q118" i="38" s="1"/>
  <c r="Q119" i="38" s="1"/>
  <c r="P112" i="38"/>
  <c r="P113" i="38" s="1"/>
  <c r="P114" i="38" s="1"/>
  <c r="P115" i="38" s="1"/>
  <c r="P116" i="38" s="1"/>
  <c r="P117" i="38" s="1"/>
  <c r="P118" i="38" s="1"/>
  <c r="P119" i="38" s="1"/>
  <c r="O112" i="38"/>
  <c r="O113" i="38" s="1"/>
  <c r="O114" i="38" s="1"/>
  <c r="O115" i="38" s="1"/>
  <c r="O116" i="38" s="1"/>
  <c r="O117" i="38" s="1"/>
  <c r="O118" i="38" s="1"/>
  <c r="O119" i="38" s="1"/>
  <c r="H112" i="38"/>
  <c r="C112" i="38"/>
  <c r="C113" i="38" s="1"/>
  <c r="C114" i="38" s="1"/>
  <c r="C115" i="38" s="1"/>
  <c r="C116" i="38" s="1"/>
  <c r="C117" i="38" s="1"/>
  <c r="C118" i="38" s="1"/>
  <c r="C119" i="38" s="1"/>
  <c r="T111" i="38"/>
  <c r="AG111" i="38" s="1"/>
  <c r="AK110" i="38"/>
  <c r="AJ110" i="38"/>
  <c r="AG110" i="38"/>
  <c r="AK109" i="38"/>
  <c r="AJ109" i="38"/>
  <c r="AG109" i="38"/>
  <c r="AK108" i="38"/>
  <c r="AJ108" i="38"/>
  <c r="AG108" i="38"/>
  <c r="AK107" i="38"/>
  <c r="AJ107" i="38"/>
  <c r="AG107" i="38"/>
  <c r="AK106" i="38"/>
  <c r="AJ106" i="38"/>
  <c r="AG106" i="38"/>
  <c r="AK105" i="38"/>
  <c r="AJ105" i="38"/>
  <c r="AG105" i="38"/>
  <c r="AK104" i="38"/>
  <c r="AJ104" i="38"/>
  <c r="AG104" i="38"/>
  <c r="AK103" i="38"/>
  <c r="AJ103" i="38"/>
  <c r="AG103" i="38"/>
  <c r="Q103" i="38"/>
  <c r="Q104" i="38" s="1"/>
  <c r="Q105" i="38" s="1"/>
  <c r="Q106" i="38" s="1"/>
  <c r="Q107" i="38" s="1"/>
  <c r="Q108" i="38" s="1"/>
  <c r="Q109" i="38" s="1"/>
  <c r="Q110" i="38" s="1"/>
  <c r="P103" i="38"/>
  <c r="P104" i="38" s="1"/>
  <c r="P105" i="38" s="1"/>
  <c r="P106" i="38" s="1"/>
  <c r="P107" i="38" s="1"/>
  <c r="P108" i="38" s="1"/>
  <c r="P109" i="38" s="1"/>
  <c r="P110" i="38" s="1"/>
  <c r="O103" i="38"/>
  <c r="O104" i="38" s="1"/>
  <c r="O105" i="38" s="1"/>
  <c r="O106" i="38" s="1"/>
  <c r="O107" i="38" s="1"/>
  <c r="O108" i="38" s="1"/>
  <c r="O109" i="38" s="1"/>
  <c r="O110" i="38" s="1"/>
  <c r="H103" i="38"/>
  <c r="C103" i="38"/>
  <c r="C104" i="38" s="1"/>
  <c r="C105" i="38" s="1"/>
  <c r="C106" i="38" s="1"/>
  <c r="C107" i="38" s="1"/>
  <c r="C108" i="38" s="1"/>
  <c r="C109" i="38" s="1"/>
  <c r="C110" i="38" s="1"/>
  <c r="T102" i="38"/>
  <c r="AG102" i="38" s="1"/>
  <c r="AK101" i="38"/>
  <c r="AJ101" i="38"/>
  <c r="AG101" i="38"/>
  <c r="T101" i="38"/>
  <c r="AI101" i="38" s="1"/>
  <c r="AK100" i="38"/>
  <c r="AJ100" i="38"/>
  <c r="AG100" i="38"/>
  <c r="T100" i="38"/>
  <c r="AI100" i="38" s="1"/>
  <c r="AK99" i="38"/>
  <c r="AJ99" i="38"/>
  <c r="AG99" i="38"/>
  <c r="T99" i="38"/>
  <c r="AI99" i="38" s="1"/>
  <c r="AK98" i="38"/>
  <c r="AJ98" i="38"/>
  <c r="AG98" i="38"/>
  <c r="T98" i="38"/>
  <c r="AI98" i="38" s="1"/>
  <c r="AK97" i="38"/>
  <c r="AJ97" i="38"/>
  <c r="AG97" i="38"/>
  <c r="T97" i="38"/>
  <c r="AI97" i="38" s="1"/>
  <c r="AK96" i="38"/>
  <c r="AJ96" i="38"/>
  <c r="AG96" i="38"/>
  <c r="Y96" i="38"/>
  <c r="Y97" i="38" s="1"/>
  <c r="Y98" i="38" s="1"/>
  <c r="Y99" i="38" s="1"/>
  <c r="Y100" i="38" s="1"/>
  <c r="Y101" i="38" s="1"/>
  <c r="T96" i="38"/>
  <c r="AI96" i="38" s="1"/>
  <c r="Q96" i="38"/>
  <c r="Q97" i="38" s="1"/>
  <c r="Q98" i="38" s="1"/>
  <c r="Q99" i="38" s="1"/>
  <c r="Q100" i="38" s="1"/>
  <c r="Q101" i="38" s="1"/>
  <c r="O96" i="38"/>
  <c r="O97" i="38" s="1"/>
  <c r="O98" i="38" s="1"/>
  <c r="O99" i="38" s="1"/>
  <c r="O100" i="38" s="1"/>
  <c r="O101" i="38" s="1"/>
  <c r="E96" i="38"/>
  <c r="E97" i="38" s="1"/>
  <c r="E98" i="38" s="1"/>
  <c r="E99" i="38" s="1"/>
  <c r="E100" i="38" s="1"/>
  <c r="E101" i="38" s="1"/>
  <c r="C96" i="38"/>
  <c r="C97" i="38" s="1"/>
  <c r="C98" i="38" s="1"/>
  <c r="C99" i="38" s="1"/>
  <c r="C100" i="38" s="1"/>
  <c r="C101" i="38" s="1"/>
  <c r="B96" i="38"/>
  <c r="B97" i="38" s="1"/>
  <c r="B98" i="38" s="1"/>
  <c r="B99" i="38" s="1"/>
  <c r="B100" i="38" s="1"/>
  <c r="B101" i="38" s="1"/>
  <c r="T95" i="38"/>
  <c r="AG95" i="38" s="1"/>
  <c r="P95" i="38"/>
  <c r="P96" i="38" s="1"/>
  <c r="P97" i="38" s="1"/>
  <c r="P98" i="38" s="1"/>
  <c r="P99" i="38" s="1"/>
  <c r="P100" i="38" s="1"/>
  <c r="P101" i="38" s="1"/>
  <c r="AK94" i="38"/>
  <c r="AJ94" i="38"/>
  <c r="AG94" i="38"/>
  <c r="AK93" i="38"/>
  <c r="AJ93" i="38"/>
  <c r="AG93" i="38"/>
  <c r="AK92" i="38"/>
  <c r="AJ92" i="38"/>
  <c r="AG92" i="38"/>
  <c r="AK91" i="38"/>
  <c r="AJ91" i="38"/>
  <c r="AG91" i="38"/>
  <c r="AK90" i="38"/>
  <c r="AJ90" i="38"/>
  <c r="AG90" i="38"/>
  <c r="AK89" i="38"/>
  <c r="AJ89" i="38"/>
  <c r="AG89" i="38"/>
  <c r="Q89" i="38"/>
  <c r="Q90" i="38" s="1"/>
  <c r="Q91" i="38" s="1"/>
  <c r="Q92" i="38" s="1"/>
  <c r="Q93" i="38" s="1"/>
  <c r="Q94" i="38" s="1"/>
  <c r="P89" i="38"/>
  <c r="P90" i="38" s="1"/>
  <c r="P91" i="38" s="1"/>
  <c r="P92" i="38" s="1"/>
  <c r="P93" i="38" s="1"/>
  <c r="P94" i="38" s="1"/>
  <c r="O89" i="38"/>
  <c r="O90" i="38" s="1"/>
  <c r="O91" i="38" s="1"/>
  <c r="O92" i="38" s="1"/>
  <c r="O93" i="38" s="1"/>
  <c r="O94" i="38" s="1"/>
  <c r="H89" i="38"/>
  <c r="E89" i="38"/>
  <c r="E90" i="38" s="1"/>
  <c r="E91" i="38" s="1"/>
  <c r="E92" i="38" s="1"/>
  <c r="E93" i="38" s="1"/>
  <c r="E94" i="38" s="1"/>
  <c r="C89" i="38"/>
  <c r="C90" i="38" s="1"/>
  <c r="C91" i="38" s="1"/>
  <c r="C92" i="38" s="1"/>
  <c r="C93" i="38" s="1"/>
  <c r="C94" i="38" s="1"/>
  <c r="T88" i="38"/>
  <c r="AG88" i="38" s="1"/>
  <c r="AK87" i="38"/>
  <c r="AJ87" i="38"/>
  <c r="AG87" i="38"/>
  <c r="AK86" i="38"/>
  <c r="AJ86" i="38"/>
  <c r="AG86" i="38"/>
  <c r="AK85" i="38"/>
  <c r="AJ85" i="38"/>
  <c r="AG85" i="38"/>
  <c r="AK84" i="38"/>
  <c r="AJ84" i="38"/>
  <c r="AG84" i="38"/>
  <c r="AK83" i="38"/>
  <c r="AJ83" i="38"/>
  <c r="AG83" i="38"/>
  <c r="AK82" i="38"/>
  <c r="AJ82" i="38"/>
  <c r="AG82" i="38"/>
  <c r="Q82" i="38"/>
  <c r="Q83" i="38" s="1"/>
  <c r="Q84" i="38" s="1"/>
  <c r="Q85" i="38" s="1"/>
  <c r="Q86" i="38" s="1"/>
  <c r="Q87" i="38" s="1"/>
  <c r="P82" i="38"/>
  <c r="P83" i="38" s="1"/>
  <c r="P84" i="38" s="1"/>
  <c r="P85" i="38" s="1"/>
  <c r="P86" i="38" s="1"/>
  <c r="P87" i="38" s="1"/>
  <c r="O82" i="38"/>
  <c r="O83" i="38" s="1"/>
  <c r="O84" i="38" s="1"/>
  <c r="O85" i="38" s="1"/>
  <c r="O86" i="38" s="1"/>
  <c r="O87" i="38" s="1"/>
  <c r="H82" i="38"/>
  <c r="E82" i="38"/>
  <c r="E83" i="38" s="1"/>
  <c r="E84" i="38" s="1"/>
  <c r="E85" i="38" s="1"/>
  <c r="E86" i="38" s="1"/>
  <c r="E87" i="38" s="1"/>
  <c r="C82" i="38"/>
  <c r="C83" i="38" s="1"/>
  <c r="C84" i="38" s="1"/>
  <c r="C85" i="38" s="1"/>
  <c r="C86" i="38" s="1"/>
  <c r="C87" i="38" s="1"/>
  <c r="T81" i="38"/>
  <c r="AG81" i="38" s="1"/>
  <c r="AK80" i="38"/>
  <c r="AJ80" i="38"/>
  <c r="AG80" i="38"/>
  <c r="AK79" i="38"/>
  <c r="AJ79" i="38"/>
  <c r="AG79" i="38"/>
  <c r="AK78" i="38"/>
  <c r="AJ78" i="38"/>
  <c r="AG78" i="38"/>
  <c r="AK77" i="38"/>
  <c r="AJ77" i="38"/>
  <c r="AG77" i="38"/>
  <c r="AK76" i="38"/>
  <c r="AJ76" i="38"/>
  <c r="AG76" i="38"/>
  <c r="AK75" i="38"/>
  <c r="AJ75" i="38"/>
  <c r="AG75" i="38"/>
  <c r="Q75" i="38"/>
  <c r="Q76" i="38" s="1"/>
  <c r="Q77" i="38" s="1"/>
  <c r="Q78" i="38" s="1"/>
  <c r="Q79" i="38" s="1"/>
  <c r="Q80" i="38" s="1"/>
  <c r="P75" i="38"/>
  <c r="P76" i="38" s="1"/>
  <c r="P77" i="38" s="1"/>
  <c r="P78" i="38" s="1"/>
  <c r="P79" i="38" s="1"/>
  <c r="P80" i="38" s="1"/>
  <c r="O75" i="38"/>
  <c r="O76" i="38" s="1"/>
  <c r="O77" i="38" s="1"/>
  <c r="O78" i="38" s="1"/>
  <c r="O79" i="38" s="1"/>
  <c r="O80" i="38" s="1"/>
  <c r="E75" i="38"/>
  <c r="E76" i="38" s="1"/>
  <c r="E77" i="38" s="1"/>
  <c r="E78" i="38" s="1"/>
  <c r="E79" i="38" s="1"/>
  <c r="E80" i="38" s="1"/>
  <c r="C75" i="38"/>
  <c r="C76" i="38" s="1"/>
  <c r="C77" i="38" s="1"/>
  <c r="C78" i="38" s="1"/>
  <c r="C79" i="38" s="1"/>
  <c r="C80" i="38" s="1"/>
  <c r="H74" i="38"/>
  <c r="AK73" i="38"/>
  <c r="AJ73" i="38"/>
  <c r="AG73" i="38"/>
  <c r="I73" i="38"/>
  <c r="AK72" i="38"/>
  <c r="AJ72" i="38"/>
  <c r="AG72" i="38"/>
  <c r="I72" i="38"/>
  <c r="AK71" i="38"/>
  <c r="AJ71" i="38"/>
  <c r="AG71" i="38"/>
  <c r="I71" i="38"/>
  <c r="AK70" i="38"/>
  <c r="AJ70" i="38"/>
  <c r="AG70" i="38"/>
  <c r="AC70" i="38"/>
  <c r="AC71" i="38" s="1"/>
  <c r="AC72" i="38" s="1"/>
  <c r="AC73" i="38" s="1"/>
  <c r="Q70" i="38"/>
  <c r="Q71" i="38" s="1"/>
  <c r="Q72" i="38" s="1"/>
  <c r="Q73" i="38" s="1"/>
  <c r="P70" i="38"/>
  <c r="P71" i="38" s="1"/>
  <c r="P72" i="38" s="1"/>
  <c r="P73" i="38" s="1"/>
  <c r="O70" i="38"/>
  <c r="O71" i="38" s="1"/>
  <c r="O72" i="38" s="1"/>
  <c r="O73" i="38" s="1"/>
  <c r="I70" i="38"/>
  <c r="H70" i="38"/>
  <c r="G70" i="38"/>
  <c r="G71" i="38" s="1"/>
  <c r="G72" i="38" s="1"/>
  <c r="G73" i="38" s="1"/>
  <c r="F70" i="38"/>
  <c r="F71" i="38" s="1"/>
  <c r="F72" i="38" s="1"/>
  <c r="F73" i="38" s="1"/>
  <c r="E70" i="38"/>
  <c r="E71" i="38" s="1"/>
  <c r="E72" i="38" s="1"/>
  <c r="E73" i="38" s="1"/>
  <c r="D70" i="38"/>
  <c r="D71" i="38" s="1"/>
  <c r="D72" i="38" s="1"/>
  <c r="D73" i="38" s="1"/>
  <c r="C70" i="38"/>
  <c r="C71" i="38" s="1"/>
  <c r="C72" i="38" s="1"/>
  <c r="C73" i="38" s="1"/>
  <c r="B70" i="38"/>
  <c r="B71" i="38" s="1"/>
  <c r="B72" i="38" s="1"/>
  <c r="B73" i="38" s="1"/>
  <c r="T69" i="38"/>
  <c r="AG69" i="38" s="1"/>
  <c r="AK68" i="38"/>
  <c r="AJ68" i="38"/>
  <c r="AG68" i="38"/>
  <c r="T68" i="38"/>
  <c r="AI68" i="38" s="1"/>
  <c r="AK67" i="38"/>
  <c r="AJ67" i="38"/>
  <c r="AG67" i="38"/>
  <c r="T67" i="38"/>
  <c r="AI67" i="38" s="1"/>
  <c r="AK66" i="38"/>
  <c r="AJ66" i="38"/>
  <c r="AG66" i="38"/>
  <c r="T66" i="38"/>
  <c r="AI66" i="38" s="1"/>
  <c r="AK65" i="38"/>
  <c r="AJ65" i="38"/>
  <c r="AG65" i="38"/>
  <c r="T65" i="38"/>
  <c r="AI65" i="38" s="1"/>
  <c r="AK64" i="38"/>
  <c r="AJ64" i="38"/>
  <c r="AG64" i="38"/>
  <c r="T64" i="38"/>
  <c r="AI64" i="38" s="1"/>
  <c r="Q64" i="38"/>
  <c r="Q65" i="38" s="1"/>
  <c r="Q66" i="38" s="1"/>
  <c r="Q67" i="38" s="1"/>
  <c r="Q68" i="38" s="1"/>
  <c r="P64" i="38"/>
  <c r="P65" i="38" s="1"/>
  <c r="P66" i="38" s="1"/>
  <c r="P67" i="38" s="1"/>
  <c r="P68" i="38" s="1"/>
  <c r="O64" i="38"/>
  <c r="O65" i="38" s="1"/>
  <c r="O66" i="38" s="1"/>
  <c r="O67" i="38" s="1"/>
  <c r="O68" i="38" s="1"/>
  <c r="E64" i="38"/>
  <c r="E65" i="38" s="1"/>
  <c r="E66" i="38" s="1"/>
  <c r="E67" i="38" s="1"/>
  <c r="E68" i="38" s="1"/>
  <c r="C64" i="38"/>
  <c r="C65" i="38" s="1"/>
  <c r="C66" i="38" s="1"/>
  <c r="C67" i="38" s="1"/>
  <c r="C68" i="38" s="1"/>
  <c r="T63" i="38"/>
  <c r="AG63" i="38" s="1"/>
  <c r="AK62" i="38"/>
  <c r="AJ62" i="38"/>
  <c r="AG62" i="38"/>
  <c r="AC62" i="38"/>
  <c r="Q62" i="38"/>
  <c r="P62" i="38"/>
  <c r="O62" i="38"/>
  <c r="H62" i="38"/>
  <c r="T62" i="38" s="1"/>
  <c r="AI62" i="38" s="1"/>
  <c r="G62" i="38"/>
  <c r="F62" i="38"/>
  <c r="E62" i="38"/>
  <c r="D62" i="38"/>
  <c r="C62" i="38"/>
  <c r="B62" i="38"/>
  <c r="T61" i="38"/>
  <c r="AG61" i="38" s="1"/>
  <c r="AK60" i="38"/>
  <c r="AJ60" i="38"/>
  <c r="AG60" i="38"/>
  <c r="AK59" i="38"/>
  <c r="AJ59" i="38"/>
  <c r="AG59" i="38"/>
  <c r="AK58" i="38"/>
  <c r="AJ58" i="38"/>
  <c r="AG58" i="38"/>
  <c r="AK57" i="38"/>
  <c r="AJ57" i="38"/>
  <c r="AG57" i="38"/>
  <c r="AK56" i="38"/>
  <c r="AJ56" i="38"/>
  <c r="AG56" i="38"/>
  <c r="AK55" i="38"/>
  <c r="AJ55" i="38"/>
  <c r="AG55" i="38"/>
  <c r="AC55" i="38"/>
  <c r="AC56" i="38" s="1"/>
  <c r="AC57" i="38" s="1"/>
  <c r="AC58" i="38" s="1"/>
  <c r="AC59" i="38" s="1"/>
  <c r="AC60" i="38" s="1"/>
  <c r="Q55" i="38"/>
  <c r="Q56" i="38" s="1"/>
  <c r="Q57" i="38" s="1"/>
  <c r="Q58" i="38" s="1"/>
  <c r="Q59" i="38" s="1"/>
  <c r="Q60" i="38" s="1"/>
  <c r="O55" i="38"/>
  <c r="O56" i="38" s="1"/>
  <c r="O57" i="38" s="1"/>
  <c r="O58" i="38" s="1"/>
  <c r="O59" i="38" s="1"/>
  <c r="O60" i="38" s="1"/>
  <c r="H55" i="38"/>
  <c r="G55" i="38"/>
  <c r="G56" i="38" s="1"/>
  <c r="G57" i="38" s="1"/>
  <c r="G58" i="38" s="1"/>
  <c r="G59" i="38" s="1"/>
  <c r="G60" i="38" s="1"/>
  <c r="F55" i="38"/>
  <c r="F56" i="38" s="1"/>
  <c r="F57" i="38" s="1"/>
  <c r="F58" i="38" s="1"/>
  <c r="F59" i="38" s="1"/>
  <c r="F60" i="38" s="1"/>
  <c r="E55" i="38"/>
  <c r="E56" i="38" s="1"/>
  <c r="E57" i="38" s="1"/>
  <c r="E58" i="38" s="1"/>
  <c r="E59" i="38" s="1"/>
  <c r="E60" i="38" s="1"/>
  <c r="D55" i="38"/>
  <c r="D56" i="38" s="1"/>
  <c r="D57" i="38" s="1"/>
  <c r="D58" i="38" s="1"/>
  <c r="D59" i="38" s="1"/>
  <c r="D60" i="38" s="1"/>
  <c r="C55" i="38"/>
  <c r="C56" i="38" s="1"/>
  <c r="C57" i="38" s="1"/>
  <c r="C58" i="38" s="1"/>
  <c r="C59" i="38" s="1"/>
  <c r="C60" i="38" s="1"/>
  <c r="B55" i="38"/>
  <c r="B56" i="38" s="1"/>
  <c r="B57" i="38" s="1"/>
  <c r="B58" i="38" s="1"/>
  <c r="B59" i="38" s="1"/>
  <c r="B60" i="38" s="1"/>
  <c r="T54" i="38"/>
  <c r="AG54" i="38" s="1"/>
  <c r="P54" i="38"/>
  <c r="P55" i="38" s="1"/>
  <c r="P56" i="38" s="1"/>
  <c r="P57" i="38" s="1"/>
  <c r="P58" i="38" s="1"/>
  <c r="P59" i="38" s="1"/>
  <c r="P60" i="38" s="1"/>
  <c r="AK53" i="38"/>
  <c r="AJ53" i="38"/>
  <c r="AG53" i="38"/>
  <c r="AK52" i="38"/>
  <c r="AJ52" i="38"/>
  <c r="AG52" i="38"/>
  <c r="AK51" i="38"/>
  <c r="AJ51" i="38"/>
  <c r="AG51" i="38"/>
  <c r="AK50" i="38"/>
  <c r="AJ50" i="38"/>
  <c r="AG50" i="38"/>
  <c r="AK49" i="38"/>
  <c r="AJ49" i="38"/>
  <c r="AG49" i="38"/>
  <c r="AC49" i="38"/>
  <c r="AC50" i="38" s="1"/>
  <c r="AC51" i="38" s="1"/>
  <c r="AC52" i="38" s="1"/>
  <c r="AC53" i="38" s="1"/>
  <c r="Q49" i="38"/>
  <c r="Q50" i="38" s="1"/>
  <c r="Q51" i="38" s="1"/>
  <c r="Q52" i="38" s="1"/>
  <c r="Q53" i="38" s="1"/>
  <c r="P49" i="38"/>
  <c r="P50" i="38" s="1"/>
  <c r="P51" i="38" s="1"/>
  <c r="P52" i="38" s="1"/>
  <c r="P53" i="38" s="1"/>
  <c r="O49" i="38"/>
  <c r="O50" i="38" s="1"/>
  <c r="O51" i="38" s="1"/>
  <c r="O52" i="38" s="1"/>
  <c r="O53" i="38" s="1"/>
  <c r="H49" i="38"/>
  <c r="G49" i="38"/>
  <c r="G50" i="38" s="1"/>
  <c r="G51" i="38" s="1"/>
  <c r="G52" i="38" s="1"/>
  <c r="G53" i="38" s="1"/>
  <c r="F49" i="38"/>
  <c r="F50" i="38" s="1"/>
  <c r="F51" i="38" s="1"/>
  <c r="F52" i="38" s="1"/>
  <c r="F53" i="38" s="1"/>
  <c r="E49" i="38"/>
  <c r="E50" i="38" s="1"/>
  <c r="E51" i="38" s="1"/>
  <c r="E52" i="38" s="1"/>
  <c r="E53" i="38" s="1"/>
  <c r="D49" i="38"/>
  <c r="D50" i="38" s="1"/>
  <c r="D51" i="38" s="1"/>
  <c r="D52" i="38" s="1"/>
  <c r="D53" i="38" s="1"/>
  <c r="C49" i="38"/>
  <c r="C50" i="38" s="1"/>
  <c r="C51" i="38" s="1"/>
  <c r="C52" i="38" s="1"/>
  <c r="C53" i="38" s="1"/>
  <c r="B49" i="38"/>
  <c r="B50" i="38" s="1"/>
  <c r="B51" i="38" s="1"/>
  <c r="B52" i="38" s="1"/>
  <c r="B53" i="38" s="1"/>
  <c r="T48" i="38"/>
  <c r="AG48" i="38" s="1"/>
  <c r="AK47" i="38"/>
  <c r="AJ47" i="38"/>
  <c r="AG47" i="38"/>
  <c r="AK46" i="38"/>
  <c r="AJ46" i="38"/>
  <c r="AG46" i="38"/>
  <c r="AK45" i="38"/>
  <c r="AJ45" i="38"/>
  <c r="AG45" i="38"/>
  <c r="AK44" i="38"/>
  <c r="AJ44" i="38"/>
  <c r="AG44" i="38"/>
  <c r="AK43" i="38"/>
  <c r="AJ43" i="38"/>
  <c r="AG43" i="38"/>
  <c r="AK42" i="38"/>
  <c r="AJ42" i="38"/>
  <c r="AG42" i="38"/>
  <c r="AK41" i="38"/>
  <c r="AJ41" i="38"/>
  <c r="AG41" i="38"/>
  <c r="AK40" i="38"/>
  <c r="AJ40" i="38"/>
  <c r="AG40" i="38"/>
  <c r="AK39" i="38"/>
  <c r="AJ39" i="38"/>
  <c r="AG39" i="38"/>
  <c r="AK38" i="38"/>
  <c r="AJ38" i="38"/>
  <c r="AG38" i="38"/>
  <c r="AK37" i="38"/>
  <c r="AJ37" i="38"/>
  <c r="AG37" i="38"/>
  <c r="AK36" i="38"/>
  <c r="AJ36" i="38"/>
  <c r="AG36" i="38"/>
  <c r="AK35" i="38"/>
  <c r="AJ35" i="38"/>
  <c r="AG35" i="38"/>
  <c r="AK34" i="38"/>
  <c r="AJ34" i="38"/>
  <c r="AG34" i="38"/>
  <c r="G34" i="38"/>
  <c r="G35" i="38" s="1"/>
  <c r="G36" i="38" s="1"/>
  <c r="G37" i="38" s="1"/>
  <c r="G38" i="38" s="1"/>
  <c r="G39" i="38" s="1"/>
  <c r="G40" i="38" s="1"/>
  <c r="G41" i="38" s="1"/>
  <c r="G42" i="38" s="1"/>
  <c r="G43" i="38" s="1"/>
  <c r="G44" i="38" s="1"/>
  <c r="G45" i="38" s="1"/>
  <c r="G46" i="38" s="1"/>
  <c r="G47" i="38" s="1"/>
  <c r="F34" i="38"/>
  <c r="F35" i="38" s="1"/>
  <c r="F36" i="38" s="1"/>
  <c r="F37" i="38" s="1"/>
  <c r="F38" i="38" s="1"/>
  <c r="F39" i="38" s="1"/>
  <c r="F40" i="38" s="1"/>
  <c r="F41" i="38" s="1"/>
  <c r="F42" i="38" s="1"/>
  <c r="F43" i="38" s="1"/>
  <c r="F44" i="38" s="1"/>
  <c r="F45" i="38" s="1"/>
  <c r="F46" i="38" s="1"/>
  <c r="F47" i="38" s="1"/>
  <c r="AK33" i="38"/>
  <c r="AJ33" i="38"/>
  <c r="AG33" i="38"/>
  <c r="Q33" i="38"/>
  <c r="P33" i="38"/>
  <c r="P34" i="38" s="1"/>
  <c r="P35" i="38" s="1"/>
  <c r="P36" i="38" s="1"/>
  <c r="P37" i="38" s="1"/>
  <c r="P38" i="38" s="1"/>
  <c r="P39" i="38" s="1"/>
  <c r="P40" i="38" s="1"/>
  <c r="P41" i="38" s="1"/>
  <c r="P42" i="38" s="1"/>
  <c r="P43" i="38" s="1"/>
  <c r="P44" i="38" s="1"/>
  <c r="P45" i="38" s="1"/>
  <c r="P46" i="38" s="1"/>
  <c r="P47" i="38" s="1"/>
  <c r="O33" i="38"/>
  <c r="O34" i="38" s="1"/>
  <c r="O35" i="38" s="1"/>
  <c r="O36" i="38" s="1"/>
  <c r="O37" i="38" s="1"/>
  <c r="O38" i="38" s="1"/>
  <c r="O39" i="38" s="1"/>
  <c r="O40" i="38" s="1"/>
  <c r="O41" i="38" s="1"/>
  <c r="O42" i="38" s="1"/>
  <c r="O43" i="38" s="1"/>
  <c r="O44" i="38" s="1"/>
  <c r="O45" i="38" s="1"/>
  <c r="O46" i="38" s="1"/>
  <c r="O47" i="38" s="1"/>
  <c r="H33" i="38"/>
  <c r="E33" i="38"/>
  <c r="E34" i="38" s="1"/>
  <c r="E35" i="38" s="1"/>
  <c r="E36" i="38" s="1"/>
  <c r="E37" i="38" s="1"/>
  <c r="E38" i="38" s="1"/>
  <c r="E39" i="38" s="1"/>
  <c r="E40" i="38" s="1"/>
  <c r="E41" i="38" s="1"/>
  <c r="E42" i="38" s="1"/>
  <c r="E43" i="38" s="1"/>
  <c r="E44" i="38" s="1"/>
  <c r="E45" i="38" s="1"/>
  <c r="E46" i="38" s="1"/>
  <c r="E47" i="38" s="1"/>
  <c r="D33" i="38"/>
  <c r="D34" i="38" s="1"/>
  <c r="D35" i="38" s="1"/>
  <c r="D36" i="38" s="1"/>
  <c r="D37" i="38" s="1"/>
  <c r="D38" i="38" s="1"/>
  <c r="D39" i="38" s="1"/>
  <c r="D40" i="38" s="1"/>
  <c r="D41" i="38" s="1"/>
  <c r="D42" i="38" s="1"/>
  <c r="D43" i="38" s="1"/>
  <c r="D44" i="38" s="1"/>
  <c r="D45" i="38" s="1"/>
  <c r="D46" i="38" s="1"/>
  <c r="D47" i="38" s="1"/>
  <c r="C33" i="38"/>
  <c r="C34" i="38" s="1"/>
  <c r="C35" i="38" s="1"/>
  <c r="C36" i="38" s="1"/>
  <c r="C37" i="38" s="1"/>
  <c r="C38" i="38" s="1"/>
  <c r="C39" i="38" s="1"/>
  <c r="C40" i="38" s="1"/>
  <c r="C41" i="38" s="1"/>
  <c r="C42" i="38" s="1"/>
  <c r="C43" i="38" s="1"/>
  <c r="C44" i="38" s="1"/>
  <c r="C45" i="38" s="1"/>
  <c r="C46" i="38" s="1"/>
  <c r="C47" i="38" s="1"/>
  <c r="B33" i="38"/>
  <c r="B34" i="38" s="1"/>
  <c r="B35" i="38" s="1"/>
  <c r="B36" i="38" s="1"/>
  <c r="B37" i="38" s="1"/>
  <c r="B38" i="38" s="1"/>
  <c r="B39" i="38" s="1"/>
  <c r="B40" i="38" s="1"/>
  <c r="B41" i="38" s="1"/>
  <c r="B42" i="38" s="1"/>
  <c r="B43" i="38" s="1"/>
  <c r="B44" i="38" s="1"/>
  <c r="B45" i="38" s="1"/>
  <c r="B46" i="38" s="1"/>
  <c r="B47" i="38" s="1"/>
  <c r="T32" i="38"/>
  <c r="AG32" i="38" s="1"/>
  <c r="AK31" i="38"/>
  <c r="AJ31" i="38"/>
  <c r="AG31" i="38"/>
  <c r="AK30" i="38"/>
  <c r="AJ30" i="38"/>
  <c r="AG30" i="38"/>
  <c r="AK29" i="38"/>
  <c r="AJ29" i="38"/>
  <c r="AG29" i="38"/>
  <c r="AK28" i="38"/>
  <c r="AJ28" i="38"/>
  <c r="AG28" i="38"/>
  <c r="AK27" i="38"/>
  <c r="AJ27" i="38"/>
  <c r="AG27" i="38"/>
  <c r="AK26" i="38"/>
  <c r="AJ26" i="38"/>
  <c r="AG26" i="38"/>
  <c r="AK25" i="38"/>
  <c r="AJ25" i="38"/>
  <c r="AG25" i="38"/>
  <c r="AK24" i="38"/>
  <c r="AJ24" i="38"/>
  <c r="AG24" i="38"/>
  <c r="Q24" i="38"/>
  <c r="Q25" i="38" s="1"/>
  <c r="Q26" i="38" s="1"/>
  <c r="Q27" i="38" s="1"/>
  <c r="Q28" i="38" s="1"/>
  <c r="Q29" i="38" s="1"/>
  <c r="Q30" i="38" s="1"/>
  <c r="H24" i="38"/>
  <c r="G24" i="38"/>
  <c r="G25" i="38" s="1"/>
  <c r="G26" i="38" s="1"/>
  <c r="G27" i="38" s="1"/>
  <c r="G28" i="38" s="1"/>
  <c r="G29" i="38" s="1"/>
  <c r="G30" i="38" s="1"/>
  <c r="G31" i="38" s="1"/>
  <c r="F24" i="38"/>
  <c r="F25" i="38" s="1"/>
  <c r="F26" i="38" s="1"/>
  <c r="F27" i="38" s="1"/>
  <c r="F28" i="38" s="1"/>
  <c r="F29" i="38" s="1"/>
  <c r="F30" i="38" s="1"/>
  <c r="F31" i="38" s="1"/>
  <c r="E24" i="38"/>
  <c r="E25" i="38" s="1"/>
  <c r="E26" i="38" s="1"/>
  <c r="E27" i="38" s="1"/>
  <c r="E28" i="38" s="1"/>
  <c r="E29" i="38" s="1"/>
  <c r="E30" i="38" s="1"/>
  <c r="E31" i="38" s="1"/>
  <c r="D24" i="38"/>
  <c r="D25" i="38" s="1"/>
  <c r="D26" i="38" s="1"/>
  <c r="D27" i="38" s="1"/>
  <c r="D28" i="38" s="1"/>
  <c r="D29" i="38" s="1"/>
  <c r="D30" i="38" s="1"/>
  <c r="D31" i="38" s="1"/>
  <c r="B24" i="38"/>
  <c r="B25" i="38" s="1"/>
  <c r="B26" i="38" s="1"/>
  <c r="B27" i="38" s="1"/>
  <c r="B28" i="38" s="1"/>
  <c r="B29" i="38" s="1"/>
  <c r="B30" i="38" s="1"/>
  <c r="B31" i="38" s="1"/>
  <c r="T23" i="38"/>
  <c r="AG23" i="38" s="1"/>
  <c r="A23" i="38"/>
  <c r="A32" i="38" s="1"/>
  <c r="A48" i="38" s="1"/>
  <c r="A54" i="38" s="1"/>
  <c r="A61" i="38" s="1"/>
  <c r="A63" i="38" s="1"/>
  <c r="A69" i="38" s="1"/>
  <c r="A74" i="38" s="1"/>
  <c r="A81" i="38" s="1"/>
  <c r="A88" i="38" s="1"/>
  <c r="A95" i="38" s="1"/>
  <c r="A102" i="38" s="1"/>
  <c r="A111" i="38" s="1"/>
  <c r="A120" i="38" s="1"/>
  <c r="A132" i="38" s="1"/>
  <c r="A139" i="38" s="1"/>
  <c r="A145" i="38" s="1"/>
  <c r="A159" i="38" s="1"/>
  <c r="A173" i="38" s="1"/>
  <c r="A183" i="38" s="1"/>
  <c r="A195" i="38" s="1"/>
  <c r="A215" i="38" s="1"/>
  <c r="A252" i="38" s="1"/>
  <c r="A289" i="38" s="1"/>
  <c r="A294" i="38" s="1"/>
  <c r="A299" i="38" s="1"/>
  <c r="A309" i="38" s="1"/>
  <c r="A318" i="38" s="1"/>
  <c r="A323" i="38" s="1"/>
  <c r="A328" i="38" s="1"/>
  <c r="A333" i="38" s="1"/>
  <c r="A340" i="38" s="1"/>
  <c r="A347" i="38" s="1"/>
  <c r="A360" i="38" s="1"/>
  <c r="A373" i="38" s="1"/>
  <c r="A376" i="38" s="1"/>
  <c r="A383" i="38" s="1"/>
  <c r="A390" i="38" s="1"/>
  <c r="A397" i="38" s="1"/>
  <c r="A410" i="38" s="1"/>
  <c r="A421" i="38" s="1"/>
  <c r="A433" i="38" s="1"/>
  <c r="A446" i="38" s="1"/>
  <c r="A452" i="38" s="1"/>
  <c r="A464" i="38" s="1"/>
  <c r="A476" i="38" s="1"/>
  <c r="A490" i="38" s="1"/>
  <c r="A491" i="38" s="1"/>
  <c r="A500" i="38" s="1"/>
  <c r="A516" i="38" s="1"/>
  <c r="A532" i="38" s="1"/>
  <c r="A545" i="38" s="1"/>
  <c r="AK22" i="38"/>
  <c r="AJ22" i="38"/>
  <c r="AG22" i="38"/>
  <c r="AK21" i="38"/>
  <c r="AJ21" i="38"/>
  <c r="AG21" i="38"/>
  <c r="AK20" i="38"/>
  <c r="AJ20" i="38"/>
  <c r="AG20" i="38"/>
  <c r="AK19" i="38"/>
  <c r="AJ19" i="38"/>
  <c r="AG19" i="38"/>
  <c r="AK18" i="38"/>
  <c r="AJ18" i="38"/>
  <c r="AG18" i="38"/>
  <c r="AK17" i="38"/>
  <c r="AJ17" i="38"/>
  <c r="AG17" i="38"/>
  <c r="AK16" i="38"/>
  <c r="AJ16" i="38"/>
  <c r="AG16" i="38"/>
  <c r="AK15" i="38"/>
  <c r="AJ15" i="38"/>
  <c r="AG15" i="38"/>
  <c r="AK14" i="38"/>
  <c r="AJ14" i="38"/>
  <c r="AG14" i="38"/>
  <c r="AK13" i="38"/>
  <c r="AJ13" i="38"/>
  <c r="AG13" i="38"/>
  <c r="AK12" i="38"/>
  <c r="AJ12" i="38"/>
  <c r="AG12" i="38"/>
  <c r="AK11" i="38"/>
  <c r="AJ11" i="38"/>
  <c r="AG11" i="38"/>
  <c r="AK10" i="38"/>
  <c r="AJ10" i="38"/>
  <c r="AG10" i="38"/>
  <c r="AK9" i="38"/>
  <c r="AJ9" i="38"/>
  <c r="AG9" i="38"/>
  <c r="G9" i="38"/>
  <c r="G10" i="38" s="1"/>
  <c r="G11" i="38" s="1"/>
  <c r="G12" i="38" s="1"/>
  <c r="G13" i="38" s="1"/>
  <c r="G14" i="38" s="1"/>
  <c r="G15" i="38" s="1"/>
  <c r="G16" i="38" s="1"/>
  <c r="G17" i="38" s="1"/>
  <c r="G18" i="38" s="1"/>
  <c r="G19" i="38" s="1"/>
  <c r="G20" i="38" s="1"/>
  <c r="G21" i="38" s="1"/>
  <c r="G22" i="38" s="1"/>
  <c r="F9" i="38"/>
  <c r="F10" i="38" s="1"/>
  <c r="F11" i="38" s="1"/>
  <c r="F12" i="38" s="1"/>
  <c r="F13" i="38" s="1"/>
  <c r="F14" i="38" s="1"/>
  <c r="F15" i="38" s="1"/>
  <c r="F16" i="38" s="1"/>
  <c r="F17" i="38" s="1"/>
  <c r="F18" i="38" s="1"/>
  <c r="F19" i="38" s="1"/>
  <c r="F20" i="38" s="1"/>
  <c r="F21" i="38" s="1"/>
  <c r="F22" i="38" s="1"/>
  <c r="AK8" i="38"/>
  <c r="AJ8" i="38"/>
  <c r="AG8" i="38"/>
  <c r="Q8" i="38"/>
  <c r="Q9" i="38" s="1"/>
  <c r="Q10" i="38" s="1"/>
  <c r="Q11" i="38" s="1"/>
  <c r="Q12" i="38" s="1"/>
  <c r="Q13" i="38" s="1"/>
  <c r="Q14" i="38" s="1"/>
  <c r="Q15" i="38" s="1"/>
  <c r="Q16" i="38" s="1"/>
  <c r="Q17" i="38" s="1"/>
  <c r="Q18" i="38" s="1"/>
  <c r="Q19" i="38" s="1"/>
  <c r="Q20" i="38" s="1"/>
  <c r="Q21" i="38" s="1"/>
  <c r="Q22" i="38" s="1"/>
  <c r="P8" i="38"/>
  <c r="P9" i="38" s="1"/>
  <c r="P10" i="38" s="1"/>
  <c r="P11" i="38" s="1"/>
  <c r="P12" i="38" s="1"/>
  <c r="P13" i="38" s="1"/>
  <c r="P14" i="38" s="1"/>
  <c r="P15" i="38" s="1"/>
  <c r="P16" i="38" s="1"/>
  <c r="P17" i="38" s="1"/>
  <c r="P18" i="38" s="1"/>
  <c r="P19" i="38" s="1"/>
  <c r="P20" i="38" s="1"/>
  <c r="P21" i="38" s="1"/>
  <c r="P22" i="38" s="1"/>
  <c r="O8" i="38"/>
  <c r="O9" i="38" s="1"/>
  <c r="O10" i="38" s="1"/>
  <c r="O11" i="38" s="1"/>
  <c r="O12" i="38" s="1"/>
  <c r="O13" i="38" s="1"/>
  <c r="O14" i="38" s="1"/>
  <c r="O15" i="38" s="1"/>
  <c r="O16" i="38" s="1"/>
  <c r="O17" i="38" s="1"/>
  <c r="O18" i="38" s="1"/>
  <c r="O19" i="38" s="1"/>
  <c r="O20" i="38" s="1"/>
  <c r="O21" i="38" s="1"/>
  <c r="O22" i="38" s="1"/>
  <c r="H8" i="38"/>
  <c r="E8" i="38"/>
  <c r="E9" i="38" s="1"/>
  <c r="E10" i="38" s="1"/>
  <c r="E11" i="38" s="1"/>
  <c r="E12" i="38" s="1"/>
  <c r="E13" i="38" s="1"/>
  <c r="E14" i="38" s="1"/>
  <c r="E15" i="38" s="1"/>
  <c r="E16" i="38" s="1"/>
  <c r="E17" i="38" s="1"/>
  <c r="E18" i="38" s="1"/>
  <c r="E19" i="38" s="1"/>
  <c r="E20" i="38" s="1"/>
  <c r="E21" i="38" s="1"/>
  <c r="E22" i="38" s="1"/>
  <c r="D8" i="38"/>
  <c r="C8" i="38"/>
  <c r="B8" i="38"/>
  <c r="B9" i="38" s="1"/>
  <c r="B10" i="38" s="1"/>
  <c r="B11" i="38" s="1"/>
  <c r="B12" i="38" s="1"/>
  <c r="B13" i="38" s="1"/>
  <c r="B14" i="38" s="1"/>
  <c r="B15" i="38" s="1"/>
  <c r="B16" i="38" s="1"/>
  <c r="B17" i="38" s="1"/>
  <c r="B18" i="38" s="1"/>
  <c r="B19" i="38" s="1"/>
  <c r="B20" i="38" s="1"/>
  <c r="B21" i="38" s="1"/>
  <c r="B22" i="38" s="1"/>
  <c r="T7" i="38"/>
  <c r="AG7" i="38" s="1"/>
  <c r="C1" i="38"/>
  <c r="M84" i="37"/>
  <c r="B84" i="37"/>
  <c r="M83" i="37"/>
  <c r="B83" i="37"/>
  <c r="M82" i="37"/>
  <c r="B82" i="37"/>
  <c r="M81" i="37"/>
  <c r="B81" i="37"/>
  <c r="M80" i="37"/>
  <c r="B80" i="37"/>
  <c r="M79" i="37"/>
  <c r="B79" i="37"/>
  <c r="M78" i="37"/>
  <c r="B78" i="37"/>
  <c r="M77" i="37"/>
  <c r="B77" i="37"/>
  <c r="M76" i="37"/>
  <c r="B76" i="37"/>
  <c r="M75" i="37"/>
  <c r="B75" i="37"/>
  <c r="M74" i="37"/>
  <c r="B74" i="37"/>
  <c r="M73" i="37"/>
  <c r="B73" i="37"/>
  <c r="M72" i="37"/>
  <c r="B72" i="37"/>
  <c r="M71" i="37"/>
  <c r="B71" i="37"/>
  <c r="M70" i="37"/>
  <c r="B70" i="37"/>
  <c r="M69" i="37"/>
  <c r="B69" i="37"/>
  <c r="M68" i="37"/>
  <c r="B68" i="37"/>
  <c r="M67" i="37"/>
  <c r="B67" i="37"/>
  <c r="M66" i="37"/>
  <c r="B66" i="37"/>
  <c r="M65" i="37"/>
  <c r="B65" i="37"/>
  <c r="M64" i="37"/>
  <c r="B64" i="37"/>
  <c r="M63" i="37"/>
  <c r="B63" i="37"/>
  <c r="M62" i="37"/>
  <c r="B62" i="37"/>
  <c r="M61" i="37"/>
  <c r="B61" i="37"/>
  <c r="M60" i="37"/>
  <c r="B60" i="37"/>
  <c r="M59" i="37"/>
  <c r="B59" i="37"/>
  <c r="M58" i="37"/>
  <c r="B58" i="37"/>
  <c r="M57" i="37"/>
  <c r="B57" i="37"/>
  <c r="M56" i="37"/>
  <c r="B56" i="37"/>
  <c r="J55" i="37"/>
  <c r="M55" i="37" s="1"/>
  <c r="B55" i="37"/>
  <c r="M54" i="37"/>
  <c r="B54" i="37"/>
  <c r="M53" i="37"/>
  <c r="B53" i="37"/>
  <c r="M52" i="37"/>
  <c r="B52" i="37"/>
  <c r="M51" i="37"/>
  <c r="B51" i="37"/>
  <c r="B50" i="37"/>
  <c r="M49" i="37"/>
  <c r="B49" i="37"/>
  <c r="M48" i="37"/>
  <c r="B48" i="37"/>
  <c r="M47" i="37"/>
  <c r="B47" i="37"/>
  <c r="M46" i="37"/>
  <c r="B46" i="37"/>
  <c r="M45" i="37"/>
  <c r="B45" i="37"/>
  <c r="M44" i="37"/>
  <c r="B44" i="37"/>
  <c r="L43" i="37"/>
  <c r="M43" i="37" s="1"/>
  <c r="B43" i="37"/>
  <c r="L42" i="37"/>
  <c r="B42" i="37"/>
  <c r="M41" i="37"/>
  <c r="B41" i="37"/>
  <c r="M40" i="37"/>
  <c r="B40" i="37"/>
  <c r="M39" i="37"/>
  <c r="B39" i="37"/>
  <c r="M38" i="37"/>
  <c r="B38" i="37"/>
  <c r="M37" i="37"/>
  <c r="B37" i="37"/>
  <c r="M36" i="37"/>
  <c r="B36" i="37"/>
  <c r="K35" i="37"/>
  <c r="M35" i="37" s="1"/>
  <c r="B35" i="37"/>
  <c r="K34" i="37"/>
  <c r="M34" i="37" s="1"/>
  <c r="B34" i="37"/>
  <c r="M33" i="37"/>
  <c r="B33" i="37"/>
  <c r="M32" i="37"/>
  <c r="B32" i="37"/>
  <c r="M31" i="37"/>
  <c r="B31" i="37"/>
  <c r="M30" i="37"/>
  <c r="B30" i="37"/>
  <c r="M29" i="37"/>
  <c r="B29" i="37"/>
  <c r="M28" i="37"/>
  <c r="B28" i="37"/>
  <c r="M27" i="37"/>
  <c r="B27" i="37"/>
  <c r="M26" i="37"/>
  <c r="B26" i="37"/>
  <c r="M25" i="37"/>
  <c r="B25" i="37"/>
  <c r="M24" i="37"/>
  <c r="B24" i="37"/>
  <c r="B23" i="37"/>
  <c r="M22" i="37"/>
  <c r="B22" i="37"/>
  <c r="B21" i="37"/>
  <c r="M20" i="37"/>
  <c r="B20" i="37"/>
  <c r="M19" i="37"/>
  <c r="B19" i="37"/>
  <c r="M18" i="37"/>
  <c r="B18" i="37"/>
  <c r="B17" i="37"/>
  <c r="M16" i="37"/>
  <c r="B16" i="37"/>
  <c r="M15" i="37"/>
  <c r="B15" i="37"/>
  <c r="M14" i="37"/>
  <c r="B14" i="37"/>
  <c r="M13" i="37"/>
  <c r="B13" i="37"/>
  <c r="M12" i="37"/>
  <c r="B12" i="37"/>
  <c r="M11" i="37"/>
  <c r="B11" i="37"/>
  <c r="M10" i="37"/>
  <c r="B10" i="37"/>
  <c r="M9" i="37"/>
  <c r="B9" i="37"/>
  <c r="M8" i="37"/>
  <c r="B8" i="37"/>
  <c r="M7" i="37"/>
  <c r="B7" i="37"/>
  <c r="S2" i="37"/>
  <c r="S1" i="37"/>
  <c r="S3" i="37" s="1"/>
  <c r="F62" i="6" l="1"/>
  <c r="T453" i="38"/>
  <c r="AI453" i="38" s="1"/>
  <c r="H454" i="38"/>
  <c r="T300" i="38"/>
  <c r="AI300" i="38" s="1"/>
  <c r="H301" i="38"/>
  <c r="H296" i="38"/>
  <c r="T295" i="38"/>
  <c r="AI295" i="38" s="1"/>
  <c r="H134" i="38"/>
  <c r="T133" i="38"/>
  <c r="AI133" i="38" s="1"/>
  <c r="AB252" i="38"/>
  <c r="AB253" i="38" s="1"/>
  <c r="AB254" i="38" s="1"/>
  <c r="AB255" i="38" s="1"/>
  <c r="AB256" i="38" s="1"/>
  <c r="AB257" i="38" s="1"/>
  <c r="AB258" i="38" s="1"/>
  <c r="AB259" i="38" s="1"/>
  <c r="AB260" i="38" s="1"/>
  <c r="AB261" i="38" s="1"/>
  <c r="AB262" i="38" s="1"/>
  <c r="AB263" i="38" s="1"/>
  <c r="AB264" i="38" s="1"/>
  <c r="AB265" i="38" s="1"/>
  <c r="AB266" i="38" s="1"/>
  <c r="AB267" i="38" s="1"/>
  <c r="AB268" i="38" s="1"/>
  <c r="AB269" i="38" s="1"/>
  <c r="AB270" i="38" s="1"/>
  <c r="AB271" i="38" s="1"/>
  <c r="AB272" i="38" s="1"/>
  <c r="AB273" i="38" s="1"/>
  <c r="AB274" i="38" s="1"/>
  <c r="AB275" i="38" s="1"/>
  <c r="AB276" i="38" s="1"/>
  <c r="AB277" i="38" s="1"/>
  <c r="AB278" i="38" s="1"/>
  <c r="AB279" i="38" s="1"/>
  <c r="AB280" i="38" s="1"/>
  <c r="AB281" i="38" s="1"/>
  <c r="AB282" i="38" s="1"/>
  <c r="AB283" i="38" s="1"/>
  <c r="AB284" i="38" s="1"/>
  <c r="AB285" i="38" s="1"/>
  <c r="AB286" i="38" s="1"/>
  <c r="AB287" i="38" s="1"/>
  <c r="AB288" i="38" s="1"/>
  <c r="AA252" i="38"/>
  <c r="AA253" i="38" s="1"/>
  <c r="AA254" i="38" s="1"/>
  <c r="AA255" i="38" s="1"/>
  <c r="AA256" i="38" s="1"/>
  <c r="AA257" i="38" s="1"/>
  <c r="AA258" i="38" s="1"/>
  <c r="AA259" i="38" s="1"/>
  <c r="AA260" i="38" s="1"/>
  <c r="AA261" i="38" s="1"/>
  <c r="AA262" i="38" s="1"/>
  <c r="AA263" i="38" s="1"/>
  <c r="AA264" i="38" s="1"/>
  <c r="AA265" i="38" s="1"/>
  <c r="AA266" i="38" s="1"/>
  <c r="AA267" i="38" s="1"/>
  <c r="AA268" i="38" s="1"/>
  <c r="AA269" i="38" s="1"/>
  <c r="AA270" i="38" s="1"/>
  <c r="AA271" i="38" s="1"/>
  <c r="AA272" i="38" s="1"/>
  <c r="AA273" i="38" s="1"/>
  <c r="AA274" i="38" s="1"/>
  <c r="AA275" i="38" s="1"/>
  <c r="AA276" i="38" s="1"/>
  <c r="AA277" i="38" s="1"/>
  <c r="AA278" i="38" s="1"/>
  <c r="AA279" i="38" s="1"/>
  <c r="AA280" i="38" s="1"/>
  <c r="AA281" i="38" s="1"/>
  <c r="AA282" i="38" s="1"/>
  <c r="AA283" i="38" s="1"/>
  <c r="AA284" i="38" s="1"/>
  <c r="AA285" i="38" s="1"/>
  <c r="AA286" i="38" s="1"/>
  <c r="AA287" i="38" s="1"/>
  <c r="AA288" i="38" s="1"/>
  <c r="AB32" i="38"/>
  <c r="AB33" i="38" s="1"/>
  <c r="AB34" i="38" s="1"/>
  <c r="AB35" i="38" s="1"/>
  <c r="AB36" i="38" s="1"/>
  <c r="AB37" i="38" s="1"/>
  <c r="AB38" i="38" s="1"/>
  <c r="AB39" i="38" s="1"/>
  <c r="AB40" i="38" s="1"/>
  <c r="AB41" i="38" s="1"/>
  <c r="AB42" i="38" s="1"/>
  <c r="AB43" i="38" s="1"/>
  <c r="AB44" i="38" s="1"/>
  <c r="AB45" i="38" s="1"/>
  <c r="AB46" i="38" s="1"/>
  <c r="AB47" i="38" s="1"/>
  <c r="AA32" i="38"/>
  <c r="AA33" i="38" s="1"/>
  <c r="AA34" i="38" s="1"/>
  <c r="AA35" i="38" s="1"/>
  <c r="AA36" i="38" s="1"/>
  <c r="AA37" i="38" s="1"/>
  <c r="AA38" i="38" s="1"/>
  <c r="AA39" i="38" s="1"/>
  <c r="AA40" i="38" s="1"/>
  <c r="AA41" i="38" s="1"/>
  <c r="AA42" i="38" s="1"/>
  <c r="AA43" i="38" s="1"/>
  <c r="AA44" i="38" s="1"/>
  <c r="AA45" i="38" s="1"/>
  <c r="AA46" i="38" s="1"/>
  <c r="AA47" i="38" s="1"/>
  <c r="AB452" i="38"/>
  <c r="AB453" i="38" s="1"/>
  <c r="AB454" i="38" s="1"/>
  <c r="AB455" i="38" s="1"/>
  <c r="AB456" i="38" s="1"/>
  <c r="AB457" i="38" s="1"/>
  <c r="AB458" i="38" s="1"/>
  <c r="AB459" i="38" s="1"/>
  <c r="AB460" i="38" s="1"/>
  <c r="AB461" i="38" s="1"/>
  <c r="AB462" i="38" s="1"/>
  <c r="AB463" i="38" s="1"/>
  <c r="H547" i="38"/>
  <c r="T546" i="38"/>
  <c r="AI546" i="38" s="1"/>
  <c r="H534" i="38"/>
  <c r="T533" i="38"/>
  <c r="AI533" i="38" s="1"/>
  <c r="H518" i="38"/>
  <c r="T517" i="38"/>
  <c r="AI517" i="38" s="1"/>
  <c r="T501" i="38"/>
  <c r="AI501" i="38" s="1"/>
  <c r="H502" i="38"/>
  <c r="T492" i="38"/>
  <c r="AI492" i="38" s="1"/>
  <c r="H493" i="38"/>
  <c r="H478" i="38"/>
  <c r="T477" i="38"/>
  <c r="AI477" i="38" s="1"/>
  <c r="H466" i="38"/>
  <c r="T465" i="38"/>
  <c r="AI465" i="38" s="1"/>
  <c r="H455" i="38"/>
  <c r="T454" i="38"/>
  <c r="AI454" i="38" s="1"/>
  <c r="T447" i="38"/>
  <c r="AI447" i="38" s="1"/>
  <c r="H448" i="38"/>
  <c r="H435" i="38"/>
  <c r="T434" i="38"/>
  <c r="AI434" i="38" s="1"/>
  <c r="T422" i="38"/>
  <c r="AI422" i="38" s="1"/>
  <c r="H423" i="38"/>
  <c r="T411" i="38"/>
  <c r="AI411" i="38" s="1"/>
  <c r="H412" i="38"/>
  <c r="H399" i="38"/>
  <c r="T398" i="38"/>
  <c r="AI398" i="38" s="1"/>
  <c r="T391" i="38"/>
  <c r="AI391" i="38" s="1"/>
  <c r="H392" i="38"/>
  <c r="H385" i="38"/>
  <c r="T384" i="38"/>
  <c r="AI384" i="38" s="1"/>
  <c r="H378" i="38"/>
  <c r="T377" i="38"/>
  <c r="AI377" i="38" s="1"/>
  <c r="H375" i="38"/>
  <c r="T375" i="38" s="1"/>
  <c r="AI375" i="38" s="1"/>
  <c r="T374" i="38"/>
  <c r="AI374" i="38" s="1"/>
  <c r="H362" i="38"/>
  <c r="T361" i="38"/>
  <c r="AI361" i="38" s="1"/>
  <c r="H349" i="38"/>
  <c r="T348" i="38"/>
  <c r="AI348" i="38" s="1"/>
  <c r="H342" i="38"/>
  <c r="T341" i="38"/>
  <c r="AI341" i="38" s="1"/>
  <c r="T334" i="38"/>
  <c r="AI334" i="38" s="1"/>
  <c r="H335" i="38"/>
  <c r="T329" i="38"/>
  <c r="AI329" i="38" s="1"/>
  <c r="H330" i="38"/>
  <c r="T324" i="38"/>
  <c r="AI324" i="38" s="1"/>
  <c r="H325" i="38"/>
  <c r="H320" i="38"/>
  <c r="T319" i="38"/>
  <c r="AI319" i="38" s="1"/>
  <c r="T310" i="38"/>
  <c r="AI310" i="38" s="1"/>
  <c r="H311" i="38"/>
  <c r="T301" i="38"/>
  <c r="AI301" i="38" s="1"/>
  <c r="H302" i="38"/>
  <c r="H297" i="38"/>
  <c r="T296" i="38"/>
  <c r="AI296" i="38" s="1"/>
  <c r="T290" i="38"/>
  <c r="AI290" i="38" s="1"/>
  <c r="H291" i="38"/>
  <c r="Q254" i="38"/>
  <c r="Q246" i="38"/>
  <c r="H185" i="38"/>
  <c r="T184" i="38"/>
  <c r="AI184" i="38" s="1"/>
  <c r="H175" i="38"/>
  <c r="T174" i="38"/>
  <c r="AI174" i="38" s="1"/>
  <c r="H161" i="38"/>
  <c r="T160" i="38"/>
  <c r="AI160" i="38" s="1"/>
  <c r="T145" i="38"/>
  <c r="AG145" i="38" s="1"/>
  <c r="H146" i="38"/>
  <c r="T134" i="38"/>
  <c r="AI134" i="38" s="1"/>
  <c r="H135" i="38"/>
  <c r="T121" i="38"/>
  <c r="AI121" i="38" s="1"/>
  <c r="H122" i="38"/>
  <c r="T112" i="38"/>
  <c r="AI112" i="38" s="1"/>
  <c r="H113" i="38"/>
  <c r="T103" i="38"/>
  <c r="AI103" i="38" s="1"/>
  <c r="H104" i="38"/>
  <c r="H90" i="38"/>
  <c r="T89" i="38"/>
  <c r="AI89" i="38" s="1"/>
  <c r="H83" i="38"/>
  <c r="T82" i="38"/>
  <c r="AI82" i="38" s="1"/>
  <c r="H75" i="38"/>
  <c r="T74" i="38"/>
  <c r="AG74" i="38" s="1"/>
  <c r="T70" i="38"/>
  <c r="AI70" i="38" s="1"/>
  <c r="H71" i="38"/>
  <c r="H56" i="38"/>
  <c r="T55" i="38"/>
  <c r="AI55" i="38" s="1"/>
  <c r="H50" i="38"/>
  <c r="T49" i="38"/>
  <c r="AI49" i="38" s="1"/>
  <c r="Q34" i="38"/>
  <c r="H34" i="38"/>
  <c r="T33" i="38"/>
  <c r="AI33" i="38" s="1"/>
  <c r="Q31" i="38"/>
  <c r="H25" i="38"/>
  <c r="T24" i="38"/>
  <c r="AI24" i="38" s="1"/>
  <c r="H9" i="38"/>
  <c r="T8" i="38"/>
  <c r="AI8" i="38" s="1"/>
  <c r="D9" i="38"/>
  <c r="C9" i="38"/>
  <c r="AG5" i="38"/>
  <c r="AA390" i="38"/>
  <c r="AA391" i="38" s="1"/>
  <c r="AA392" i="38" s="1"/>
  <c r="AA393" i="38" s="1"/>
  <c r="AA394" i="38" s="1"/>
  <c r="AA395" i="38" s="1"/>
  <c r="AA396" i="38" s="1"/>
  <c r="AA383" i="38"/>
  <c r="AA384" i="38" s="1"/>
  <c r="AA385" i="38" s="1"/>
  <c r="AA386" i="38" s="1"/>
  <c r="AA387" i="38" s="1"/>
  <c r="AA388" i="38" s="1"/>
  <c r="AA389" i="38" s="1"/>
  <c r="AA376" i="38"/>
  <c r="AA377" i="38" s="1"/>
  <c r="AA378" i="38" s="1"/>
  <c r="AA379" i="38" s="1"/>
  <c r="AA380" i="38" s="1"/>
  <c r="AA381" i="38" s="1"/>
  <c r="AA382" i="38" s="1"/>
  <c r="AA373" i="38"/>
  <c r="AA374" i="38" s="1"/>
  <c r="AA375" i="38" s="1"/>
  <c r="AB360" i="38"/>
  <c r="AB361" i="38" s="1"/>
  <c r="AB362" i="38" s="1"/>
  <c r="AB363" i="38" s="1"/>
  <c r="AB364" i="38" s="1"/>
  <c r="AB365" i="38" s="1"/>
  <c r="AB366" i="38" s="1"/>
  <c r="AB367" i="38" s="1"/>
  <c r="AB368" i="38" s="1"/>
  <c r="AB369" i="38" s="1"/>
  <c r="AB370" i="38" s="1"/>
  <c r="AB371" i="38" s="1"/>
  <c r="AB372" i="38" s="1"/>
  <c r="W550" i="38"/>
  <c r="AB318" i="38"/>
  <c r="AB319" i="38" s="1"/>
  <c r="AB320" i="38" s="1"/>
  <c r="AB321" i="38" s="1"/>
  <c r="AB322" i="38" s="1"/>
  <c r="AB309" i="38"/>
  <c r="AB310" i="38" s="1"/>
  <c r="AB311" i="38" s="1"/>
  <c r="AB312" i="38" s="1"/>
  <c r="AB313" i="38" s="1"/>
  <c r="AB314" i="38" s="1"/>
  <c r="AB315" i="38" s="1"/>
  <c r="AB316" i="38" s="1"/>
  <c r="AB317" i="38" s="1"/>
  <c r="AB347" i="38"/>
  <c r="AB348" i="38" s="1"/>
  <c r="AB349" i="38" s="1"/>
  <c r="AB350" i="38" s="1"/>
  <c r="AB351" i="38" s="1"/>
  <c r="AB352" i="38" s="1"/>
  <c r="AB353" i="38" s="1"/>
  <c r="AB354" i="38" s="1"/>
  <c r="AB355" i="38" s="1"/>
  <c r="AB356" i="38" s="1"/>
  <c r="AB357" i="38" s="1"/>
  <c r="AB358" i="38" s="1"/>
  <c r="AB359" i="38" s="1"/>
  <c r="AA347" i="38"/>
  <c r="AA348" i="38" s="1"/>
  <c r="AA349" i="38" s="1"/>
  <c r="AA350" i="38" s="1"/>
  <c r="AA351" i="38" s="1"/>
  <c r="AA352" i="38" s="1"/>
  <c r="AA353" i="38" s="1"/>
  <c r="AA354" i="38" s="1"/>
  <c r="AA355" i="38" s="1"/>
  <c r="AA356" i="38" s="1"/>
  <c r="AA357" i="38" s="1"/>
  <c r="AA358" i="38" s="1"/>
  <c r="AA359" i="38" s="1"/>
  <c r="AB340" i="38"/>
  <c r="AB341" i="38" s="1"/>
  <c r="AB342" i="38" s="1"/>
  <c r="AB343" i="38" s="1"/>
  <c r="AB344" i="38" s="1"/>
  <c r="AB345" i="38" s="1"/>
  <c r="AB346" i="38" s="1"/>
  <c r="AA340" i="38"/>
  <c r="AA341" i="38" s="1"/>
  <c r="AA342" i="38" s="1"/>
  <c r="AA343" i="38" s="1"/>
  <c r="AA344" i="38" s="1"/>
  <c r="AA345" i="38" s="1"/>
  <c r="AA346" i="38" s="1"/>
  <c r="AB333" i="38"/>
  <c r="AB334" i="38" s="1"/>
  <c r="AB335" i="38" s="1"/>
  <c r="AB336" i="38" s="1"/>
  <c r="AB337" i="38" s="1"/>
  <c r="AB338" i="38" s="1"/>
  <c r="AB339" i="38" s="1"/>
  <c r="AA333" i="38"/>
  <c r="AA334" i="38" s="1"/>
  <c r="AA335" i="38" s="1"/>
  <c r="AA336" i="38" s="1"/>
  <c r="AA337" i="38" s="1"/>
  <c r="AA338" i="38" s="1"/>
  <c r="AA339" i="38" s="1"/>
  <c r="AA318" i="38"/>
  <c r="AA319" i="38" s="1"/>
  <c r="AA320" i="38" s="1"/>
  <c r="AA321" i="38" s="1"/>
  <c r="AA322" i="38" s="1"/>
  <c r="AB299" i="38"/>
  <c r="AB300" i="38" s="1"/>
  <c r="AB301" i="38" s="1"/>
  <c r="AB302" i="38" s="1"/>
  <c r="AB303" i="38" s="1"/>
  <c r="AB304" i="38" s="1"/>
  <c r="AB305" i="38" s="1"/>
  <c r="AB306" i="38" s="1"/>
  <c r="AB307" i="38" s="1"/>
  <c r="AB308" i="38" s="1"/>
  <c r="AB294" i="38"/>
  <c r="AB295" i="38" s="1"/>
  <c r="AB296" i="38" s="1"/>
  <c r="AB297" i="38" s="1"/>
  <c r="AB298" i="38" s="1"/>
  <c r="AA294" i="38"/>
  <c r="AA295" i="38" s="1"/>
  <c r="AA296" i="38" s="1"/>
  <c r="AA297" i="38" s="1"/>
  <c r="AA298" i="38" s="1"/>
  <c r="AA328" i="38"/>
  <c r="AA329" i="38" s="1"/>
  <c r="AA330" i="38" s="1"/>
  <c r="AA331" i="38" s="1"/>
  <c r="AA332" i="38" s="1"/>
  <c r="AB95" i="38"/>
  <c r="AB96" i="38" s="1"/>
  <c r="AB97" i="38" s="1"/>
  <c r="AB98" i="38" s="1"/>
  <c r="AB99" i="38" s="1"/>
  <c r="AB100" i="38" s="1"/>
  <c r="AB101" i="38" s="1"/>
  <c r="AA95" i="38"/>
  <c r="AA96" i="38" s="1"/>
  <c r="AA97" i="38" s="1"/>
  <c r="AA98" i="38" s="1"/>
  <c r="AA99" i="38" s="1"/>
  <c r="AA100" i="38" s="1"/>
  <c r="AA101" i="38" s="1"/>
  <c r="AB88" i="38"/>
  <c r="AB89" i="38" s="1"/>
  <c r="AB90" i="38" s="1"/>
  <c r="AB91" i="38" s="1"/>
  <c r="AB92" i="38" s="1"/>
  <c r="AB93" i="38" s="1"/>
  <c r="AB94" i="38" s="1"/>
  <c r="AA88" i="38"/>
  <c r="AA89" i="38" s="1"/>
  <c r="AA90" i="38" s="1"/>
  <c r="AA91" i="38" s="1"/>
  <c r="AA92" i="38" s="1"/>
  <c r="AA93" i="38" s="1"/>
  <c r="AA94" i="38" s="1"/>
  <c r="AB81" i="38"/>
  <c r="AB82" i="38" s="1"/>
  <c r="AB83" i="38" s="1"/>
  <c r="AB84" i="38" s="1"/>
  <c r="AB85" i="38" s="1"/>
  <c r="AB86" i="38" s="1"/>
  <c r="AB87" i="38" s="1"/>
  <c r="AA81" i="38"/>
  <c r="AA82" i="38" s="1"/>
  <c r="AA83" i="38" s="1"/>
  <c r="AA84" i="38" s="1"/>
  <c r="AA85" i="38" s="1"/>
  <c r="AA86" i="38" s="1"/>
  <c r="AA87" i="38" s="1"/>
  <c r="AB74" i="38"/>
  <c r="AB75" i="38" s="1"/>
  <c r="AB76" i="38" s="1"/>
  <c r="AB77" i="38" s="1"/>
  <c r="AB78" i="38" s="1"/>
  <c r="AB79" i="38" s="1"/>
  <c r="AB80" i="38" s="1"/>
  <c r="AA74" i="38"/>
  <c r="AA75" i="38" s="1"/>
  <c r="AA76" i="38" s="1"/>
  <c r="AA77" i="38" s="1"/>
  <c r="AA78" i="38" s="1"/>
  <c r="AA79" i="38" s="1"/>
  <c r="AA80" i="38" s="1"/>
  <c r="AB69" i="38"/>
  <c r="AB70" i="38" s="1"/>
  <c r="AB71" i="38" s="1"/>
  <c r="AB72" i="38" s="1"/>
  <c r="AB73" i="38" s="1"/>
  <c r="AA69" i="38"/>
  <c r="AA70" i="38" s="1"/>
  <c r="AA71" i="38" s="1"/>
  <c r="AA72" i="38" s="1"/>
  <c r="AA73" i="38" s="1"/>
  <c r="AB63" i="38"/>
  <c r="AB64" i="38" s="1"/>
  <c r="AB65" i="38" s="1"/>
  <c r="AB66" i="38" s="1"/>
  <c r="AB67" i="38" s="1"/>
  <c r="AB68" i="38" s="1"/>
  <c r="AA63" i="38"/>
  <c r="AA64" i="38" s="1"/>
  <c r="AA65" i="38" s="1"/>
  <c r="AA66" i="38" s="1"/>
  <c r="AA67" i="38" s="1"/>
  <c r="AA68" i="38" s="1"/>
  <c r="AB61" i="38"/>
  <c r="AB62" i="38" s="1"/>
  <c r="AA61" i="38"/>
  <c r="AA62" i="38" s="1"/>
  <c r="AB54" i="38"/>
  <c r="AB55" i="38" s="1"/>
  <c r="AB56" i="38" s="1"/>
  <c r="AB57" i="38" s="1"/>
  <c r="AB58" i="38" s="1"/>
  <c r="AB59" i="38" s="1"/>
  <c r="AB60" i="38" s="1"/>
  <c r="AA54" i="38"/>
  <c r="AA55" i="38" s="1"/>
  <c r="AA56" i="38" s="1"/>
  <c r="AA57" i="38" s="1"/>
  <c r="AA58" i="38" s="1"/>
  <c r="AA59" i="38" s="1"/>
  <c r="AA60" i="38" s="1"/>
  <c r="AB48" i="38"/>
  <c r="AB49" i="38" s="1"/>
  <c r="AB50" i="38" s="1"/>
  <c r="AB51" i="38" s="1"/>
  <c r="AB52" i="38" s="1"/>
  <c r="AB53" i="38" s="1"/>
  <c r="AA48" i="38"/>
  <c r="AA49" i="38" s="1"/>
  <c r="AA50" i="38" s="1"/>
  <c r="AA51" i="38" s="1"/>
  <c r="AA52" i="38" s="1"/>
  <c r="AA53" i="38" s="1"/>
  <c r="AB23" i="38"/>
  <c r="AB24" i="38" s="1"/>
  <c r="AB25" i="38" s="1"/>
  <c r="AB26" i="38" s="1"/>
  <c r="AB27" i="38" s="1"/>
  <c r="AB28" i="38" s="1"/>
  <c r="AB29" i="38" s="1"/>
  <c r="AB30" i="38" s="1"/>
  <c r="AB31" i="38" s="1"/>
  <c r="AA23" i="38"/>
  <c r="AA24" i="38" s="1"/>
  <c r="AA25" i="38" s="1"/>
  <c r="AA26" i="38" s="1"/>
  <c r="AA27" i="38" s="1"/>
  <c r="AA28" i="38" s="1"/>
  <c r="AA29" i="38" s="1"/>
  <c r="AA30" i="38" s="1"/>
  <c r="AA31" i="38" s="1"/>
  <c r="W549" i="38"/>
  <c r="W548" i="38"/>
  <c r="AB7" i="38"/>
  <c r="AB8" i="38" s="1"/>
  <c r="AB9" i="38" s="1"/>
  <c r="AB10" i="38" s="1"/>
  <c r="AB11" i="38" s="1"/>
  <c r="AB12" i="38" s="1"/>
  <c r="AB13" i="38" s="1"/>
  <c r="AB14" i="38" s="1"/>
  <c r="AB15" i="38" s="1"/>
  <c r="AB16" i="38" s="1"/>
  <c r="AB17" i="38" s="1"/>
  <c r="AB18" i="38" s="1"/>
  <c r="AB19" i="38" s="1"/>
  <c r="AB20" i="38" s="1"/>
  <c r="AB21" i="38" s="1"/>
  <c r="AB22" i="38" s="1"/>
  <c r="AA7" i="38"/>
  <c r="AA8" i="38" s="1"/>
  <c r="AA9" i="38" s="1"/>
  <c r="AA10" i="38" s="1"/>
  <c r="AA11" i="38" s="1"/>
  <c r="AA12" i="38" s="1"/>
  <c r="AA13" i="38" s="1"/>
  <c r="AA14" i="38" s="1"/>
  <c r="AA15" i="38" s="1"/>
  <c r="AA16" i="38" s="1"/>
  <c r="AA17" i="38" s="1"/>
  <c r="AA18" i="38" s="1"/>
  <c r="AA19" i="38" s="1"/>
  <c r="AA20" i="38" s="1"/>
  <c r="AA21" i="38" s="1"/>
  <c r="AA22" i="38" s="1"/>
  <c r="U5" i="38"/>
  <c r="W546" i="38"/>
  <c r="AA545" i="38"/>
  <c r="AA546" i="38" s="1"/>
  <c r="AA547" i="38" s="1"/>
  <c r="AA548" i="38" s="1"/>
  <c r="AA549" i="38" s="1"/>
  <c r="AA550" i="38" s="1"/>
  <c r="AA551" i="38" s="1"/>
  <c r="AA552" i="38" s="1"/>
  <c r="AA553" i="38" s="1"/>
  <c r="AA554" i="38" s="1"/>
  <c r="AA555" i="38" s="1"/>
  <c r="AA556" i="38" s="1"/>
  <c r="AA557" i="38" s="1"/>
  <c r="AA102" i="38"/>
  <c r="AA103" i="38" s="1"/>
  <c r="AA104" i="38" s="1"/>
  <c r="AA105" i="38" s="1"/>
  <c r="AA106" i="38" s="1"/>
  <c r="AA107" i="38" s="1"/>
  <c r="AA108" i="38" s="1"/>
  <c r="AA109" i="38" s="1"/>
  <c r="AA110" i="38" s="1"/>
  <c r="AB102" i="38"/>
  <c r="AB103" i="38" s="1"/>
  <c r="AB104" i="38" s="1"/>
  <c r="AB105" i="38" s="1"/>
  <c r="AB106" i="38" s="1"/>
  <c r="AB107" i="38" s="1"/>
  <c r="AB108" i="38" s="1"/>
  <c r="AB109" i="38" s="1"/>
  <c r="AB110" i="38" s="1"/>
  <c r="W557" i="38"/>
  <c r="W556" i="38"/>
  <c r="W555" i="38"/>
  <c r="W554" i="38"/>
  <c r="W553" i="38"/>
  <c r="W551" i="38"/>
  <c r="W547" i="38"/>
  <c r="W543" i="38"/>
  <c r="AB545" i="38"/>
  <c r="AB546" i="38" s="1"/>
  <c r="AB547" i="38" s="1"/>
  <c r="AB548" i="38" s="1"/>
  <c r="AB549" i="38" s="1"/>
  <c r="AB550" i="38" s="1"/>
  <c r="AB551" i="38" s="1"/>
  <c r="AB552" i="38" s="1"/>
  <c r="AB553" i="38" s="1"/>
  <c r="AB554" i="38" s="1"/>
  <c r="AB555" i="38" s="1"/>
  <c r="AB556" i="38" s="1"/>
  <c r="AB557" i="38" s="1"/>
  <c r="W541" i="38"/>
  <c r="W536" i="38"/>
  <c r="W540" i="38"/>
  <c r="AB532" i="38"/>
  <c r="AB533" i="38" s="1"/>
  <c r="AB534" i="38" s="1"/>
  <c r="AB535" i="38" s="1"/>
  <c r="AB536" i="38" s="1"/>
  <c r="AB537" i="38" s="1"/>
  <c r="AB538" i="38" s="1"/>
  <c r="AB539" i="38" s="1"/>
  <c r="AB540" i="38" s="1"/>
  <c r="AB541" i="38" s="1"/>
  <c r="AB542" i="38" s="1"/>
  <c r="AB543" i="38" s="1"/>
  <c r="AB544" i="38" s="1"/>
  <c r="AA532" i="38"/>
  <c r="AA533" i="38" s="1"/>
  <c r="AA534" i="38" s="1"/>
  <c r="AA535" i="38" s="1"/>
  <c r="AA536" i="38" s="1"/>
  <c r="AA537" i="38" s="1"/>
  <c r="AA538" i="38" s="1"/>
  <c r="AA539" i="38" s="1"/>
  <c r="AA540" i="38" s="1"/>
  <c r="AA541" i="38" s="1"/>
  <c r="AA542" i="38" s="1"/>
  <c r="AA543" i="38" s="1"/>
  <c r="AA544" i="38" s="1"/>
  <c r="W537" i="38"/>
  <c r="W533" i="38"/>
  <c r="AA111" i="38"/>
  <c r="AA112" i="38" s="1"/>
  <c r="AA113" i="38" s="1"/>
  <c r="AA114" i="38" s="1"/>
  <c r="AA115" i="38" s="1"/>
  <c r="AA116" i="38" s="1"/>
  <c r="AA117" i="38" s="1"/>
  <c r="AA118" i="38" s="1"/>
  <c r="AA119" i="38" s="1"/>
  <c r="AB111" i="38"/>
  <c r="AB112" i="38" s="1"/>
  <c r="AB113" i="38" s="1"/>
  <c r="AB114" i="38" s="1"/>
  <c r="AB115" i="38" s="1"/>
  <c r="AB116" i="38" s="1"/>
  <c r="AB117" i="38" s="1"/>
  <c r="AB118" i="38" s="1"/>
  <c r="AB119" i="38" s="1"/>
  <c r="AA516" i="38"/>
  <c r="AA517" i="38" s="1"/>
  <c r="AA518" i="38" s="1"/>
  <c r="AA519" i="38" s="1"/>
  <c r="AA520" i="38" s="1"/>
  <c r="AA521" i="38" s="1"/>
  <c r="AA522" i="38" s="1"/>
  <c r="AA523" i="38" s="1"/>
  <c r="AA524" i="38" s="1"/>
  <c r="AA525" i="38" s="1"/>
  <c r="AA526" i="38" s="1"/>
  <c r="AA527" i="38" s="1"/>
  <c r="AA528" i="38" s="1"/>
  <c r="AA529" i="38" s="1"/>
  <c r="AA530" i="38" s="1"/>
  <c r="AA531" i="38" s="1"/>
  <c r="AB476" i="38"/>
  <c r="AB477" i="38" s="1"/>
  <c r="AB478" i="38" s="1"/>
  <c r="AB479" i="38" s="1"/>
  <c r="AB480" i="38" s="1"/>
  <c r="AB481" i="38" s="1"/>
  <c r="AB482" i="38" s="1"/>
  <c r="AB483" i="38" s="1"/>
  <c r="AB484" i="38" s="1"/>
  <c r="AB485" i="38" s="1"/>
  <c r="AB486" i="38" s="1"/>
  <c r="AB487" i="38" s="1"/>
  <c r="AB488" i="38" s="1"/>
  <c r="AB489" i="38" s="1"/>
  <c r="AA120" i="38"/>
  <c r="AA121" i="38" s="1"/>
  <c r="AA122" i="38" s="1"/>
  <c r="AA123" i="38" s="1"/>
  <c r="AA124" i="38" s="1"/>
  <c r="AA125" i="38" s="1"/>
  <c r="AA126" i="38" s="1"/>
  <c r="AA127" i="38" s="1"/>
  <c r="AA128" i="38" s="1"/>
  <c r="AA129" i="38" s="1"/>
  <c r="AA130" i="38" s="1"/>
  <c r="AA131" i="38" s="1"/>
  <c r="AA452" i="38"/>
  <c r="AA453" i="38" s="1"/>
  <c r="AA454" i="38" s="1"/>
  <c r="AA455" i="38" s="1"/>
  <c r="AA456" i="38" s="1"/>
  <c r="AA457" i="38" s="1"/>
  <c r="AA458" i="38" s="1"/>
  <c r="AA459" i="38" s="1"/>
  <c r="AA460" i="38" s="1"/>
  <c r="AA461" i="38" s="1"/>
  <c r="AA462" i="38" s="1"/>
  <c r="AA463" i="38" s="1"/>
  <c r="AB120" i="38"/>
  <c r="AB121" i="38" s="1"/>
  <c r="AB122" i="38" s="1"/>
  <c r="AB123" i="38" s="1"/>
  <c r="AB124" i="38" s="1"/>
  <c r="AB125" i="38" s="1"/>
  <c r="AB126" i="38" s="1"/>
  <c r="AB127" i="38" s="1"/>
  <c r="AB128" i="38" s="1"/>
  <c r="AB129" i="38" s="1"/>
  <c r="AB130" i="38" s="1"/>
  <c r="AB131" i="38" s="1"/>
  <c r="AA433" i="38"/>
  <c r="AA434" i="38" s="1"/>
  <c r="AA435" i="38" s="1"/>
  <c r="AA436" i="38" s="1"/>
  <c r="AA437" i="38" s="1"/>
  <c r="AA438" i="38" s="1"/>
  <c r="AA439" i="38" s="1"/>
  <c r="AA440" i="38" s="1"/>
  <c r="AA441" i="38" s="1"/>
  <c r="AA442" i="38" s="1"/>
  <c r="AA443" i="38" s="1"/>
  <c r="AA444" i="38" s="1"/>
  <c r="AA445" i="38" s="1"/>
  <c r="AB421" i="38"/>
  <c r="AB422" i="38" s="1"/>
  <c r="AB423" i="38" s="1"/>
  <c r="AB424" i="38" s="1"/>
  <c r="AB425" i="38" s="1"/>
  <c r="AB426" i="38" s="1"/>
  <c r="AB427" i="38" s="1"/>
  <c r="AB428" i="38" s="1"/>
  <c r="AB429" i="38" s="1"/>
  <c r="AB430" i="38" s="1"/>
  <c r="AB431" i="38" s="1"/>
  <c r="AB432" i="38" s="1"/>
  <c r="AA491" i="38"/>
  <c r="AA492" i="38" s="1"/>
  <c r="AA493" i="38" s="1"/>
  <c r="AA494" i="38" s="1"/>
  <c r="AA495" i="38" s="1"/>
  <c r="AA496" i="38" s="1"/>
  <c r="AA497" i="38" s="1"/>
  <c r="AA498" i="38" s="1"/>
  <c r="AA499" i="38" s="1"/>
  <c r="AA132" i="38"/>
  <c r="AA133" i="38" s="1"/>
  <c r="AA134" i="38" s="1"/>
  <c r="AA135" i="38" s="1"/>
  <c r="AA136" i="38" s="1"/>
  <c r="AA137" i="38" s="1"/>
  <c r="AA138" i="38" s="1"/>
  <c r="AB132" i="38"/>
  <c r="AB133" i="38" s="1"/>
  <c r="AB134" i="38" s="1"/>
  <c r="AB135" i="38" s="1"/>
  <c r="AB136" i="38" s="1"/>
  <c r="AB137" i="38" s="1"/>
  <c r="AB138" i="38" s="1"/>
  <c r="AA397" i="38"/>
  <c r="AA398" i="38" s="1"/>
  <c r="AA399" i="38" s="1"/>
  <c r="AA400" i="38" s="1"/>
  <c r="AA401" i="38" s="1"/>
  <c r="AA402" i="38" s="1"/>
  <c r="AA403" i="38" s="1"/>
  <c r="AA404" i="38" s="1"/>
  <c r="AA405" i="38" s="1"/>
  <c r="AA406" i="38" s="1"/>
  <c r="AA407" i="38" s="1"/>
  <c r="AA408" i="38" s="1"/>
  <c r="AA409" i="38" s="1"/>
  <c r="AB390" i="38"/>
  <c r="AB391" i="38" s="1"/>
  <c r="AB392" i="38" s="1"/>
  <c r="AB393" i="38" s="1"/>
  <c r="AB394" i="38" s="1"/>
  <c r="AB395" i="38" s="1"/>
  <c r="AB396" i="38" s="1"/>
  <c r="AB383" i="38"/>
  <c r="AB384" i="38" s="1"/>
  <c r="AB385" i="38" s="1"/>
  <c r="AB386" i="38" s="1"/>
  <c r="AB387" i="38" s="1"/>
  <c r="AB388" i="38" s="1"/>
  <c r="AB389" i="38" s="1"/>
  <c r="AB376" i="38"/>
  <c r="AB377" i="38" s="1"/>
  <c r="AB378" i="38" s="1"/>
  <c r="AB379" i="38" s="1"/>
  <c r="AB380" i="38" s="1"/>
  <c r="AB381" i="38" s="1"/>
  <c r="AB382" i="38" s="1"/>
  <c r="AA139" i="38"/>
  <c r="AA140" i="38" s="1"/>
  <c r="AA141" i="38" s="1"/>
  <c r="AA142" i="38" s="1"/>
  <c r="AA143" i="38" s="1"/>
  <c r="AA144" i="38" s="1"/>
  <c r="AB139" i="38"/>
  <c r="AB140" i="38" s="1"/>
  <c r="AB141" i="38" s="1"/>
  <c r="AB142" i="38" s="1"/>
  <c r="AB143" i="38" s="1"/>
  <c r="AB144" i="38" s="1"/>
  <c r="AA145" i="38"/>
  <c r="AA146" i="38" s="1"/>
  <c r="AA147" i="38" s="1"/>
  <c r="AA148" i="38" s="1"/>
  <c r="AA149" i="38" s="1"/>
  <c r="AA150" i="38" s="1"/>
  <c r="AA151" i="38" s="1"/>
  <c r="AA152" i="38" s="1"/>
  <c r="AA153" i="38" s="1"/>
  <c r="AA154" i="38" s="1"/>
  <c r="AA155" i="38" s="1"/>
  <c r="AA156" i="38" s="1"/>
  <c r="AA157" i="38" s="1"/>
  <c r="AA158" i="38" s="1"/>
  <c r="AA323" i="38"/>
  <c r="AA324" i="38" s="1"/>
  <c r="AA325" i="38" s="1"/>
  <c r="AA326" i="38" s="1"/>
  <c r="AA327" i="38" s="1"/>
  <c r="AB145" i="38"/>
  <c r="AB146" i="38" s="1"/>
  <c r="AB147" i="38" s="1"/>
  <c r="AB148" i="38" s="1"/>
  <c r="AB149" i="38" s="1"/>
  <c r="AB150" i="38" s="1"/>
  <c r="AB151" i="38" s="1"/>
  <c r="AB152" i="38" s="1"/>
  <c r="AB153" i="38" s="1"/>
  <c r="AB154" i="38" s="1"/>
  <c r="AB155" i="38" s="1"/>
  <c r="AB156" i="38" s="1"/>
  <c r="AB157" i="38" s="1"/>
  <c r="AB158" i="38" s="1"/>
  <c r="AA309" i="38"/>
  <c r="AA310" i="38" s="1"/>
  <c r="AA311" i="38" s="1"/>
  <c r="AA312" i="38" s="1"/>
  <c r="AA313" i="38" s="1"/>
  <c r="AA314" i="38" s="1"/>
  <c r="AA315" i="38" s="1"/>
  <c r="AA316" i="38" s="1"/>
  <c r="AA317" i="38" s="1"/>
  <c r="AA299" i="38"/>
  <c r="AA300" i="38" s="1"/>
  <c r="AA301" i="38" s="1"/>
  <c r="AA302" i="38" s="1"/>
  <c r="AA303" i="38" s="1"/>
  <c r="AA304" i="38" s="1"/>
  <c r="AA305" i="38" s="1"/>
  <c r="AA306" i="38" s="1"/>
  <c r="AA307" i="38" s="1"/>
  <c r="AA308" i="38" s="1"/>
  <c r="AA289" i="38"/>
  <c r="AA290" i="38" s="1"/>
  <c r="AA291" i="38" s="1"/>
  <c r="AA292" i="38" s="1"/>
  <c r="AA293" i="38" s="1"/>
  <c r="AA159" i="38"/>
  <c r="AA160" i="38" s="1"/>
  <c r="AA161" i="38" s="1"/>
  <c r="AA162" i="38" s="1"/>
  <c r="AA163" i="38" s="1"/>
  <c r="AA164" i="38" s="1"/>
  <c r="AA165" i="38" s="1"/>
  <c r="AA166" i="38" s="1"/>
  <c r="AA167" i="38" s="1"/>
  <c r="AA168" i="38" s="1"/>
  <c r="AA169" i="38" s="1"/>
  <c r="AA170" i="38" s="1"/>
  <c r="AA171" i="38" s="1"/>
  <c r="AA172" i="38" s="1"/>
  <c r="AB159" i="38"/>
  <c r="AB160" i="38" s="1"/>
  <c r="AB161" i="38" s="1"/>
  <c r="AB162" i="38" s="1"/>
  <c r="AB163" i="38" s="1"/>
  <c r="AB164" i="38" s="1"/>
  <c r="AB165" i="38" s="1"/>
  <c r="AB166" i="38" s="1"/>
  <c r="AB167" i="38" s="1"/>
  <c r="AB168" i="38" s="1"/>
  <c r="AB169" i="38" s="1"/>
  <c r="AB170" i="38" s="1"/>
  <c r="AB171" i="38" s="1"/>
  <c r="AB172" i="38" s="1"/>
  <c r="AA464" i="38"/>
  <c r="AA465" i="38" s="1"/>
  <c r="AA466" i="38" s="1"/>
  <c r="AA467" i="38" s="1"/>
  <c r="AA468" i="38" s="1"/>
  <c r="AA469" i="38" s="1"/>
  <c r="AA470" i="38" s="1"/>
  <c r="AA471" i="38" s="1"/>
  <c r="AA472" i="38" s="1"/>
  <c r="AA473" i="38" s="1"/>
  <c r="AA474" i="38" s="1"/>
  <c r="AA475" i="38" s="1"/>
  <c r="W545" i="38"/>
  <c r="W544" i="38"/>
  <c r="W542" i="38"/>
  <c r="W539" i="38"/>
  <c r="W538" i="38"/>
  <c r="W535" i="38"/>
  <c r="W534" i="38"/>
  <c r="W532" i="38"/>
  <c r="AB516" i="38"/>
  <c r="AB517" i="38" s="1"/>
  <c r="AB518" i="38" s="1"/>
  <c r="AB519" i="38" s="1"/>
  <c r="AB520" i="38" s="1"/>
  <c r="AB521" i="38" s="1"/>
  <c r="AB522" i="38" s="1"/>
  <c r="AB523" i="38" s="1"/>
  <c r="AB524" i="38" s="1"/>
  <c r="AB525" i="38" s="1"/>
  <c r="AB526" i="38" s="1"/>
  <c r="AB527" i="38" s="1"/>
  <c r="AB528" i="38" s="1"/>
  <c r="AB529" i="38" s="1"/>
  <c r="AB530" i="38" s="1"/>
  <c r="AB531" i="38" s="1"/>
  <c r="W552" i="38"/>
  <c r="AA173" i="38"/>
  <c r="AA174" i="38" s="1"/>
  <c r="AA175" i="38" s="1"/>
  <c r="AA176" i="38" s="1"/>
  <c r="AA177" i="38" s="1"/>
  <c r="AA178" i="38" s="1"/>
  <c r="AA179" i="38" s="1"/>
  <c r="AA180" i="38" s="1"/>
  <c r="AA181" i="38" s="1"/>
  <c r="AA182" i="38" s="1"/>
  <c r="AB500" i="38"/>
  <c r="AB501" i="38" s="1"/>
  <c r="AB502" i="38" s="1"/>
  <c r="AB503" i="38" s="1"/>
  <c r="AB504" i="38" s="1"/>
  <c r="AB505" i="38" s="1"/>
  <c r="AB506" i="38" s="1"/>
  <c r="AB507" i="38" s="1"/>
  <c r="AB508" i="38" s="1"/>
  <c r="AB509" i="38" s="1"/>
  <c r="AB510" i="38" s="1"/>
  <c r="AB511" i="38" s="1"/>
  <c r="AB512" i="38" s="1"/>
  <c r="AB513" i="38" s="1"/>
  <c r="AB514" i="38" s="1"/>
  <c r="AB515" i="38" s="1"/>
  <c r="AA500" i="38"/>
  <c r="AA501" i="38" s="1"/>
  <c r="AA502" i="38" s="1"/>
  <c r="AA503" i="38" s="1"/>
  <c r="AA504" i="38" s="1"/>
  <c r="AA505" i="38" s="1"/>
  <c r="AA506" i="38" s="1"/>
  <c r="AA507" i="38" s="1"/>
  <c r="AA508" i="38" s="1"/>
  <c r="AA509" i="38" s="1"/>
  <c r="AA510" i="38" s="1"/>
  <c r="AA511" i="38" s="1"/>
  <c r="AA512" i="38" s="1"/>
  <c r="AA513" i="38" s="1"/>
  <c r="AA514" i="38" s="1"/>
  <c r="AA515" i="38" s="1"/>
  <c r="AB173" i="38"/>
  <c r="AB174" i="38" s="1"/>
  <c r="AB175" i="38" s="1"/>
  <c r="AB176" i="38" s="1"/>
  <c r="AB177" i="38" s="1"/>
  <c r="AB178" i="38" s="1"/>
  <c r="AB179" i="38" s="1"/>
  <c r="AB180" i="38" s="1"/>
  <c r="AB181" i="38" s="1"/>
  <c r="AB182" i="38" s="1"/>
  <c r="AB491" i="38"/>
  <c r="AB492" i="38" s="1"/>
  <c r="AB493" i="38" s="1"/>
  <c r="AB494" i="38" s="1"/>
  <c r="AB495" i="38" s="1"/>
  <c r="AB496" i="38" s="1"/>
  <c r="AB497" i="38" s="1"/>
  <c r="AB498" i="38" s="1"/>
  <c r="AB499" i="38" s="1"/>
  <c r="AA476" i="38"/>
  <c r="AA446" i="38"/>
  <c r="AA447" i="38" s="1"/>
  <c r="AA448" i="38" s="1"/>
  <c r="AA449" i="38" s="1"/>
  <c r="AA450" i="38" s="1"/>
  <c r="AA451" i="38" s="1"/>
  <c r="AB464" i="38"/>
  <c r="AB465" i="38" s="1"/>
  <c r="AB466" i="38" s="1"/>
  <c r="AB467" i="38" s="1"/>
  <c r="AB468" i="38" s="1"/>
  <c r="AB469" i="38" s="1"/>
  <c r="AB470" i="38" s="1"/>
  <c r="AB471" i="38" s="1"/>
  <c r="AB472" i="38" s="1"/>
  <c r="AB473" i="38" s="1"/>
  <c r="AB474" i="38" s="1"/>
  <c r="AB475" i="38" s="1"/>
  <c r="AB446" i="38"/>
  <c r="AB447" i="38" s="1"/>
  <c r="AB448" i="38" s="1"/>
  <c r="AB449" i="38" s="1"/>
  <c r="AB450" i="38" s="1"/>
  <c r="AB451" i="38" s="1"/>
  <c r="AB433" i="38"/>
  <c r="AB434" i="38" s="1"/>
  <c r="AB435" i="38" s="1"/>
  <c r="AB436" i="38" s="1"/>
  <c r="AB437" i="38" s="1"/>
  <c r="AB438" i="38" s="1"/>
  <c r="AB439" i="38" s="1"/>
  <c r="AB440" i="38" s="1"/>
  <c r="AB441" i="38" s="1"/>
  <c r="AB442" i="38" s="1"/>
  <c r="AB443" i="38" s="1"/>
  <c r="AB444" i="38" s="1"/>
  <c r="AB445" i="38" s="1"/>
  <c r="AA183" i="38"/>
  <c r="AA184" i="38" s="1"/>
  <c r="AA185" i="38" s="1"/>
  <c r="AA186" i="38" s="1"/>
  <c r="AA187" i="38" s="1"/>
  <c r="AA188" i="38" s="1"/>
  <c r="AA189" i="38" s="1"/>
  <c r="AA190" i="38" s="1"/>
  <c r="AA191" i="38" s="1"/>
  <c r="AA192" i="38" s="1"/>
  <c r="AA193" i="38" s="1"/>
  <c r="AA194" i="38" s="1"/>
  <c r="AB183" i="38"/>
  <c r="AB184" i="38" s="1"/>
  <c r="AB185" i="38" s="1"/>
  <c r="AB186" i="38" s="1"/>
  <c r="AB187" i="38" s="1"/>
  <c r="AB188" i="38" s="1"/>
  <c r="AB189" i="38" s="1"/>
  <c r="AB190" i="38" s="1"/>
  <c r="AB191" i="38" s="1"/>
  <c r="AB192" i="38" s="1"/>
  <c r="AB193" i="38" s="1"/>
  <c r="AB194" i="38" s="1"/>
  <c r="AA421" i="38"/>
  <c r="AA422" i="38" s="1"/>
  <c r="AA423" i="38" s="1"/>
  <c r="AA424" i="38" s="1"/>
  <c r="AA425" i="38" s="1"/>
  <c r="AA426" i="38" s="1"/>
  <c r="AA427" i="38" s="1"/>
  <c r="AA428" i="38" s="1"/>
  <c r="AA429" i="38" s="1"/>
  <c r="AA430" i="38" s="1"/>
  <c r="AA431" i="38" s="1"/>
  <c r="AA432" i="38" s="1"/>
  <c r="AA410" i="38"/>
  <c r="AA411" i="38" s="1"/>
  <c r="AA412" i="38" s="1"/>
  <c r="AA413" i="38" s="1"/>
  <c r="AA414" i="38" s="1"/>
  <c r="AA415" i="38" s="1"/>
  <c r="AA416" i="38" s="1"/>
  <c r="AA417" i="38" s="1"/>
  <c r="AA418" i="38" s="1"/>
  <c r="AA419" i="38" s="1"/>
  <c r="AA420" i="38" s="1"/>
  <c r="AB397" i="38"/>
  <c r="AB398" i="38" s="1"/>
  <c r="AB399" i="38" s="1"/>
  <c r="AB400" i="38" s="1"/>
  <c r="AB401" i="38" s="1"/>
  <c r="AB402" i="38" s="1"/>
  <c r="AB403" i="38" s="1"/>
  <c r="AB404" i="38" s="1"/>
  <c r="AB405" i="38" s="1"/>
  <c r="AB406" i="38" s="1"/>
  <c r="AB407" i="38" s="1"/>
  <c r="AB408" i="38" s="1"/>
  <c r="AB409" i="38" s="1"/>
  <c r="AA195" i="38"/>
  <c r="AA196" i="38" s="1"/>
  <c r="AA197" i="38" s="1"/>
  <c r="AA198" i="38" s="1"/>
  <c r="AA199" i="38" s="1"/>
  <c r="AA200" i="38" s="1"/>
  <c r="AA201" i="38" s="1"/>
  <c r="AA202" i="38" s="1"/>
  <c r="AA203" i="38" s="1"/>
  <c r="AA204" i="38" s="1"/>
  <c r="AA205" i="38" s="1"/>
  <c r="AA206" i="38" s="1"/>
  <c r="AA207" i="38" s="1"/>
  <c r="AA208" i="38" s="1"/>
  <c r="AA209" i="38" s="1"/>
  <c r="AA210" i="38" s="1"/>
  <c r="AA211" i="38" s="1"/>
  <c r="AA212" i="38" s="1"/>
  <c r="AA213" i="38" s="1"/>
  <c r="AA214" i="38" s="1"/>
  <c r="AB195" i="38"/>
  <c r="AB196" i="38" s="1"/>
  <c r="AB197" i="38" s="1"/>
  <c r="AB198" i="38" s="1"/>
  <c r="AB199" i="38" s="1"/>
  <c r="AB200" i="38" s="1"/>
  <c r="AB201" i="38" s="1"/>
  <c r="AB202" i="38" s="1"/>
  <c r="AB203" i="38" s="1"/>
  <c r="AB204" i="38" s="1"/>
  <c r="AB205" i="38" s="1"/>
  <c r="AB206" i="38" s="1"/>
  <c r="AB207" i="38" s="1"/>
  <c r="AB208" i="38" s="1"/>
  <c r="AB209" i="38" s="1"/>
  <c r="AB210" i="38" s="1"/>
  <c r="AB211" i="38" s="1"/>
  <c r="AB212" i="38" s="1"/>
  <c r="AB213" i="38" s="1"/>
  <c r="AB214" i="38" s="1"/>
  <c r="AB373" i="38"/>
  <c r="AB374" i="38" s="1"/>
  <c r="AB375" i="38" s="1"/>
  <c r="AA360" i="38"/>
  <c r="AA361" i="38" s="1"/>
  <c r="AA362" i="38" s="1"/>
  <c r="AA363" i="38" s="1"/>
  <c r="AA364" i="38" s="1"/>
  <c r="AA365" i="38" s="1"/>
  <c r="AA366" i="38" s="1"/>
  <c r="AA367" i="38" s="1"/>
  <c r="AA368" i="38" s="1"/>
  <c r="AA369" i="38" s="1"/>
  <c r="AA370" i="38" s="1"/>
  <c r="AA371" i="38" s="1"/>
  <c r="AA372" i="38" s="1"/>
  <c r="AB328" i="38"/>
  <c r="AB329" i="38" s="1"/>
  <c r="AB330" i="38" s="1"/>
  <c r="AB331" i="38" s="1"/>
  <c r="AB332" i="38" s="1"/>
  <c r="AB410" i="38"/>
  <c r="AB411" i="38" s="1"/>
  <c r="AB412" i="38" s="1"/>
  <c r="AB413" i="38" s="1"/>
  <c r="AB414" i="38" s="1"/>
  <c r="AB415" i="38" s="1"/>
  <c r="AB416" i="38" s="1"/>
  <c r="AB417" i="38" s="1"/>
  <c r="AB418" i="38" s="1"/>
  <c r="AB419" i="38" s="1"/>
  <c r="AB420" i="38" s="1"/>
  <c r="AB323" i="38"/>
  <c r="AB324" i="38" s="1"/>
  <c r="AB325" i="38" s="1"/>
  <c r="AB326" i="38" s="1"/>
  <c r="AB327" i="38" s="1"/>
  <c r="AA215" i="38"/>
  <c r="AA216" i="38" s="1"/>
  <c r="AA217" i="38" s="1"/>
  <c r="AA218" i="38" s="1"/>
  <c r="AA219" i="38" s="1"/>
  <c r="AA220" i="38" s="1"/>
  <c r="AA221" i="38" s="1"/>
  <c r="AA222" i="38" s="1"/>
  <c r="AA223" i="38" s="1"/>
  <c r="AA224" i="38" s="1"/>
  <c r="AA225" i="38" s="1"/>
  <c r="AA226" i="38" s="1"/>
  <c r="AA227" i="38" s="1"/>
  <c r="AA228" i="38" s="1"/>
  <c r="AA229" i="38" s="1"/>
  <c r="AA230" i="38" s="1"/>
  <c r="AA231" i="38" s="1"/>
  <c r="AA232" i="38" s="1"/>
  <c r="AA233" i="38" s="1"/>
  <c r="AA234" i="38" s="1"/>
  <c r="AA235" i="38" s="1"/>
  <c r="AA236" i="38" s="1"/>
  <c r="AA237" i="38" s="1"/>
  <c r="AA238" i="38" s="1"/>
  <c r="AA239" i="38" s="1"/>
  <c r="AA240" i="38" s="1"/>
  <c r="AA241" i="38" s="1"/>
  <c r="AA242" i="38" s="1"/>
  <c r="AA243" i="38" s="1"/>
  <c r="AA244" i="38" s="1"/>
  <c r="AA245" i="38" s="1"/>
  <c r="AA246" i="38" s="1"/>
  <c r="AA247" i="38" s="1"/>
  <c r="AA248" i="38" s="1"/>
  <c r="AA249" i="38" s="1"/>
  <c r="AA250" i="38" s="1"/>
  <c r="AA251" i="38" s="1"/>
  <c r="AB215" i="38"/>
  <c r="AB216" i="38" s="1"/>
  <c r="AB217" i="38" s="1"/>
  <c r="AB218" i="38" s="1"/>
  <c r="AB219" i="38" s="1"/>
  <c r="AB220" i="38" s="1"/>
  <c r="AB221" i="38" s="1"/>
  <c r="AB222" i="38" s="1"/>
  <c r="AB223" i="38" s="1"/>
  <c r="AB224" i="38" s="1"/>
  <c r="AB225" i="38" s="1"/>
  <c r="AB226" i="38" s="1"/>
  <c r="AB227" i="38" s="1"/>
  <c r="AB228" i="38" s="1"/>
  <c r="AB229" i="38" s="1"/>
  <c r="AB230" i="38" s="1"/>
  <c r="AB231" i="38" s="1"/>
  <c r="AB232" i="38" s="1"/>
  <c r="AB233" i="38" s="1"/>
  <c r="AB234" i="38" s="1"/>
  <c r="AB235" i="38" s="1"/>
  <c r="AB236" i="38" s="1"/>
  <c r="AB237" i="38" s="1"/>
  <c r="AB238" i="38" s="1"/>
  <c r="AB239" i="38" s="1"/>
  <c r="AB240" i="38" s="1"/>
  <c r="AB241" i="38" s="1"/>
  <c r="AB242" i="38" s="1"/>
  <c r="AB243" i="38" s="1"/>
  <c r="AB244" i="38" s="1"/>
  <c r="AB245" i="38" s="1"/>
  <c r="AB246" i="38" s="1"/>
  <c r="AB247" i="38" s="1"/>
  <c r="AB248" i="38" s="1"/>
  <c r="AB249" i="38" s="1"/>
  <c r="AB250" i="38" s="1"/>
  <c r="AB251" i="38" s="1"/>
  <c r="AB289" i="38"/>
  <c r="AB290" i="38" s="1"/>
  <c r="AB291" i="38" s="1"/>
  <c r="AB292" i="38" s="1"/>
  <c r="AB293" i="38" s="1"/>
  <c r="M42" i="37"/>
  <c r="T547" i="38" l="1"/>
  <c r="AI547" i="38" s="1"/>
  <c r="H548" i="38"/>
  <c r="T534" i="38"/>
  <c r="AI534" i="38" s="1"/>
  <c r="H535" i="38"/>
  <c r="T518" i="38"/>
  <c r="AI518" i="38" s="1"/>
  <c r="H519" i="38"/>
  <c r="H503" i="38"/>
  <c r="T502" i="38"/>
  <c r="AI502" i="38" s="1"/>
  <c r="H494" i="38"/>
  <c r="T493" i="38"/>
  <c r="AI493" i="38" s="1"/>
  <c r="T478" i="38"/>
  <c r="AI478" i="38" s="1"/>
  <c r="H479" i="38"/>
  <c r="T466" i="38"/>
  <c r="AI466" i="38" s="1"/>
  <c r="H467" i="38"/>
  <c r="T455" i="38"/>
  <c r="AI455" i="38" s="1"/>
  <c r="H456" i="38"/>
  <c r="H449" i="38"/>
  <c r="T448" i="38"/>
  <c r="AI448" i="38" s="1"/>
  <c r="T435" i="38"/>
  <c r="AI435" i="38" s="1"/>
  <c r="H436" i="38"/>
  <c r="H424" i="38"/>
  <c r="T423" i="38"/>
  <c r="AI423" i="38" s="1"/>
  <c r="T412" i="38"/>
  <c r="AI412" i="38" s="1"/>
  <c r="H413" i="38"/>
  <c r="T399" i="38"/>
  <c r="AI399" i="38" s="1"/>
  <c r="H400" i="38"/>
  <c r="T392" i="38"/>
  <c r="AI392" i="38" s="1"/>
  <c r="H393" i="38"/>
  <c r="H386" i="38"/>
  <c r="T385" i="38"/>
  <c r="AI385" i="38" s="1"/>
  <c r="T378" i="38"/>
  <c r="AI378" i="38" s="1"/>
  <c r="H379" i="38"/>
  <c r="T362" i="38"/>
  <c r="AI362" i="38" s="1"/>
  <c r="H363" i="38"/>
  <c r="T349" i="38"/>
  <c r="AI349" i="38" s="1"/>
  <c r="H350" i="38"/>
  <c r="T342" i="38"/>
  <c r="AI342" i="38" s="1"/>
  <c r="H343" i="38"/>
  <c r="T335" i="38"/>
  <c r="AI335" i="38" s="1"/>
  <c r="H336" i="38"/>
  <c r="T330" i="38"/>
  <c r="AI330" i="38" s="1"/>
  <c r="H331" i="38"/>
  <c r="H326" i="38"/>
  <c r="T325" i="38"/>
  <c r="AI325" i="38" s="1"/>
  <c r="T320" i="38"/>
  <c r="AI320" i="38" s="1"/>
  <c r="H321" i="38"/>
  <c r="T311" i="38"/>
  <c r="AI311" i="38" s="1"/>
  <c r="H312" i="38"/>
  <c r="T302" i="38"/>
  <c r="AI302" i="38" s="1"/>
  <c r="H303" i="38"/>
  <c r="H298" i="38"/>
  <c r="T298" i="38" s="1"/>
  <c r="AI298" i="38" s="1"/>
  <c r="T297" i="38"/>
  <c r="AI297" i="38" s="1"/>
  <c r="H292" i="38"/>
  <c r="T291" i="38"/>
  <c r="AI291" i="38" s="1"/>
  <c r="Q255" i="38"/>
  <c r="Q247" i="38"/>
  <c r="T185" i="38"/>
  <c r="AI185" i="38" s="1"/>
  <c r="H186" i="38"/>
  <c r="T175" i="38"/>
  <c r="AI175" i="38" s="1"/>
  <c r="H176" i="38"/>
  <c r="T161" i="38"/>
  <c r="AI161" i="38" s="1"/>
  <c r="H162" i="38"/>
  <c r="T146" i="38"/>
  <c r="AI146" i="38" s="1"/>
  <c r="H147" i="38"/>
  <c r="T135" i="38"/>
  <c r="AI135" i="38" s="1"/>
  <c r="H136" i="38"/>
  <c r="T122" i="38"/>
  <c r="AI122" i="38" s="1"/>
  <c r="H123" i="38"/>
  <c r="T113" i="38"/>
  <c r="AI113" i="38" s="1"/>
  <c r="H114" i="38"/>
  <c r="T104" i="38"/>
  <c r="AI104" i="38" s="1"/>
  <c r="H105" i="38"/>
  <c r="T90" i="38"/>
  <c r="AI90" i="38" s="1"/>
  <c r="H91" i="38"/>
  <c r="T83" i="38"/>
  <c r="AI83" i="38" s="1"/>
  <c r="H84" i="38"/>
  <c r="T75" i="38"/>
  <c r="AI75" i="38" s="1"/>
  <c r="H76" i="38"/>
  <c r="T71" i="38"/>
  <c r="AI71" i="38" s="1"/>
  <c r="H72" i="38"/>
  <c r="T56" i="38"/>
  <c r="AI56" i="38" s="1"/>
  <c r="H57" i="38"/>
  <c r="T50" i="38"/>
  <c r="AI50" i="38" s="1"/>
  <c r="H51" i="38"/>
  <c r="Q35" i="38"/>
  <c r="T34" i="38"/>
  <c r="AI34" i="38" s="1"/>
  <c r="H35" i="38"/>
  <c r="T25" i="38"/>
  <c r="AI25" i="38" s="1"/>
  <c r="H26" i="38"/>
  <c r="T9" i="38"/>
  <c r="AI9" i="38" s="1"/>
  <c r="H10" i="38"/>
  <c r="D10" i="38"/>
  <c r="C10" i="38"/>
  <c r="V5" i="38"/>
  <c r="X7" i="38"/>
  <c r="Z7" i="38"/>
  <c r="X8" i="38"/>
  <c r="Z8" i="38"/>
  <c r="X9" i="38"/>
  <c r="Z9" i="38"/>
  <c r="X10" i="38"/>
  <c r="Z10" i="38"/>
  <c r="X11" i="38"/>
  <c r="Z11" i="38"/>
  <c r="X12" i="38"/>
  <c r="Z12" i="38"/>
  <c r="X13" i="38"/>
  <c r="Z13" i="38"/>
  <c r="X14" i="38"/>
  <c r="Z14" i="38"/>
  <c r="X15" i="38"/>
  <c r="Z15" i="38"/>
  <c r="X16" i="38"/>
  <c r="Z16" i="38"/>
  <c r="X17" i="38"/>
  <c r="Z17" i="38"/>
  <c r="X18" i="38"/>
  <c r="Z18" i="38"/>
  <c r="X19" i="38"/>
  <c r="Z19" i="38"/>
  <c r="X20" i="38"/>
  <c r="Z20" i="38"/>
  <c r="X21" i="38"/>
  <c r="Z21" i="38"/>
  <c r="X22" i="38"/>
  <c r="Z22" i="38"/>
  <c r="X23" i="38"/>
  <c r="Z23" i="38"/>
  <c r="X24" i="38"/>
  <c r="Z24" i="38"/>
  <c r="X25" i="38"/>
  <c r="Z25" i="38"/>
  <c r="X26" i="38"/>
  <c r="Z26" i="38"/>
  <c r="X27" i="38"/>
  <c r="Z27" i="38"/>
  <c r="X28" i="38"/>
  <c r="Z28" i="38"/>
  <c r="X29" i="38"/>
  <c r="Z29" i="38"/>
  <c r="X33" i="38"/>
  <c r="Z33" i="38"/>
  <c r="X34" i="38"/>
  <c r="Z34" i="38"/>
  <c r="X35" i="38"/>
  <c r="Z35" i="38"/>
  <c r="X36" i="38"/>
  <c r="Z36" i="38"/>
  <c r="X37" i="38"/>
  <c r="Z37" i="38"/>
  <c r="X38" i="38"/>
  <c r="Z38" i="38"/>
  <c r="X39" i="38"/>
  <c r="Z39" i="38"/>
  <c r="X40" i="38"/>
  <c r="Z40" i="38"/>
  <c r="X41" i="38"/>
  <c r="Z41" i="38"/>
  <c r="X42" i="38"/>
  <c r="X43" i="38"/>
  <c r="X44" i="38"/>
  <c r="Z44" i="38"/>
  <c r="X45" i="38"/>
  <c r="Z47" i="38"/>
  <c r="X48" i="38"/>
  <c r="Z48" i="38"/>
  <c r="X49" i="38"/>
  <c r="Z49" i="38"/>
  <c r="X50" i="38"/>
  <c r="Z50" i="38"/>
  <c r="X51" i="38"/>
  <c r="Z51" i="38"/>
  <c r="X52" i="38"/>
  <c r="Z52" i="38"/>
  <c r="X53" i="38"/>
  <c r="Z53" i="38"/>
  <c r="X54" i="38"/>
  <c r="Z54" i="38"/>
  <c r="X55" i="38"/>
  <c r="Z55" i="38"/>
  <c r="X56" i="38"/>
  <c r="Z56" i="38"/>
  <c r="X57" i="38"/>
  <c r="Z57" i="38"/>
  <c r="X58" i="38"/>
  <c r="Z58" i="38"/>
  <c r="X59" i="38"/>
  <c r="Z59" i="38"/>
  <c r="X60" i="38"/>
  <c r="Z60" i="38"/>
  <c r="L61" i="38"/>
  <c r="X61" i="38"/>
  <c r="Z61" i="38"/>
  <c r="X62" i="38"/>
  <c r="Z62" i="38"/>
  <c r="X63" i="38"/>
  <c r="Z63" i="38"/>
  <c r="X64" i="38"/>
  <c r="Z64" i="38"/>
  <c r="X65" i="38"/>
  <c r="Z65" i="38"/>
  <c r="X66" i="38"/>
  <c r="Z66" i="38"/>
  <c r="X67" i="38"/>
  <c r="Z67" i="38"/>
  <c r="X68" i="38"/>
  <c r="Z68" i="38"/>
  <c r="X69" i="38"/>
  <c r="Z69" i="38"/>
  <c r="X70" i="38"/>
  <c r="Z70" i="38"/>
  <c r="X71" i="38"/>
  <c r="Z71" i="38"/>
  <c r="X72" i="38"/>
  <c r="Z72" i="38"/>
  <c r="X73" i="38"/>
  <c r="Z73" i="38"/>
  <c r="X74" i="38"/>
  <c r="Z74" i="38"/>
  <c r="X75" i="38"/>
  <c r="Z75" i="38"/>
  <c r="X76" i="38"/>
  <c r="Z76" i="38"/>
  <c r="X77" i="38"/>
  <c r="Z77" i="38"/>
  <c r="X78" i="38"/>
  <c r="Z78" i="38"/>
  <c r="X79" i="38"/>
  <c r="Z79" i="38"/>
  <c r="X80" i="38"/>
  <c r="Z80" i="38"/>
  <c r="X81" i="38"/>
  <c r="Z81" i="38"/>
  <c r="X82" i="38"/>
  <c r="Z82" i="38"/>
  <c r="X83" i="38"/>
  <c r="Z83" i="38"/>
  <c r="X84" i="38"/>
  <c r="Z84" i="38"/>
  <c r="X85" i="38"/>
  <c r="Z85" i="38"/>
  <c r="X86" i="38"/>
  <c r="Z86" i="38"/>
  <c r="X87" i="38"/>
  <c r="Z87" i="38"/>
  <c r="X88" i="38"/>
  <c r="Z88" i="38"/>
  <c r="X89" i="38"/>
  <c r="Z89" i="38"/>
  <c r="X90" i="38"/>
  <c r="Z90" i="38"/>
  <c r="X91" i="38"/>
  <c r="Z91" i="38"/>
  <c r="X92" i="38"/>
  <c r="Z92" i="38"/>
  <c r="X93" i="38"/>
  <c r="Z93" i="38"/>
  <c r="X94" i="38"/>
  <c r="Z94" i="38"/>
  <c r="X95" i="38"/>
  <c r="Z95" i="38"/>
  <c r="X96" i="38"/>
  <c r="Z96" i="38"/>
  <c r="X97" i="38"/>
  <c r="Z97" i="38"/>
  <c r="X98" i="38"/>
  <c r="Z98" i="38"/>
  <c r="X99" i="38"/>
  <c r="Z99" i="38"/>
  <c r="X100" i="38"/>
  <c r="Z100" i="38"/>
  <c r="X101" i="38"/>
  <c r="Z101" i="38"/>
  <c r="X102" i="38"/>
  <c r="Z102" i="38"/>
  <c r="X103" i="38"/>
  <c r="Z103" i="38"/>
  <c r="X104" i="38"/>
  <c r="Z104" i="38"/>
  <c r="X105" i="38"/>
  <c r="Z105" i="38"/>
  <c r="X106" i="38"/>
  <c r="Z106" i="38"/>
  <c r="X107" i="38"/>
  <c r="Z107" i="38"/>
  <c r="X108" i="38"/>
  <c r="Z108" i="38"/>
  <c r="X109" i="38"/>
  <c r="Z109" i="38"/>
  <c r="X110" i="38"/>
  <c r="Z110" i="38"/>
  <c r="X111" i="38"/>
  <c r="Z111" i="38"/>
  <c r="X112" i="38"/>
  <c r="Z112" i="38"/>
  <c r="X113" i="38"/>
  <c r="Z113" i="38"/>
  <c r="X114" i="38"/>
  <c r="Z114" i="38"/>
  <c r="X115" i="38"/>
  <c r="Z115" i="38"/>
  <c r="X116" i="38"/>
  <c r="Z116" i="38"/>
  <c r="X117" i="38"/>
  <c r="Z117" i="38"/>
  <c r="X118" i="38"/>
  <c r="Z118" i="38"/>
  <c r="X119" i="38"/>
  <c r="Z119" i="38"/>
  <c r="X120" i="38"/>
  <c r="Z120" i="38"/>
  <c r="X121" i="38"/>
  <c r="Z121" i="38"/>
  <c r="X122" i="38"/>
  <c r="Z122" i="38"/>
  <c r="X123" i="38"/>
  <c r="Z123" i="38"/>
  <c r="X124" i="38"/>
  <c r="Z124" i="38"/>
  <c r="X125" i="38"/>
  <c r="Z125" i="38"/>
  <c r="X126" i="38"/>
  <c r="Z126" i="38"/>
  <c r="X127" i="38"/>
  <c r="Z127" i="38"/>
  <c r="X128" i="38"/>
  <c r="Z128" i="38"/>
  <c r="X129" i="38"/>
  <c r="Z129" i="38"/>
  <c r="X130" i="38"/>
  <c r="Z130" i="38"/>
  <c r="X131" i="38"/>
  <c r="Z131" i="38"/>
  <c r="X132" i="38"/>
  <c r="Z132" i="38"/>
  <c r="Z30" i="38"/>
  <c r="Z42" i="38"/>
  <c r="Z43" i="38"/>
  <c r="Z45" i="38"/>
  <c r="X46" i="38"/>
  <c r="Z46" i="38"/>
  <c r="X47" i="38"/>
  <c r="X133" i="38"/>
  <c r="Z133" i="38"/>
  <c r="X134" i="38"/>
  <c r="Z134" i="38"/>
  <c r="X135" i="38"/>
  <c r="Z135" i="38"/>
  <c r="X136" i="38"/>
  <c r="Z136" i="38"/>
  <c r="X137" i="38"/>
  <c r="Z137" i="38"/>
  <c r="X138" i="38"/>
  <c r="Z138" i="38"/>
  <c r="X139" i="38"/>
  <c r="Z139" i="38"/>
  <c r="X140" i="38"/>
  <c r="Z140" i="38"/>
  <c r="X141" i="38"/>
  <c r="Z141" i="38"/>
  <c r="X142" i="38"/>
  <c r="Z142" i="38"/>
  <c r="X143" i="38"/>
  <c r="Z143" i="38"/>
  <c r="X144" i="38"/>
  <c r="Z144" i="38"/>
  <c r="X145" i="38"/>
  <c r="Z145" i="38"/>
  <c r="X146" i="38"/>
  <c r="Z146" i="38"/>
  <c r="X147" i="38"/>
  <c r="Z147" i="38"/>
  <c r="X148" i="38"/>
  <c r="Z148" i="38"/>
  <c r="X149" i="38"/>
  <c r="Z149" i="38"/>
  <c r="X150" i="38"/>
  <c r="Z150" i="38"/>
  <c r="X151" i="38"/>
  <c r="Z151" i="38"/>
  <c r="X152" i="38"/>
  <c r="Z152" i="38"/>
  <c r="X153" i="38"/>
  <c r="Z153" i="38"/>
  <c r="X154" i="38"/>
  <c r="Z154" i="38"/>
  <c r="X155" i="38"/>
  <c r="Z155" i="38"/>
  <c r="X156" i="38"/>
  <c r="Z156" i="38"/>
  <c r="X157" i="38"/>
  <c r="Z157" i="38"/>
  <c r="X158" i="38"/>
  <c r="Z158" i="38"/>
  <c r="X159" i="38"/>
  <c r="Z159" i="38"/>
  <c r="X160" i="38"/>
  <c r="Z160" i="38"/>
  <c r="X161" i="38"/>
  <c r="Z161" i="38"/>
  <c r="X162" i="38"/>
  <c r="Z162" i="38"/>
  <c r="X163" i="38"/>
  <c r="Z163" i="38"/>
  <c r="X164" i="38"/>
  <c r="Z164" i="38"/>
  <c r="X165" i="38"/>
  <c r="Z165" i="38"/>
  <c r="X166" i="38"/>
  <c r="Z166" i="38"/>
  <c r="X167" i="38"/>
  <c r="Z167" i="38"/>
  <c r="X168" i="38"/>
  <c r="Z168" i="38"/>
  <c r="X169" i="38"/>
  <c r="Z169" i="38"/>
  <c r="X170" i="38"/>
  <c r="Z170" i="38"/>
  <c r="X171" i="38"/>
  <c r="Z171" i="38"/>
  <c r="X172" i="38"/>
  <c r="Z172" i="38"/>
  <c r="X173" i="38"/>
  <c r="Z173" i="38"/>
  <c r="X174" i="38"/>
  <c r="Z174" i="38"/>
  <c r="X175" i="38"/>
  <c r="Z175" i="38"/>
  <c r="X176" i="38"/>
  <c r="Z176" i="38"/>
  <c r="X177" i="38"/>
  <c r="Z177" i="38"/>
  <c r="X178" i="38"/>
  <c r="Z178" i="38"/>
  <c r="X179" i="38"/>
  <c r="Z179" i="38"/>
  <c r="X180" i="38"/>
  <c r="Z180" i="38"/>
  <c r="X181" i="38"/>
  <c r="Z181" i="38"/>
  <c r="X182" i="38"/>
  <c r="Z182" i="38"/>
  <c r="X183" i="38"/>
  <c r="Z183" i="38"/>
  <c r="X184" i="38"/>
  <c r="Z184" i="38"/>
  <c r="X185" i="38"/>
  <c r="Z185" i="38"/>
  <c r="X186" i="38"/>
  <c r="Z186" i="38"/>
  <c r="X187" i="38"/>
  <c r="Z187" i="38"/>
  <c r="X188" i="38"/>
  <c r="Z188" i="38"/>
  <c r="X189" i="38"/>
  <c r="Z189" i="38"/>
  <c r="X190" i="38"/>
  <c r="Z190" i="38"/>
  <c r="X191" i="38"/>
  <c r="Z191" i="38"/>
  <c r="X192" i="38"/>
  <c r="Z192" i="38"/>
  <c r="X193" i="38"/>
  <c r="Z193" i="38"/>
  <c r="X194" i="38"/>
  <c r="Z194" i="38"/>
  <c r="X195" i="38"/>
  <c r="Z195" i="38"/>
  <c r="X196" i="38"/>
  <c r="Z196" i="38"/>
  <c r="X197" i="38"/>
  <c r="Z197" i="38"/>
  <c r="X198" i="38"/>
  <c r="Z198" i="38"/>
  <c r="X199" i="38"/>
  <c r="Z199" i="38"/>
  <c r="X200" i="38"/>
  <c r="Z200" i="38"/>
  <c r="X201" i="38"/>
  <c r="Z201" i="38"/>
  <c r="X202" i="38"/>
  <c r="Z202" i="38"/>
  <c r="X203" i="38"/>
  <c r="Z203" i="38"/>
  <c r="X204" i="38"/>
  <c r="Z204" i="38"/>
  <c r="X205" i="38"/>
  <c r="Z205" i="38"/>
  <c r="X206" i="38"/>
  <c r="Z206" i="38"/>
  <c r="X207" i="38"/>
  <c r="Z207" i="38"/>
  <c r="X208" i="38"/>
  <c r="Z208" i="38"/>
  <c r="X209" i="38"/>
  <c r="Z209" i="38"/>
  <c r="X210" i="38"/>
  <c r="Z210" i="38"/>
  <c r="X211" i="38"/>
  <c r="Z211" i="38"/>
  <c r="X212" i="38"/>
  <c r="Z212" i="38"/>
  <c r="X213" i="38"/>
  <c r="Z213" i="38"/>
  <c r="X214" i="38"/>
  <c r="Z214" i="38"/>
  <c r="X215" i="38"/>
  <c r="Z215" i="38"/>
  <c r="X216" i="38"/>
  <c r="Z216" i="38"/>
  <c r="X217" i="38"/>
  <c r="Z217" i="38"/>
  <c r="X218" i="38"/>
  <c r="Z218" i="38"/>
  <c r="X219" i="38"/>
  <c r="Z219" i="38"/>
  <c r="X220" i="38"/>
  <c r="Z220" i="38"/>
  <c r="X221" i="38"/>
  <c r="Z221" i="38"/>
  <c r="X222" i="38"/>
  <c r="Z222" i="38"/>
  <c r="X223" i="38"/>
  <c r="Z223" i="38"/>
  <c r="X224" i="38"/>
  <c r="Z224" i="38"/>
  <c r="X225" i="38"/>
  <c r="Z225" i="38"/>
  <c r="X226" i="38"/>
  <c r="Z226" i="38"/>
  <c r="X227" i="38"/>
  <c r="Z227" i="38"/>
  <c r="X228" i="38"/>
  <c r="Z228" i="38"/>
  <c r="X229" i="38"/>
  <c r="Z229" i="38"/>
  <c r="X230" i="38"/>
  <c r="Z230" i="38"/>
  <c r="X231" i="38"/>
  <c r="Z231" i="38"/>
  <c r="X232" i="38"/>
  <c r="Z232" i="38"/>
  <c r="X233" i="38"/>
  <c r="Z233" i="38"/>
  <c r="X234" i="38"/>
  <c r="Z234" i="38"/>
  <c r="X235" i="38"/>
  <c r="Z235" i="38"/>
  <c r="X236" i="38"/>
  <c r="Z236" i="38"/>
  <c r="X237" i="38"/>
  <c r="Z237" i="38"/>
  <c r="X238" i="38"/>
  <c r="Z238" i="38"/>
  <c r="X239" i="38"/>
  <c r="Z239" i="38"/>
  <c r="X240" i="38"/>
  <c r="Z240" i="38"/>
  <c r="X241" i="38"/>
  <c r="Z241" i="38"/>
  <c r="X242" i="38"/>
  <c r="Z242" i="38"/>
  <c r="X243" i="38"/>
  <c r="Z243" i="38"/>
  <c r="X244" i="38"/>
  <c r="Z244" i="38"/>
  <c r="X31" i="38"/>
  <c r="Z254" i="38"/>
  <c r="Z255" i="38"/>
  <c r="X256" i="38"/>
  <c r="Z257" i="38"/>
  <c r="Z264" i="38"/>
  <c r="X265" i="38"/>
  <c r="Z269" i="38"/>
  <c r="Z290" i="38"/>
  <c r="X291" i="38"/>
  <c r="Z292" i="38"/>
  <c r="Z293" i="38"/>
  <c r="X294" i="38"/>
  <c r="Z294" i="38"/>
  <c r="X295" i="38"/>
  <c r="X299" i="38"/>
  <c r="Z299" i="38"/>
  <c r="Z300" i="38"/>
  <c r="Z302" i="38"/>
  <c r="Z303" i="38"/>
  <c r="Z305" i="38"/>
  <c r="X306" i="38"/>
  <c r="X307" i="38"/>
  <c r="X308" i="38"/>
  <c r="Z311" i="38"/>
  <c r="X313" i="38"/>
  <c r="Z313" i="38"/>
  <c r="X314" i="38"/>
  <c r="Z315" i="38"/>
  <c r="X319" i="38"/>
  <c r="X320" i="38"/>
  <c r="Z321" i="38"/>
  <c r="Z322" i="38"/>
  <c r="X333" i="38"/>
  <c r="Z333" i="38"/>
  <c r="X334" i="38"/>
  <c r="Z334" i="38"/>
  <c r="X335" i="38"/>
  <c r="Z335" i="38"/>
  <c r="X336" i="38"/>
  <c r="Z336" i="38"/>
  <c r="X337" i="38"/>
  <c r="Z337" i="38"/>
  <c r="X338" i="38"/>
  <c r="Z338" i="38"/>
  <c r="X339" i="38"/>
  <c r="Z339" i="38"/>
  <c r="X340" i="38"/>
  <c r="Z340" i="38"/>
  <c r="X341" i="38"/>
  <c r="Z341" i="38"/>
  <c r="X342" i="38"/>
  <c r="Z342" i="38"/>
  <c r="X343" i="38"/>
  <c r="Z343" i="38"/>
  <c r="X344" i="38"/>
  <c r="Z344" i="38"/>
  <c r="X345" i="38"/>
  <c r="Z345" i="38"/>
  <c r="X346" i="38"/>
  <c r="Z346" i="38"/>
  <c r="X347" i="38"/>
  <c r="Z347" i="38"/>
  <c r="X348" i="38"/>
  <c r="Z348" i="38"/>
  <c r="X349" i="38"/>
  <c r="Z349" i="38"/>
  <c r="X350" i="38"/>
  <c r="Z350" i="38"/>
  <c r="X453" i="38"/>
  <c r="Z453" i="38"/>
  <c r="X32" i="38"/>
  <c r="X245" i="38"/>
  <c r="X246" i="38"/>
  <c r="Z247" i="38"/>
  <c r="X249" i="38"/>
  <c r="Z250" i="38"/>
  <c r="X251" i="38"/>
  <c r="X253" i="38"/>
  <c r="X254" i="38"/>
  <c r="X257" i="38"/>
  <c r="Z262" i="38"/>
  <c r="X268" i="38"/>
  <c r="X270" i="38"/>
  <c r="X276" i="38"/>
  <c r="X277" i="38"/>
  <c r="X279" i="38"/>
  <c r="Z282" i="38"/>
  <c r="X283" i="38"/>
  <c r="X284" i="38"/>
  <c r="Z285" i="38"/>
  <c r="Z286" i="38"/>
  <c r="X287" i="38"/>
  <c r="Z288" i="38"/>
  <c r="X298" i="38"/>
  <c r="X303" i="38"/>
  <c r="Z319" i="38"/>
  <c r="Z320" i="38"/>
  <c r="X322" i="38"/>
  <c r="Z324" i="38"/>
  <c r="Z327" i="38"/>
  <c r="Z330" i="38"/>
  <c r="X331" i="38"/>
  <c r="X332" i="38"/>
  <c r="Z332" i="38"/>
  <c r="X351" i="38"/>
  <c r="Z353" i="38"/>
  <c r="Z355" i="38"/>
  <c r="X356" i="38"/>
  <c r="X357" i="38"/>
  <c r="X359" i="38"/>
  <c r="X360" i="38"/>
  <c r="Z360" i="38"/>
  <c r="X361" i="38"/>
  <c r="X362" i="38"/>
  <c r="X363" i="38"/>
  <c r="Z366" i="38"/>
  <c r="X369" i="38"/>
  <c r="Z378" i="38"/>
  <c r="X379" i="38"/>
  <c r="Z379" i="38"/>
  <c r="Z384" i="38"/>
  <c r="X387" i="38"/>
  <c r="X388" i="38"/>
  <c r="Z391" i="38"/>
  <c r="X393" i="38"/>
  <c r="Z395" i="38"/>
  <c r="Z396" i="38"/>
  <c r="Z399" i="38"/>
  <c r="X400" i="38"/>
  <c r="Z400" i="38"/>
  <c r="Z401" i="38"/>
  <c r="X402" i="38"/>
  <c r="Z402" i="38"/>
  <c r="X403" i="38"/>
  <c r="Z403" i="38"/>
  <c r="X405" i="38"/>
  <c r="Z407" i="38"/>
  <c r="Z408" i="38"/>
  <c r="X410" i="38"/>
  <c r="Z410" i="38"/>
  <c r="X413" i="38"/>
  <c r="Z413" i="38"/>
  <c r="X415" i="38"/>
  <c r="X419" i="38"/>
  <c r="X420" i="38"/>
  <c r="Z420" i="38"/>
  <c r="Z425" i="38"/>
  <c r="Z427" i="38"/>
  <c r="X428" i="38"/>
  <c r="X430" i="38"/>
  <c r="Z430" i="38"/>
  <c r="Z432" i="38"/>
  <c r="Z434" i="38"/>
  <c r="X435" i="38"/>
  <c r="Z435" i="38"/>
  <c r="Z441" i="38"/>
  <c r="X442" i="38"/>
  <c r="X443" i="38"/>
  <c r="Z444" i="38"/>
  <c r="Z446" i="38"/>
  <c r="L452" i="38"/>
  <c r="Z454" i="38"/>
  <c r="X456" i="38"/>
  <c r="Z457" i="38"/>
  <c r="X458" i="38"/>
  <c r="X460" i="38"/>
  <c r="Z460" i="38"/>
  <c r="X461" i="38"/>
  <c r="Z466" i="38"/>
  <c r="X468" i="38"/>
  <c r="Z469" i="38"/>
  <c r="Z471" i="38"/>
  <c r="Z472" i="38"/>
  <c r="X473" i="38"/>
  <c r="X474" i="38"/>
  <c r="Z475" i="38"/>
  <c r="X477" i="38"/>
  <c r="X478" i="38"/>
  <c r="X479" i="38"/>
  <c r="Z480" i="38"/>
  <c r="X481" i="38"/>
  <c r="Z483" i="38"/>
  <c r="Z485" i="38"/>
  <c r="Z486" i="38"/>
  <c r="X487" i="38"/>
  <c r="X488" i="38"/>
  <c r="Z488" i="38"/>
  <c r="Z489" i="38"/>
  <c r="X492" i="38"/>
  <c r="Z493" i="38"/>
  <c r="X495" i="38"/>
  <c r="Z496" i="38"/>
  <c r="Z497" i="38"/>
  <c r="X505" i="38"/>
  <c r="Z505" i="38"/>
  <c r="X507" i="38"/>
  <c r="Z508" i="38"/>
  <c r="X510" i="38"/>
  <c r="Z510" i="38"/>
  <c r="X512" i="38"/>
  <c r="Z512" i="38"/>
  <c r="X517" i="38"/>
  <c r="Z517" i="38"/>
  <c r="Z518" i="38"/>
  <c r="X519" i="38"/>
  <c r="Z519" i="38"/>
  <c r="X520" i="38"/>
  <c r="Z520" i="38"/>
  <c r="X521" i="38"/>
  <c r="X523" i="38"/>
  <c r="X525" i="38"/>
  <c r="Z525" i="38"/>
  <c r="X529" i="38"/>
  <c r="Z530" i="38"/>
  <c r="X533" i="38"/>
  <c r="Z533" i="38"/>
  <c r="X536" i="38"/>
  <c r="Z537" i="38"/>
  <c r="X538" i="38"/>
  <c r="Z540" i="38"/>
  <c r="Z543" i="38"/>
  <c r="X544" i="38"/>
  <c r="Z546" i="38"/>
  <c r="X547" i="38"/>
  <c r="Z547" i="38"/>
  <c r="Z548" i="38"/>
  <c r="Z549" i="38"/>
  <c r="Z550" i="38"/>
  <c r="X551" i="38"/>
  <c r="X552" i="38"/>
  <c r="X30" i="38"/>
  <c r="Z31" i="38"/>
  <c r="Z32" i="38"/>
  <c r="X252" i="38"/>
  <c r="Z252" i="38"/>
  <c r="X258" i="38"/>
  <c r="Z259" i="38"/>
  <c r="Z260" i="38"/>
  <c r="X261" i="38"/>
  <c r="X263" i="38"/>
  <c r="Z265" i="38"/>
  <c r="Z267" i="38"/>
  <c r="Z270" i="38"/>
  <c r="X271" i="38"/>
  <c r="Z272" i="38"/>
  <c r="X273" i="38"/>
  <c r="X274" i="38"/>
  <c r="X275" i="38"/>
  <c r="Z277" i="38"/>
  <c r="X278" i="38"/>
  <c r="X280" i="38"/>
  <c r="Z281" i="38"/>
  <c r="Z283" i="38"/>
  <c r="X285" i="38"/>
  <c r="X286" i="38"/>
  <c r="Z287" i="38"/>
  <c r="X288" i="38"/>
  <c r="X289" i="38"/>
  <c r="Z289" i="38"/>
  <c r="X290" i="38"/>
  <c r="Z295" i="38"/>
  <c r="Z296" i="38"/>
  <c r="Z297" i="38"/>
  <c r="X301" i="38"/>
  <c r="X302" i="38"/>
  <c r="X304" i="38"/>
  <c r="Z307" i="38"/>
  <c r="Z308" i="38"/>
  <c r="X309" i="38"/>
  <c r="Z309" i="38"/>
  <c r="Z310" i="38"/>
  <c r="X312" i="38"/>
  <c r="Z312" i="38"/>
  <c r="Z314" i="38"/>
  <c r="X316" i="38"/>
  <c r="X323" i="38"/>
  <c r="Z323" i="38"/>
  <c r="Z325" i="38"/>
  <c r="X326" i="38"/>
  <c r="X328" i="38"/>
  <c r="Z328" i="38"/>
  <c r="X329" i="38"/>
  <c r="X330" i="38"/>
  <c r="X352" i="38"/>
  <c r="X353" i="38"/>
  <c r="Z354" i="38"/>
  <c r="Z357" i="38"/>
  <c r="Z364" i="38"/>
  <c r="X365" i="38"/>
  <c r="X367" i="38"/>
  <c r="X368" i="38"/>
  <c r="Z370" i="38"/>
  <c r="Z371" i="38"/>
  <c r="X372" i="38"/>
  <c r="Z372" i="38"/>
  <c r="L373" i="38"/>
  <c r="X373" i="38"/>
  <c r="Z373" i="38"/>
  <c r="Z374" i="38"/>
  <c r="X377" i="38"/>
  <c r="Z377" i="38"/>
  <c r="X378" i="38"/>
  <c r="Z381" i="38"/>
  <c r="X382" i="38"/>
  <c r="Z382" i="38"/>
  <c r="X386" i="38"/>
  <c r="Z388" i="38"/>
  <c r="X389" i="38"/>
  <c r="X391" i="38"/>
  <c r="Z392" i="38"/>
  <c r="Z394" i="38"/>
  <c r="X395" i="38"/>
  <c r="X397" i="38"/>
  <c r="Z397" i="38"/>
  <c r="X398" i="38"/>
  <c r="Z398" i="38"/>
  <c r="X401" i="38"/>
  <c r="X406" i="38"/>
  <c r="Z406" i="38"/>
  <c r="X407" i="38"/>
  <c r="X408" i="38"/>
  <c r="X409" i="38"/>
  <c r="Z409" i="38"/>
  <c r="L410" i="38"/>
  <c r="X411" i="38"/>
  <c r="Z411" i="38"/>
  <c r="X414" i="38"/>
  <c r="Z414" i="38"/>
  <c r="Z415" i="38"/>
  <c r="X416" i="38"/>
  <c r="Z416" i="38"/>
  <c r="X417" i="38"/>
  <c r="Z417" i="38"/>
  <c r="X418" i="38"/>
  <c r="Z419" i="38"/>
  <c r="X422" i="38"/>
  <c r="Z422" i="38"/>
  <c r="X423" i="38"/>
  <c r="Z423" i="38"/>
  <c r="X424" i="38"/>
  <c r="Z424" i="38"/>
  <c r="X425" i="38"/>
  <c r="Z428" i="38"/>
  <c r="X433" i="38"/>
  <c r="Z433" i="38"/>
  <c r="X436" i="38"/>
  <c r="X437" i="38"/>
  <c r="X438" i="38"/>
  <c r="Z439" i="38"/>
  <c r="X440" i="38"/>
  <c r="Z442" i="38"/>
  <c r="X444" i="38"/>
  <c r="X445" i="38"/>
  <c r="Z445" i="38"/>
  <c r="L446" i="38"/>
  <c r="X446" i="38"/>
  <c r="X447" i="38"/>
  <c r="Z447" i="38"/>
  <c r="X449" i="38"/>
  <c r="Z449" i="38"/>
  <c r="X452" i="38"/>
  <c r="Z452" i="38"/>
  <c r="X455" i="38"/>
  <c r="X459" i="38"/>
  <c r="Z461" i="38"/>
  <c r="X462" i="38"/>
  <c r="X463" i="38"/>
  <c r="Z463" i="38"/>
  <c r="L464" i="38"/>
  <c r="X464" i="38"/>
  <c r="Z464" i="38"/>
  <c r="X465" i="38"/>
  <c r="X466" i="38"/>
  <c r="X467" i="38"/>
  <c r="X469" i="38"/>
  <c r="Z470" i="38"/>
  <c r="Z473" i="38"/>
  <c r="X476" i="38"/>
  <c r="Z477" i="38"/>
  <c r="Z482" i="38"/>
  <c r="X483" i="38"/>
  <c r="X484" i="38"/>
  <c r="Z484" i="38"/>
  <c r="X485" i="38"/>
  <c r="X486" i="38"/>
  <c r="Z487" i="38"/>
  <c r="X489" i="38"/>
  <c r="L491" i="38"/>
  <c r="X491" i="38"/>
  <c r="Z491" i="38"/>
  <c r="X494" i="38"/>
  <c r="X496" i="38"/>
  <c r="X498" i="38"/>
  <c r="X500" i="38"/>
  <c r="Z500" i="38"/>
  <c r="X506" i="38"/>
  <c r="Z506" i="38"/>
  <c r="X508" i="38"/>
  <c r="X509" i="38"/>
  <c r="X511" i="38"/>
  <c r="Z511" i="38"/>
  <c r="Z513" i="38"/>
  <c r="X514" i="38"/>
  <c r="Z514" i="38"/>
  <c r="X515" i="38"/>
  <c r="Z515" i="38"/>
  <c r="Z516" i="38"/>
  <c r="X518" i="38"/>
  <c r="Z521" i="38"/>
  <c r="X522" i="38"/>
  <c r="Z522" i="38"/>
  <c r="Z523" i="38"/>
  <c r="X526" i="38"/>
  <c r="Z526" i="38"/>
  <c r="X528" i="38"/>
  <c r="X531" i="38"/>
  <c r="Z531" i="38"/>
  <c r="X532" i="38"/>
  <c r="Z532" i="38"/>
  <c r="X534" i="38"/>
  <c r="Z535" i="38"/>
  <c r="X539" i="38"/>
  <c r="Z539" i="38"/>
  <c r="X540" i="38"/>
  <c r="X541" i="38"/>
  <c r="Z541" i="38"/>
  <c r="X542" i="38"/>
  <c r="Z542" i="38"/>
  <c r="X543" i="38"/>
  <c r="Z544" i="38"/>
  <c r="X545" i="38"/>
  <c r="Z545" i="38"/>
  <c r="Z253" i="38"/>
  <c r="X255" i="38"/>
  <c r="Z256" i="38"/>
  <c r="Z258" i="38"/>
  <c r="X259" i="38"/>
  <c r="Z263" i="38"/>
  <c r="Z266" i="38"/>
  <c r="Z268" i="38"/>
  <c r="X269" i="38"/>
  <c r="Z271" i="38"/>
  <c r="X272" i="38"/>
  <c r="Z273" i="38"/>
  <c r="Z274" i="38"/>
  <c r="Z275" i="38"/>
  <c r="Z276" i="38"/>
  <c r="Z278" i="38"/>
  <c r="Z279" i="38"/>
  <c r="Z280" i="38"/>
  <c r="X281" i="38"/>
  <c r="X282" i="38"/>
  <c r="Z284" i="38"/>
  <c r="Z291" i="38"/>
  <c r="X292" i="38"/>
  <c r="X293" i="38"/>
  <c r="X296" i="38"/>
  <c r="X297" i="38"/>
  <c r="Z298" i="38"/>
  <c r="X300" i="38"/>
  <c r="Z301" i="38"/>
  <c r="Z304" i="38"/>
  <c r="X305" i="38"/>
  <c r="Z306" i="38"/>
  <c r="X310" i="38"/>
  <c r="X311" i="38"/>
  <c r="X315" i="38"/>
  <c r="Z316" i="38"/>
  <c r="X317" i="38"/>
  <c r="Z317" i="38"/>
  <c r="X318" i="38"/>
  <c r="Z318" i="38"/>
  <c r="X321" i="38"/>
  <c r="X324" i="38"/>
  <c r="X325" i="38"/>
  <c r="Z326" i="38"/>
  <c r="X327" i="38"/>
  <c r="Z329" i="38"/>
  <c r="Z331" i="38"/>
  <c r="Z351" i="38"/>
  <c r="Z352" i="38"/>
  <c r="X354" i="38"/>
  <c r="X355" i="38"/>
  <c r="Z356" i="38"/>
  <c r="X358" i="38"/>
  <c r="Z358" i="38"/>
  <c r="Z359" i="38"/>
  <c r="Z361" i="38"/>
  <c r="Z362" i="38"/>
  <c r="Z363" i="38"/>
  <c r="X364" i="38"/>
  <c r="Z365" i="38"/>
  <c r="X366" i="38"/>
  <c r="Z367" i="38"/>
  <c r="Z368" i="38"/>
  <c r="Z369" i="38"/>
  <c r="X370" i="38"/>
  <c r="X371" i="38"/>
  <c r="X374" i="38"/>
  <c r="X375" i="38"/>
  <c r="Z375" i="38"/>
  <c r="L376" i="38"/>
  <c r="X376" i="38"/>
  <c r="Z376" i="38"/>
  <c r="X380" i="38"/>
  <c r="Z380" i="38"/>
  <c r="X381" i="38"/>
  <c r="L383" i="38"/>
  <c r="X383" i="38"/>
  <c r="Z383" i="38"/>
  <c r="X384" i="38"/>
  <c r="X385" i="38"/>
  <c r="Z385" i="38"/>
  <c r="Z386" i="38"/>
  <c r="Z387" i="38"/>
  <c r="Z389" i="38"/>
  <c r="L390" i="38"/>
  <c r="X390" i="38"/>
  <c r="Z390" i="38"/>
  <c r="X392" i="38"/>
  <c r="Z393" i="38"/>
  <c r="X394" i="38"/>
  <c r="X396" i="38"/>
  <c r="L397" i="38"/>
  <c r="X399" i="38"/>
  <c r="X404" i="38"/>
  <c r="Z404" i="38"/>
  <c r="Z405" i="38"/>
  <c r="X412" i="38"/>
  <c r="Z412" i="38"/>
  <c r="Z418" i="38"/>
  <c r="X421" i="38"/>
  <c r="Z421" i="38"/>
  <c r="X426" i="38"/>
  <c r="Z426" i="38"/>
  <c r="X427" i="38"/>
  <c r="X429" i="38"/>
  <c r="Z429" i="38"/>
  <c r="X431" i="38"/>
  <c r="Z431" i="38"/>
  <c r="X432" i="38"/>
  <c r="X434" i="38"/>
  <c r="Z436" i="38"/>
  <c r="Z437" i="38"/>
  <c r="Z438" i="38"/>
  <c r="X439" i="38"/>
  <c r="Z440" i="38"/>
  <c r="X441" i="38"/>
  <c r="Z443" i="38"/>
  <c r="X448" i="38"/>
  <c r="Z448" i="38"/>
  <c r="X450" i="38"/>
  <c r="Z450" i="38"/>
  <c r="X451" i="38"/>
  <c r="Z451" i="38"/>
  <c r="X454" i="38"/>
  <c r="Z455" i="38"/>
  <c r="Z456" i="38"/>
  <c r="X457" i="38"/>
  <c r="Z458" i="38"/>
  <c r="Z459" i="38"/>
  <c r="Z462" i="38"/>
  <c r="Z465" i="38"/>
  <c r="Z467" i="38"/>
  <c r="Z468" i="38"/>
  <c r="X470" i="38"/>
  <c r="X471" i="38"/>
  <c r="X472" i="38"/>
  <c r="Z474" i="38"/>
  <c r="X475" i="38"/>
  <c r="L476" i="38"/>
  <c r="Z476" i="38"/>
  <c r="Z478" i="38"/>
  <c r="Z479" i="38"/>
  <c r="X480" i="38"/>
  <c r="Z481" i="38"/>
  <c r="X482" i="38"/>
  <c r="X490" i="38"/>
  <c r="Z490" i="38"/>
  <c r="Z492" i="38"/>
  <c r="X493" i="38"/>
  <c r="Z494" i="38"/>
  <c r="Z495" i="38"/>
  <c r="X497" i="38"/>
  <c r="Z498" i="38"/>
  <c r="X499" i="38"/>
  <c r="Z499" i="38"/>
  <c r="X501" i="38"/>
  <c r="Z501" i="38"/>
  <c r="X502" i="38"/>
  <c r="Z502" i="38"/>
  <c r="X503" i="38"/>
  <c r="Z503" i="38"/>
  <c r="X504" i="38"/>
  <c r="Z504" i="38"/>
  <c r="Z507" i="38"/>
  <c r="Z509" i="38"/>
  <c r="X513" i="38"/>
  <c r="X516" i="38"/>
  <c r="X524" i="38"/>
  <c r="Z524" i="38"/>
  <c r="X527" i="38"/>
  <c r="Z527" i="38"/>
  <c r="Z528" i="38"/>
  <c r="Z529" i="38"/>
  <c r="X530" i="38"/>
  <c r="Z534" i="38"/>
  <c r="X535" i="38"/>
  <c r="Z536" i="38"/>
  <c r="X537" i="38"/>
  <c r="Z538" i="38"/>
  <c r="X546" i="38"/>
  <c r="X548" i="38"/>
  <c r="X549" i="38"/>
  <c r="X550" i="38"/>
  <c r="Z551" i="38"/>
  <c r="Z552" i="38"/>
  <c r="X553" i="38"/>
  <c r="Z553" i="38"/>
  <c r="X554" i="38"/>
  <c r="Z554" i="38"/>
  <c r="X555" i="38"/>
  <c r="Z555" i="38"/>
  <c r="X556" i="38"/>
  <c r="Z556" i="38"/>
  <c r="X557" i="38"/>
  <c r="Z557" i="38"/>
  <c r="Z245" i="38"/>
  <c r="Z246" i="38"/>
  <c r="X247" i="38"/>
  <c r="X248" i="38"/>
  <c r="Z248" i="38"/>
  <c r="Z249" i="38"/>
  <c r="X250" i="38"/>
  <c r="Z251" i="38"/>
  <c r="X260" i="38"/>
  <c r="Z261" i="38"/>
  <c r="X262" i="38"/>
  <c r="X264" i="38"/>
  <c r="X266" i="38"/>
  <c r="X267" i="38"/>
  <c r="AA477" i="38"/>
  <c r="AA478" i="38" s="1"/>
  <c r="AA479" i="38" s="1"/>
  <c r="AA480" i="38" s="1"/>
  <c r="AA481" i="38" s="1"/>
  <c r="AA482" i="38" s="1"/>
  <c r="AA483" i="38" s="1"/>
  <c r="AA484" i="38" s="1"/>
  <c r="AA485" i="38" s="1"/>
  <c r="AA486" i="38" s="1"/>
  <c r="AA487" i="38" s="1"/>
  <c r="AA488" i="38" s="1"/>
  <c r="AA489" i="38" s="1"/>
  <c r="AF476" i="38"/>
  <c r="H549" i="38" l="1"/>
  <c r="T548" i="38"/>
  <c r="AI548" i="38" s="1"/>
  <c r="T535" i="38"/>
  <c r="AI535" i="38" s="1"/>
  <c r="H536" i="38"/>
  <c r="H520" i="38"/>
  <c r="T519" i="38"/>
  <c r="AI519" i="38" s="1"/>
  <c r="T503" i="38"/>
  <c r="AI503" i="38" s="1"/>
  <c r="H504" i="38"/>
  <c r="T494" i="38"/>
  <c r="AI494" i="38" s="1"/>
  <c r="H495" i="38"/>
  <c r="H480" i="38"/>
  <c r="T479" i="38"/>
  <c r="AI479" i="38" s="1"/>
  <c r="H468" i="38"/>
  <c r="T467" i="38"/>
  <c r="AI467" i="38" s="1"/>
  <c r="H457" i="38"/>
  <c r="T456" i="38"/>
  <c r="AI456" i="38" s="1"/>
  <c r="T449" i="38"/>
  <c r="AI449" i="38" s="1"/>
  <c r="H450" i="38"/>
  <c r="T436" i="38"/>
  <c r="AI436" i="38" s="1"/>
  <c r="H437" i="38"/>
  <c r="H425" i="38"/>
  <c r="T424" i="38"/>
  <c r="AI424" i="38" s="1"/>
  <c r="T413" i="38"/>
  <c r="AI413" i="38" s="1"/>
  <c r="H414" i="38"/>
  <c r="H401" i="38"/>
  <c r="T400" i="38"/>
  <c r="AI400" i="38" s="1"/>
  <c r="H394" i="38"/>
  <c r="T393" i="38"/>
  <c r="AI393" i="38" s="1"/>
  <c r="H387" i="38"/>
  <c r="T386" i="38"/>
  <c r="AI386" i="38" s="1"/>
  <c r="T379" i="38"/>
  <c r="AI379" i="38" s="1"/>
  <c r="H380" i="38"/>
  <c r="H364" i="38"/>
  <c r="T363" i="38"/>
  <c r="AI363" i="38" s="1"/>
  <c r="T350" i="38"/>
  <c r="AI350" i="38" s="1"/>
  <c r="H351" i="38"/>
  <c r="T343" i="38"/>
  <c r="AI343" i="38" s="1"/>
  <c r="H344" i="38"/>
  <c r="T336" i="38"/>
  <c r="AI336" i="38" s="1"/>
  <c r="H337" i="38"/>
  <c r="T331" i="38"/>
  <c r="AI331" i="38" s="1"/>
  <c r="H332" i="38"/>
  <c r="T332" i="38" s="1"/>
  <c r="AI332" i="38" s="1"/>
  <c r="T326" i="38"/>
  <c r="AI326" i="38" s="1"/>
  <c r="H327" i="38"/>
  <c r="T327" i="38" s="1"/>
  <c r="AI327" i="38" s="1"/>
  <c r="H322" i="38"/>
  <c r="T322" i="38" s="1"/>
  <c r="AI322" i="38" s="1"/>
  <c r="T321" i="38"/>
  <c r="AI321" i="38" s="1"/>
  <c r="T312" i="38"/>
  <c r="AI312" i="38" s="1"/>
  <c r="H313" i="38"/>
  <c r="T303" i="38"/>
  <c r="AI303" i="38" s="1"/>
  <c r="H304" i="38"/>
  <c r="T292" i="38"/>
  <c r="AI292" i="38" s="1"/>
  <c r="H293" i="38"/>
  <c r="T293" i="38" s="1"/>
  <c r="AI293" i="38" s="1"/>
  <c r="Q256" i="38"/>
  <c r="Q248" i="38"/>
  <c r="T186" i="38"/>
  <c r="AI186" i="38" s="1"/>
  <c r="H187" i="38"/>
  <c r="T176" i="38"/>
  <c r="AI176" i="38" s="1"/>
  <c r="H177" i="38"/>
  <c r="T162" i="38"/>
  <c r="AI162" i="38" s="1"/>
  <c r="H163" i="38"/>
  <c r="T147" i="38"/>
  <c r="AI147" i="38" s="1"/>
  <c r="H148" i="38"/>
  <c r="T136" i="38"/>
  <c r="AI136" i="38" s="1"/>
  <c r="H137" i="38"/>
  <c r="T123" i="38"/>
  <c r="AI123" i="38" s="1"/>
  <c r="H124" i="38"/>
  <c r="T114" i="38"/>
  <c r="AI114" i="38" s="1"/>
  <c r="H115" i="38"/>
  <c r="T105" i="38"/>
  <c r="AI105" i="38" s="1"/>
  <c r="H106" i="38"/>
  <c r="T91" i="38"/>
  <c r="AI91" i="38" s="1"/>
  <c r="H92" i="38"/>
  <c r="T84" i="38"/>
  <c r="AI84" i="38" s="1"/>
  <c r="H85" i="38"/>
  <c r="T76" i="38"/>
  <c r="AI76" i="38" s="1"/>
  <c r="H77" i="38"/>
  <c r="T72" i="38"/>
  <c r="AI72" i="38" s="1"/>
  <c r="H73" i="38"/>
  <c r="T73" i="38" s="1"/>
  <c r="AI73" i="38" s="1"/>
  <c r="T57" i="38"/>
  <c r="AI57" i="38" s="1"/>
  <c r="H58" i="38"/>
  <c r="T51" i="38"/>
  <c r="AI51" i="38" s="1"/>
  <c r="H52" i="38"/>
  <c r="Q36" i="38"/>
  <c r="T35" i="38"/>
  <c r="AI35" i="38" s="1"/>
  <c r="H36" i="38"/>
  <c r="T26" i="38"/>
  <c r="AI26" i="38" s="1"/>
  <c r="H27" i="38"/>
  <c r="T10" i="38"/>
  <c r="AI10" i="38" s="1"/>
  <c r="H11" i="38"/>
  <c r="D11" i="38"/>
  <c r="C11" i="38"/>
  <c r="AH7" i="38"/>
  <c r="U7" i="38"/>
  <c r="V7" i="38"/>
  <c r="AH8" i="38"/>
  <c r="U8" i="38"/>
  <c r="V8" i="38"/>
  <c r="AH9" i="38"/>
  <c r="U9" i="38"/>
  <c r="V9" i="38"/>
  <c r="AH10" i="38"/>
  <c r="U10" i="38"/>
  <c r="V10" i="38"/>
  <c r="AH21" i="38"/>
  <c r="U21" i="38"/>
  <c r="V21" i="38"/>
  <c r="AH22" i="38"/>
  <c r="U22" i="38"/>
  <c r="V22" i="38"/>
  <c r="AH23" i="38"/>
  <c r="U23" i="38"/>
  <c r="V23" i="38"/>
  <c r="AH24" i="38"/>
  <c r="U24" i="38"/>
  <c r="V24" i="38"/>
  <c r="AH25" i="38"/>
  <c r="U25" i="38"/>
  <c r="V25" i="38"/>
  <c r="AH26" i="38"/>
  <c r="U26" i="38"/>
  <c r="V26" i="38"/>
  <c r="AH29" i="38"/>
  <c r="U29" i="38"/>
  <c r="V29" i="38"/>
  <c r="AH33" i="38"/>
  <c r="U33" i="38"/>
  <c r="V33" i="38"/>
  <c r="AH34" i="38"/>
  <c r="U34" i="38"/>
  <c r="V34" i="38"/>
  <c r="AH35" i="38"/>
  <c r="U35" i="38"/>
  <c r="V35" i="38"/>
  <c r="AH48" i="38"/>
  <c r="U48" i="38"/>
  <c r="V48" i="38"/>
  <c r="AH49" i="38"/>
  <c r="U49" i="38"/>
  <c r="V49" i="38"/>
  <c r="AH50" i="38"/>
  <c r="U50" i="38"/>
  <c r="V50" i="38"/>
  <c r="AH51" i="38"/>
  <c r="U51" i="38"/>
  <c r="V51" i="38"/>
  <c r="AH52" i="38"/>
  <c r="U52" i="38"/>
  <c r="V52" i="38"/>
  <c r="AH53" i="38"/>
  <c r="U53" i="38"/>
  <c r="W53" i="38" s="1"/>
  <c r="V53" i="38"/>
  <c r="AH54" i="38"/>
  <c r="U54" i="38"/>
  <c r="V54" i="38"/>
  <c r="AH55" i="38"/>
  <c r="U55" i="38"/>
  <c r="W55" i="38" s="1"/>
  <c r="V55" i="38"/>
  <c r="AH56" i="38"/>
  <c r="U56" i="38"/>
  <c r="W56" i="38" s="1"/>
  <c r="V56" i="38"/>
  <c r="AH57" i="38"/>
  <c r="U57" i="38"/>
  <c r="V57" i="38"/>
  <c r="AH58" i="38"/>
  <c r="U58" i="38"/>
  <c r="V58" i="38"/>
  <c r="AH59" i="38"/>
  <c r="U59" i="38"/>
  <c r="V59" i="38"/>
  <c r="AH60" i="38"/>
  <c r="U60" i="38"/>
  <c r="W60" i="38" s="1"/>
  <c r="V60" i="38"/>
  <c r="AH61" i="38"/>
  <c r="U61" i="38"/>
  <c r="V61" i="38"/>
  <c r="AH62" i="38"/>
  <c r="U62" i="38"/>
  <c r="V62" i="38"/>
  <c r="AH63" i="38"/>
  <c r="U63" i="38"/>
  <c r="V63" i="38"/>
  <c r="AH64" i="38"/>
  <c r="U64" i="38"/>
  <c r="W64" i="38" s="1"/>
  <c r="V64" i="38"/>
  <c r="AH65" i="38"/>
  <c r="U65" i="38"/>
  <c r="W65" i="38" s="1"/>
  <c r="V65" i="38"/>
  <c r="AH66" i="38"/>
  <c r="U66" i="38"/>
  <c r="W66" i="38" s="1"/>
  <c r="V66" i="38"/>
  <c r="AH67" i="38"/>
  <c r="U67" i="38"/>
  <c r="V67" i="38"/>
  <c r="AH68" i="38"/>
  <c r="U68" i="38"/>
  <c r="W68" i="38" s="1"/>
  <c r="V68" i="38"/>
  <c r="AH69" i="38"/>
  <c r="U69" i="38"/>
  <c r="W69" i="38" s="1"/>
  <c r="V69" i="38"/>
  <c r="AH70" i="38"/>
  <c r="U70" i="38"/>
  <c r="V70" i="38"/>
  <c r="AH71" i="38"/>
  <c r="U71" i="38"/>
  <c r="W71" i="38" s="1"/>
  <c r="V71" i="38"/>
  <c r="AH72" i="38"/>
  <c r="U72" i="38"/>
  <c r="W72" i="38" s="1"/>
  <c r="V72" i="38"/>
  <c r="AH73" i="38"/>
  <c r="U73" i="38"/>
  <c r="V73" i="38"/>
  <c r="AH74" i="38"/>
  <c r="U74" i="38"/>
  <c r="V74" i="38"/>
  <c r="AH75" i="38"/>
  <c r="U75" i="38"/>
  <c r="W75" i="38" s="1"/>
  <c r="V75" i="38"/>
  <c r="AH76" i="38"/>
  <c r="U76" i="38"/>
  <c r="W76" i="38" s="1"/>
  <c r="V76" i="38"/>
  <c r="AH79" i="38"/>
  <c r="U79" i="38"/>
  <c r="V79" i="38"/>
  <c r="AH80" i="38"/>
  <c r="U80" i="38"/>
  <c r="V80" i="38"/>
  <c r="AH81" i="38"/>
  <c r="U81" i="38"/>
  <c r="W81" i="38" s="1"/>
  <c r="V81" i="38"/>
  <c r="AH82" i="38"/>
  <c r="U82" i="38"/>
  <c r="V82" i="38"/>
  <c r="AH83" i="38"/>
  <c r="U83" i="38"/>
  <c r="V83" i="38"/>
  <c r="AH84" i="38"/>
  <c r="U84" i="38"/>
  <c r="V84" i="38"/>
  <c r="AH86" i="38"/>
  <c r="U86" i="38"/>
  <c r="V86" i="38"/>
  <c r="AH87" i="38"/>
  <c r="U87" i="38"/>
  <c r="V87" i="38"/>
  <c r="AH88" i="38"/>
  <c r="U88" i="38"/>
  <c r="W88" i="38" s="1"/>
  <c r="V88" i="38"/>
  <c r="AH89" i="38"/>
  <c r="U89" i="38"/>
  <c r="V89" i="38"/>
  <c r="AH90" i="38"/>
  <c r="U90" i="38"/>
  <c r="W90" i="38" s="1"/>
  <c r="V90" i="38"/>
  <c r="AH91" i="38"/>
  <c r="U91" i="38"/>
  <c r="V91" i="38"/>
  <c r="AH93" i="38"/>
  <c r="U93" i="38"/>
  <c r="V93" i="38"/>
  <c r="AH94" i="38"/>
  <c r="U94" i="38"/>
  <c r="V94" i="38"/>
  <c r="AH95" i="38"/>
  <c r="U95" i="38"/>
  <c r="V95" i="38"/>
  <c r="AH96" i="38"/>
  <c r="U96" i="38"/>
  <c r="W96" i="38" s="1"/>
  <c r="V96" i="38"/>
  <c r="AH97" i="38"/>
  <c r="U97" i="38"/>
  <c r="W97" i="38" s="1"/>
  <c r="V97" i="38"/>
  <c r="AH98" i="38"/>
  <c r="U98" i="38"/>
  <c r="V98" i="38"/>
  <c r="AH99" i="38"/>
  <c r="U99" i="38"/>
  <c r="W99" i="38" s="1"/>
  <c r="V99" i="38"/>
  <c r="AH100" i="38"/>
  <c r="U100" i="38"/>
  <c r="V100" i="38"/>
  <c r="AH101" i="38"/>
  <c r="U101" i="38"/>
  <c r="W101" i="38" s="1"/>
  <c r="V101" i="38"/>
  <c r="AH102" i="38"/>
  <c r="U102" i="38"/>
  <c r="V102" i="38"/>
  <c r="AH103" i="38"/>
  <c r="U103" i="38"/>
  <c r="V103" i="38"/>
  <c r="AH104" i="38"/>
  <c r="U104" i="38"/>
  <c r="W104" i="38" s="1"/>
  <c r="V104" i="38"/>
  <c r="AH105" i="38"/>
  <c r="U105" i="38"/>
  <c r="V105" i="38"/>
  <c r="AH109" i="38"/>
  <c r="U109" i="38"/>
  <c r="V109" i="38"/>
  <c r="AH110" i="38"/>
  <c r="U110" i="38"/>
  <c r="V110" i="38"/>
  <c r="AH111" i="38"/>
  <c r="U111" i="38"/>
  <c r="V111" i="38"/>
  <c r="AH112" i="38"/>
  <c r="U112" i="38"/>
  <c r="V112" i="38"/>
  <c r="AH113" i="38"/>
  <c r="U113" i="38"/>
  <c r="V113" i="38"/>
  <c r="AH114" i="38"/>
  <c r="U114" i="38"/>
  <c r="W114" i="38" s="1"/>
  <c r="V114" i="38"/>
  <c r="AH118" i="38"/>
  <c r="U118" i="38"/>
  <c r="V118" i="38"/>
  <c r="AH119" i="38"/>
  <c r="U119" i="38"/>
  <c r="V119" i="38"/>
  <c r="AH120" i="38"/>
  <c r="U120" i="38"/>
  <c r="V120" i="38"/>
  <c r="AH121" i="38"/>
  <c r="U121" i="38"/>
  <c r="V121" i="38"/>
  <c r="AH122" i="38"/>
  <c r="U122" i="38"/>
  <c r="V122" i="38"/>
  <c r="AH123" i="38"/>
  <c r="U123" i="38"/>
  <c r="V123" i="38"/>
  <c r="AH130" i="38"/>
  <c r="U130" i="38"/>
  <c r="V130" i="38"/>
  <c r="AH131" i="38"/>
  <c r="U131" i="38"/>
  <c r="V131" i="38"/>
  <c r="AH132" i="38"/>
  <c r="U132" i="38"/>
  <c r="V132" i="38"/>
  <c r="AH46" i="38"/>
  <c r="U46" i="38"/>
  <c r="V46" i="38"/>
  <c r="AH47" i="38"/>
  <c r="U47" i="38"/>
  <c r="V47" i="38"/>
  <c r="AH133" i="38"/>
  <c r="U133" i="38"/>
  <c r="V133" i="38"/>
  <c r="AH134" i="38"/>
  <c r="U134" i="38"/>
  <c r="V134" i="38"/>
  <c r="AH135" i="38"/>
  <c r="U135" i="38"/>
  <c r="V135" i="38"/>
  <c r="AH136" i="38"/>
  <c r="U136" i="38"/>
  <c r="V136" i="38"/>
  <c r="AH137" i="38"/>
  <c r="U137" i="38"/>
  <c r="V137" i="38"/>
  <c r="AH138" i="38"/>
  <c r="U138" i="38"/>
  <c r="V138" i="38"/>
  <c r="AH139" i="38"/>
  <c r="U139" i="38"/>
  <c r="V139" i="38"/>
  <c r="AH140" i="38"/>
  <c r="U140" i="38"/>
  <c r="V140" i="38"/>
  <c r="AH141" i="38"/>
  <c r="U141" i="38"/>
  <c r="V141" i="38"/>
  <c r="AH142" i="38"/>
  <c r="U142" i="38"/>
  <c r="V142" i="38"/>
  <c r="AH143" i="38"/>
  <c r="U143" i="38"/>
  <c r="V143" i="38"/>
  <c r="AH144" i="38"/>
  <c r="U144" i="38"/>
  <c r="V144" i="38"/>
  <c r="AH145" i="38"/>
  <c r="U145" i="38"/>
  <c r="V145" i="38"/>
  <c r="AH146" i="38"/>
  <c r="U146" i="38"/>
  <c r="V146" i="38"/>
  <c r="AH147" i="38"/>
  <c r="U147" i="38"/>
  <c r="V147" i="38"/>
  <c r="AH157" i="38"/>
  <c r="U157" i="38"/>
  <c r="V157" i="38"/>
  <c r="AH158" i="38"/>
  <c r="U158" i="38"/>
  <c r="V158" i="38"/>
  <c r="AH159" i="38"/>
  <c r="U159" i="38"/>
  <c r="W159" i="38" s="1"/>
  <c r="V159" i="38"/>
  <c r="AH160" i="38"/>
  <c r="U160" i="38"/>
  <c r="V160" i="38"/>
  <c r="AH161" i="38"/>
  <c r="U161" i="38"/>
  <c r="V161" i="38"/>
  <c r="AH162" i="38"/>
  <c r="U162" i="38"/>
  <c r="W162" i="38" s="1"/>
  <c r="V162" i="38"/>
  <c r="AH171" i="38"/>
  <c r="U171" i="38"/>
  <c r="V171" i="38"/>
  <c r="AH172" i="38"/>
  <c r="U172" i="38"/>
  <c r="V172" i="38"/>
  <c r="AH173" i="38"/>
  <c r="U173" i="38"/>
  <c r="V173" i="38"/>
  <c r="AH174" i="38"/>
  <c r="U174" i="38"/>
  <c r="V174" i="38"/>
  <c r="AH175" i="38"/>
  <c r="U175" i="38"/>
  <c r="V175" i="38"/>
  <c r="AH176" i="38"/>
  <c r="U176" i="38"/>
  <c r="V176" i="38"/>
  <c r="AH182" i="38"/>
  <c r="U182" i="38"/>
  <c r="V182" i="38"/>
  <c r="AH183" i="38"/>
  <c r="U183" i="38"/>
  <c r="V183" i="38"/>
  <c r="AH184" i="38"/>
  <c r="U184" i="38"/>
  <c r="V184" i="38"/>
  <c r="AH185" i="38"/>
  <c r="U185" i="38"/>
  <c r="V185" i="38"/>
  <c r="AH186" i="38"/>
  <c r="U186" i="38"/>
  <c r="V186" i="38"/>
  <c r="AH189" i="38"/>
  <c r="U189" i="38"/>
  <c r="V189" i="38"/>
  <c r="AH190" i="38"/>
  <c r="U190" i="38"/>
  <c r="V190" i="38"/>
  <c r="AH191" i="38"/>
  <c r="U191" i="38"/>
  <c r="V191" i="38"/>
  <c r="AH192" i="38"/>
  <c r="U192" i="38"/>
  <c r="V192" i="38"/>
  <c r="AH193" i="38"/>
  <c r="U193" i="38"/>
  <c r="V193" i="38"/>
  <c r="AH194" i="38"/>
  <c r="U194" i="38"/>
  <c r="V194" i="38"/>
  <c r="AH195" i="38"/>
  <c r="U195" i="38"/>
  <c r="V195" i="38"/>
  <c r="AH196" i="38"/>
  <c r="U196" i="38"/>
  <c r="V196" i="38"/>
  <c r="AH197" i="38"/>
  <c r="U197" i="38"/>
  <c r="V197" i="38"/>
  <c r="AH198" i="38"/>
  <c r="U198" i="38"/>
  <c r="V198" i="38"/>
  <c r="AH199" i="38"/>
  <c r="U199" i="38"/>
  <c r="V199" i="38"/>
  <c r="AH200" i="38"/>
  <c r="U200" i="38"/>
  <c r="V200" i="38"/>
  <c r="AH201" i="38"/>
  <c r="U201" i="38"/>
  <c r="V201" i="38"/>
  <c r="AH202" i="38"/>
  <c r="U202" i="38"/>
  <c r="V202" i="38"/>
  <c r="AH203" i="38"/>
  <c r="U203" i="38"/>
  <c r="V203" i="38"/>
  <c r="AH204" i="38"/>
  <c r="U204" i="38"/>
  <c r="V204" i="38"/>
  <c r="AH205" i="38"/>
  <c r="U205" i="38"/>
  <c r="V205" i="38"/>
  <c r="AH206" i="38"/>
  <c r="U206" i="38"/>
  <c r="V206" i="38"/>
  <c r="AH207" i="38"/>
  <c r="U207" i="38"/>
  <c r="V207" i="38"/>
  <c r="AH208" i="38"/>
  <c r="U208" i="38"/>
  <c r="V208" i="38"/>
  <c r="AH209" i="38"/>
  <c r="U209" i="38"/>
  <c r="V209" i="38"/>
  <c r="AH210" i="38"/>
  <c r="U210" i="38"/>
  <c r="V210" i="38"/>
  <c r="AH211" i="38"/>
  <c r="U211" i="38"/>
  <c r="V211" i="38"/>
  <c r="AH212" i="38"/>
  <c r="U212" i="38"/>
  <c r="V212" i="38"/>
  <c r="AH213" i="38"/>
  <c r="U213" i="38"/>
  <c r="V213" i="38"/>
  <c r="AH214" i="38"/>
  <c r="U214" i="38"/>
  <c r="V214" i="38"/>
  <c r="AH215" i="38"/>
  <c r="U215" i="38"/>
  <c r="V215" i="38"/>
  <c r="AH216" i="38"/>
  <c r="U216" i="38"/>
  <c r="V216" i="38"/>
  <c r="AH217" i="38"/>
  <c r="U217" i="38"/>
  <c r="V217" i="38"/>
  <c r="AH218" i="38"/>
  <c r="U218" i="38"/>
  <c r="V218" i="38"/>
  <c r="AH219" i="38"/>
  <c r="U219" i="38"/>
  <c r="V219" i="38"/>
  <c r="AH220" i="38"/>
  <c r="U220" i="38"/>
  <c r="V220" i="38"/>
  <c r="AH221" i="38"/>
  <c r="U221" i="38"/>
  <c r="V221" i="38"/>
  <c r="AH222" i="38"/>
  <c r="U222" i="38"/>
  <c r="V222" i="38"/>
  <c r="AH223" i="38"/>
  <c r="U223" i="38"/>
  <c r="V223" i="38"/>
  <c r="AH224" i="38"/>
  <c r="U224" i="38"/>
  <c r="V224" i="38"/>
  <c r="AH225" i="38"/>
  <c r="U225" i="38"/>
  <c r="V225" i="38"/>
  <c r="AH226" i="38"/>
  <c r="U226" i="38"/>
  <c r="V226" i="38"/>
  <c r="AH227" i="38"/>
  <c r="U227" i="38"/>
  <c r="V227" i="38"/>
  <c r="AH228" i="38"/>
  <c r="U228" i="38"/>
  <c r="V228" i="38"/>
  <c r="AH229" i="38"/>
  <c r="U229" i="38"/>
  <c r="V229" i="38"/>
  <c r="AH230" i="38"/>
  <c r="U230" i="38"/>
  <c r="V230" i="38"/>
  <c r="AH231" i="38"/>
  <c r="U231" i="38"/>
  <c r="V231" i="38"/>
  <c r="AH232" i="38"/>
  <c r="U232" i="38"/>
  <c r="V232" i="38"/>
  <c r="AH233" i="38"/>
  <c r="U233" i="38"/>
  <c r="V233" i="38"/>
  <c r="AH234" i="38"/>
  <c r="U234" i="38"/>
  <c r="V234" i="38"/>
  <c r="AH235" i="38"/>
  <c r="U235" i="38"/>
  <c r="V235" i="38"/>
  <c r="AH236" i="38"/>
  <c r="U236" i="38"/>
  <c r="V236" i="38"/>
  <c r="AH237" i="38"/>
  <c r="U237" i="38"/>
  <c r="V237" i="38"/>
  <c r="AH238" i="38"/>
  <c r="U238" i="38"/>
  <c r="V238" i="38"/>
  <c r="AH239" i="38"/>
  <c r="U239" i="38"/>
  <c r="V239" i="38"/>
  <c r="AH240" i="38"/>
  <c r="U240" i="38"/>
  <c r="V240" i="38"/>
  <c r="AH241" i="38"/>
  <c r="U241" i="38"/>
  <c r="V241" i="38"/>
  <c r="AH242" i="38"/>
  <c r="U242" i="38"/>
  <c r="V242" i="38"/>
  <c r="AH243" i="38"/>
  <c r="U243" i="38"/>
  <c r="V243" i="38"/>
  <c r="AH244" i="38"/>
  <c r="U244" i="38"/>
  <c r="V244" i="38"/>
  <c r="AH31" i="38"/>
  <c r="U31" i="38"/>
  <c r="V31" i="38"/>
  <c r="U256" i="38"/>
  <c r="AH256" i="38"/>
  <c r="V256" i="38"/>
  <c r="V265" i="38"/>
  <c r="AH265" i="38"/>
  <c r="U265" i="38"/>
  <c r="AH291" i="38"/>
  <c r="U291" i="38"/>
  <c r="V291" i="38"/>
  <c r="AH294" i="38"/>
  <c r="U294" i="38"/>
  <c r="V294" i="38"/>
  <c r="V295" i="38"/>
  <c r="AH295" i="38"/>
  <c r="U295" i="38"/>
  <c r="W295" i="38" s="1"/>
  <c r="AH299" i="38"/>
  <c r="U299" i="38"/>
  <c r="V299" i="38"/>
  <c r="AH307" i="38"/>
  <c r="U307" i="38"/>
  <c r="V307" i="38"/>
  <c r="V308" i="38"/>
  <c r="AH308" i="38"/>
  <c r="U308" i="38"/>
  <c r="W308" i="38" s="1"/>
  <c r="U319" i="38"/>
  <c r="V319" i="38"/>
  <c r="AH319" i="38"/>
  <c r="V320" i="38"/>
  <c r="AH320" i="38"/>
  <c r="U320" i="38"/>
  <c r="W320" i="38" s="1"/>
  <c r="AH333" i="38"/>
  <c r="U333" i="38"/>
  <c r="V333" i="38"/>
  <c r="AH334" i="38"/>
  <c r="U334" i="38"/>
  <c r="V334" i="38"/>
  <c r="AH335" i="38"/>
  <c r="U335" i="38"/>
  <c r="V335" i="38"/>
  <c r="AH336" i="38"/>
  <c r="U336" i="38"/>
  <c r="V336" i="38"/>
  <c r="AH338" i="38"/>
  <c r="U338" i="38"/>
  <c r="V338" i="38"/>
  <c r="AH339" i="38"/>
  <c r="U339" i="38"/>
  <c r="V339" i="38"/>
  <c r="AH340" i="38"/>
  <c r="U340" i="38"/>
  <c r="V340" i="38"/>
  <c r="AH341" i="38"/>
  <c r="U341" i="38"/>
  <c r="V341" i="38"/>
  <c r="AH342" i="38"/>
  <c r="U342" i="38"/>
  <c r="V342" i="38"/>
  <c r="AH343" i="38"/>
  <c r="U343" i="38"/>
  <c r="V343" i="38"/>
  <c r="AH345" i="38"/>
  <c r="U345" i="38"/>
  <c r="V345" i="38"/>
  <c r="AH346" i="38"/>
  <c r="U346" i="38"/>
  <c r="V346" i="38"/>
  <c r="AH347" i="38"/>
  <c r="U347" i="38"/>
  <c r="V347" i="38"/>
  <c r="AH348" i="38"/>
  <c r="U348" i="38"/>
  <c r="V348" i="38"/>
  <c r="AH349" i="38"/>
  <c r="U349" i="38"/>
  <c r="V349" i="38"/>
  <c r="AH350" i="38"/>
  <c r="U350" i="38"/>
  <c r="V350" i="38"/>
  <c r="AH453" i="38"/>
  <c r="U453" i="38"/>
  <c r="V453" i="38"/>
  <c r="AH32" i="38"/>
  <c r="U32" i="38"/>
  <c r="V32" i="38"/>
  <c r="AH245" i="38"/>
  <c r="V245" i="38"/>
  <c r="U245" i="38"/>
  <c r="W245" i="38" s="1"/>
  <c r="U246" i="38"/>
  <c r="AH246" i="38"/>
  <c r="V246" i="38"/>
  <c r="AH249" i="38"/>
  <c r="U249" i="38"/>
  <c r="V249" i="38"/>
  <c r="AH251" i="38"/>
  <c r="U251" i="38"/>
  <c r="V251" i="38"/>
  <c r="V253" i="38"/>
  <c r="AH253" i="38"/>
  <c r="U253" i="38"/>
  <c r="W253" i="38" s="1"/>
  <c r="V254" i="38"/>
  <c r="U254" i="38"/>
  <c r="W254" i="38" s="1"/>
  <c r="AH254" i="38"/>
  <c r="V257" i="38"/>
  <c r="AH257" i="38"/>
  <c r="U257" i="38"/>
  <c r="U268" i="38"/>
  <c r="AH268" i="38"/>
  <c r="V268" i="38"/>
  <c r="U270" i="38"/>
  <c r="AH270" i="38"/>
  <c r="V270" i="38"/>
  <c r="AH276" i="38"/>
  <c r="U276" i="38"/>
  <c r="V276" i="38"/>
  <c r="U277" i="38"/>
  <c r="AH277" i="38"/>
  <c r="V277" i="38"/>
  <c r="AH279" i="38"/>
  <c r="U279" i="38"/>
  <c r="V279" i="38"/>
  <c r="U283" i="38"/>
  <c r="AH283" i="38"/>
  <c r="V283" i="38"/>
  <c r="AH284" i="38"/>
  <c r="U284" i="38"/>
  <c r="V284" i="38"/>
  <c r="AH287" i="38"/>
  <c r="U287" i="38"/>
  <c r="V287" i="38"/>
  <c r="AH298" i="38"/>
  <c r="U298" i="38"/>
  <c r="V298" i="38"/>
  <c r="V303" i="38"/>
  <c r="AH303" i="38"/>
  <c r="U303" i="38"/>
  <c r="W303" i="38" s="1"/>
  <c r="AH322" i="38"/>
  <c r="U322" i="38"/>
  <c r="V322" i="38"/>
  <c r="U331" i="38"/>
  <c r="AH331" i="38"/>
  <c r="V331" i="38"/>
  <c r="AH332" i="38"/>
  <c r="V332" i="38"/>
  <c r="U332" i="38"/>
  <c r="W332" i="38" s="1"/>
  <c r="AH359" i="38"/>
  <c r="U359" i="38"/>
  <c r="V359" i="38"/>
  <c r="AH360" i="38"/>
  <c r="U360" i="38"/>
  <c r="V360" i="38"/>
  <c r="AH361" i="38"/>
  <c r="U361" i="38"/>
  <c r="V361" i="38"/>
  <c r="V362" i="38"/>
  <c r="AH362" i="38"/>
  <c r="U362" i="38"/>
  <c r="W362" i="38" s="1"/>
  <c r="AH363" i="38"/>
  <c r="V363" i="38"/>
  <c r="U363" i="38"/>
  <c r="W363" i="38" s="1"/>
  <c r="U379" i="38"/>
  <c r="AH379" i="38"/>
  <c r="V379" i="38"/>
  <c r="U393" i="38"/>
  <c r="AH393" i="38"/>
  <c r="V393" i="38"/>
  <c r="U400" i="38"/>
  <c r="AH400" i="38"/>
  <c r="V400" i="38"/>
  <c r="AH410" i="38"/>
  <c r="U410" i="38"/>
  <c r="V410" i="38"/>
  <c r="U413" i="38"/>
  <c r="AH413" i="38"/>
  <c r="V413" i="38"/>
  <c r="AH435" i="38"/>
  <c r="U435" i="38"/>
  <c r="V435" i="38"/>
  <c r="U456" i="38"/>
  <c r="AH456" i="38"/>
  <c r="V456" i="38"/>
  <c r="U477" i="38"/>
  <c r="AH477" i="38"/>
  <c r="V477" i="38"/>
  <c r="U478" i="38"/>
  <c r="AH478" i="38"/>
  <c r="V478" i="38"/>
  <c r="U479" i="38"/>
  <c r="AH479" i="38"/>
  <c r="V479" i="38"/>
  <c r="V492" i="38"/>
  <c r="AH492" i="38"/>
  <c r="U492" i="38"/>
  <c r="W492" i="38" s="1"/>
  <c r="U517" i="38"/>
  <c r="V517" i="38"/>
  <c r="AH517" i="38"/>
  <c r="V519" i="38"/>
  <c r="AH519" i="38"/>
  <c r="U519" i="38"/>
  <c r="W519" i="38" s="1"/>
  <c r="AH533" i="38"/>
  <c r="U533" i="38"/>
  <c r="V533" i="38"/>
  <c r="AH544" i="38"/>
  <c r="U544" i="38"/>
  <c r="V544" i="38"/>
  <c r="AH547" i="38"/>
  <c r="U547" i="38"/>
  <c r="V547" i="38"/>
  <c r="AH30" i="38"/>
  <c r="V30" i="38"/>
  <c r="U30" i="38"/>
  <c r="W30" i="38" s="1"/>
  <c r="AH252" i="38"/>
  <c r="U252" i="38"/>
  <c r="V252" i="38"/>
  <c r="V258" i="38"/>
  <c r="AH258" i="38"/>
  <c r="U258" i="38"/>
  <c r="U261" i="38"/>
  <c r="AH261" i="38"/>
  <c r="V261" i="38"/>
  <c r="V263" i="38"/>
  <c r="U263" i="38"/>
  <c r="AH263" i="38"/>
  <c r="AH271" i="38"/>
  <c r="U271" i="38"/>
  <c r="V271" i="38"/>
  <c r="AH273" i="38"/>
  <c r="U273" i="38"/>
  <c r="V273" i="38"/>
  <c r="AH274" i="38"/>
  <c r="U274" i="38"/>
  <c r="V274" i="38"/>
  <c r="U275" i="38"/>
  <c r="AH275" i="38"/>
  <c r="V275" i="38"/>
  <c r="U278" i="38"/>
  <c r="AH278" i="38"/>
  <c r="V278" i="38"/>
  <c r="U280" i="38"/>
  <c r="AH280" i="38"/>
  <c r="V280" i="38"/>
  <c r="AH285" i="38"/>
  <c r="U285" i="38"/>
  <c r="V285" i="38"/>
  <c r="U286" i="38"/>
  <c r="AH286" i="38"/>
  <c r="V286" i="38"/>
  <c r="U288" i="38"/>
  <c r="AH288" i="38"/>
  <c r="V288" i="38"/>
  <c r="AH289" i="38"/>
  <c r="U289" i="38"/>
  <c r="V289" i="38"/>
  <c r="V290" i="38"/>
  <c r="AH290" i="38"/>
  <c r="U290" i="38"/>
  <c r="W290" i="38" s="1"/>
  <c r="U301" i="38"/>
  <c r="AH301" i="38"/>
  <c r="V301" i="38"/>
  <c r="AH302" i="38"/>
  <c r="U302" i="38"/>
  <c r="V302" i="38"/>
  <c r="AH309" i="38"/>
  <c r="U309" i="38"/>
  <c r="V309" i="38"/>
  <c r="AH312" i="38"/>
  <c r="U312" i="38"/>
  <c r="V312" i="38"/>
  <c r="AH316" i="38"/>
  <c r="U316" i="38"/>
  <c r="V316" i="38"/>
  <c r="AH323" i="38"/>
  <c r="U323" i="38"/>
  <c r="V323" i="38"/>
  <c r="U326" i="38"/>
  <c r="AH326" i="38"/>
  <c r="V326" i="38"/>
  <c r="AH328" i="38"/>
  <c r="U328" i="38"/>
  <c r="V328" i="38"/>
  <c r="U329" i="38"/>
  <c r="AH329" i="38"/>
  <c r="V329" i="38"/>
  <c r="AH330" i="38"/>
  <c r="U330" i="38"/>
  <c r="V330" i="38"/>
  <c r="AH372" i="38"/>
  <c r="U372" i="38"/>
  <c r="V372" i="38"/>
  <c r="AH373" i="38"/>
  <c r="U373" i="38"/>
  <c r="V373" i="38"/>
  <c r="U377" i="38"/>
  <c r="AH377" i="38"/>
  <c r="V377" i="38"/>
  <c r="AH378" i="38"/>
  <c r="U378" i="38"/>
  <c r="V378" i="38"/>
  <c r="V386" i="38"/>
  <c r="AH386" i="38"/>
  <c r="U386" i="38"/>
  <c r="W386" i="38" s="1"/>
  <c r="AH391" i="38"/>
  <c r="U391" i="38"/>
  <c r="V391" i="38"/>
  <c r="AH397" i="38"/>
  <c r="U397" i="38"/>
  <c r="V397" i="38"/>
  <c r="AH398" i="38"/>
  <c r="U398" i="38"/>
  <c r="V398" i="38"/>
  <c r="U411" i="38"/>
  <c r="AH411" i="38"/>
  <c r="V411" i="38"/>
  <c r="V422" i="38"/>
  <c r="AH422" i="38"/>
  <c r="U422" i="38"/>
  <c r="W422" i="38" s="1"/>
  <c r="V423" i="38"/>
  <c r="AH423" i="38"/>
  <c r="U423" i="38"/>
  <c r="W423" i="38" s="1"/>
  <c r="AH424" i="38"/>
  <c r="U424" i="38"/>
  <c r="W424" i="38" s="1"/>
  <c r="V424" i="38"/>
  <c r="AH433" i="38"/>
  <c r="U433" i="38"/>
  <c r="V433" i="38"/>
  <c r="V436" i="38"/>
  <c r="AH436" i="38"/>
  <c r="U436" i="38"/>
  <c r="W436" i="38" s="1"/>
  <c r="AH445" i="38"/>
  <c r="V445" i="38"/>
  <c r="U445" i="38"/>
  <c r="W445" i="38" s="1"/>
  <c r="AH446" i="38"/>
  <c r="V446" i="38"/>
  <c r="U446" i="38"/>
  <c r="W446" i="38" s="1"/>
  <c r="U447" i="38"/>
  <c r="AH447" i="38"/>
  <c r="V447" i="38"/>
  <c r="U449" i="38"/>
  <c r="AH449" i="38"/>
  <c r="V449" i="38"/>
  <c r="AH452" i="38"/>
  <c r="U452" i="38"/>
  <c r="W452" i="38" s="1"/>
  <c r="V452" i="38"/>
  <c r="U455" i="38"/>
  <c r="AH455" i="38"/>
  <c r="V455" i="38"/>
  <c r="AH464" i="38"/>
  <c r="U464" i="38"/>
  <c r="V464" i="38"/>
  <c r="V465" i="38"/>
  <c r="AH465" i="38"/>
  <c r="U465" i="38"/>
  <c r="W465" i="38" s="1"/>
  <c r="AH466" i="38"/>
  <c r="U466" i="38"/>
  <c r="W466" i="38" s="1"/>
  <c r="V466" i="38"/>
  <c r="U467" i="38"/>
  <c r="V467" i="38"/>
  <c r="AH467" i="38"/>
  <c r="AH476" i="38"/>
  <c r="U476" i="38"/>
  <c r="V476" i="38"/>
  <c r="AH491" i="38"/>
  <c r="V491" i="38"/>
  <c r="U491" i="38"/>
  <c r="W491" i="38" s="1"/>
  <c r="V494" i="38"/>
  <c r="AH494" i="38"/>
  <c r="U494" i="38"/>
  <c r="W494" i="38" s="1"/>
  <c r="AH500" i="38"/>
  <c r="U500" i="38"/>
  <c r="W500" i="38" s="1"/>
  <c r="V500" i="38"/>
  <c r="AH515" i="38"/>
  <c r="U515" i="38"/>
  <c r="V515" i="38"/>
  <c r="U518" i="38"/>
  <c r="W518" i="38" s="1"/>
  <c r="AH518" i="38"/>
  <c r="V518" i="38"/>
  <c r="AH531" i="38"/>
  <c r="U531" i="38"/>
  <c r="W531" i="38" s="1"/>
  <c r="V531" i="38"/>
  <c r="AH532" i="38"/>
  <c r="U532" i="38"/>
  <c r="V532" i="38"/>
  <c r="V534" i="38"/>
  <c r="U534" i="38"/>
  <c r="AH534" i="38"/>
  <c r="AH545" i="38"/>
  <c r="U545" i="38"/>
  <c r="V545" i="38"/>
  <c r="U255" i="38"/>
  <c r="W255" i="38" s="1"/>
  <c r="V255" i="38"/>
  <c r="AH255" i="38"/>
  <c r="V259" i="38"/>
  <c r="AH259" i="38"/>
  <c r="U259" i="38"/>
  <c r="V269" i="38"/>
  <c r="AH269" i="38"/>
  <c r="U269" i="38"/>
  <c r="AH272" i="38"/>
  <c r="U272" i="38"/>
  <c r="V272" i="38"/>
  <c r="AH281" i="38"/>
  <c r="V281" i="38"/>
  <c r="U281" i="38"/>
  <c r="V282" i="38"/>
  <c r="AH282" i="38"/>
  <c r="U282" i="38"/>
  <c r="V292" i="38"/>
  <c r="AH292" i="38"/>
  <c r="U292" i="38"/>
  <c r="W292" i="38" s="1"/>
  <c r="AH293" i="38"/>
  <c r="V293" i="38"/>
  <c r="U293" i="38"/>
  <c r="W293" i="38" s="1"/>
  <c r="U296" i="38"/>
  <c r="AH296" i="38"/>
  <c r="V296" i="38"/>
  <c r="AH297" i="38"/>
  <c r="V297" i="38"/>
  <c r="U297" i="38"/>
  <c r="W297" i="38" s="1"/>
  <c r="V300" i="38"/>
  <c r="AH300" i="38"/>
  <c r="U300" i="38"/>
  <c r="W300" i="38" s="1"/>
  <c r="U310" i="38"/>
  <c r="AH310" i="38"/>
  <c r="V310" i="38"/>
  <c r="U311" i="38"/>
  <c r="V311" i="38"/>
  <c r="AH311" i="38"/>
  <c r="AH317" i="38"/>
  <c r="U317" i="38"/>
  <c r="W317" i="38" s="1"/>
  <c r="V317" i="38"/>
  <c r="AH318" i="38"/>
  <c r="U318" i="38"/>
  <c r="W318" i="38" s="1"/>
  <c r="V318" i="38"/>
  <c r="V321" i="38"/>
  <c r="AH321" i="38"/>
  <c r="U321" i="38"/>
  <c r="W321" i="38" s="1"/>
  <c r="U324" i="38"/>
  <c r="W324" i="38" s="1"/>
  <c r="V324" i="38"/>
  <c r="AH324" i="38"/>
  <c r="AH325" i="38"/>
  <c r="V325" i="38"/>
  <c r="U325" i="38"/>
  <c r="W325" i="38" s="1"/>
  <c r="AH327" i="38"/>
  <c r="U327" i="38"/>
  <c r="W327" i="38" s="1"/>
  <c r="V327" i="38"/>
  <c r="V374" i="38"/>
  <c r="AH374" i="38"/>
  <c r="U374" i="38"/>
  <c r="W374" i="38" s="1"/>
  <c r="AH375" i="38"/>
  <c r="U375" i="38"/>
  <c r="V375" i="38"/>
  <c r="AH376" i="38"/>
  <c r="U376" i="38"/>
  <c r="V376" i="38"/>
  <c r="AH383" i="38"/>
  <c r="U383" i="38"/>
  <c r="V383" i="38"/>
  <c r="V384" i="38"/>
  <c r="AH384" i="38"/>
  <c r="U384" i="38"/>
  <c r="W384" i="38" s="1"/>
  <c r="U385" i="38"/>
  <c r="V385" i="38"/>
  <c r="AH385" i="38"/>
  <c r="AH390" i="38"/>
  <c r="U390" i="38"/>
  <c r="V390" i="38"/>
  <c r="AH392" i="38"/>
  <c r="U392" i="38"/>
  <c r="V392" i="38"/>
  <c r="AH399" i="38"/>
  <c r="V399" i="38"/>
  <c r="U399" i="38"/>
  <c r="W399" i="38" s="1"/>
  <c r="V412" i="38"/>
  <c r="U412" i="38"/>
  <c r="W412" i="38" s="1"/>
  <c r="AH412" i="38"/>
  <c r="AH421" i="38"/>
  <c r="U421" i="38"/>
  <c r="W421" i="38" s="1"/>
  <c r="V421" i="38"/>
  <c r="U432" i="38"/>
  <c r="AH432" i="38"/>
  <c r="V432" i="38"/>
  <c r="V434" i="38"/>
  <c r="AH434" i="38"/>
  <c r="U434" i="38"/>
  <c r="W434" i="38" s="1"/>
  <c r="U448" i="38"/>
  <c r="AH448" i="38"/>
  <c r="V448" i="38"/>
  <c r="U454" i="38"/>
  <c r="AH454" i="38"/>
  <c r="V454" i="38"/>
  <c r="AH490" i="38"/>
  <c r="U490" i="38"/>
  <c r="V490" i="38"/>
  <c r="V493" i="38"/>
  <c r="AH493" i="38"/>
  <c r="U493" i="38"/>
  <c r="W493" i="38" s="1"/>
  <c r="AH501" i="38"/>
  <c r="U501" i="38"/>
  <c r="V501" i="38"/>
  <c r="AH502" i="38"/>
  <c r="U502" i="38"/>
  <c r="V502" i="38"/>
  <c r="AH503" i="38"/>
  <c r="U503" i="38"/>
  <c r="V503" i="38"/>
  <c r="U516" i="38"/>
  <c r="AH516" i="38"/>
  <c r="V516" i="38"/>
  <c r="V535" i="38"/>
  <c r="AH535" i="38"/>
  <c r="U535" i="38"/>
  <c r="AH546" i="38"/>
  <c r="U546" i="38"/>
  <c r="V546" i="38"/>
  <c r="AH548" i="38"/>
  <c r="U548" i="38"/>
  <c r="V548" i="38"/>
  <c r="AH557" i="38"/>
  <c r="U557" i="38"/>
  <c r="V557" i="38"/>
  <c r="AH247" i="38"/>
  <c r="U247" i="38"/>
  <c r="V247" i="38"/>
  <c r="AH248" i="38"/>
  <c r="U248" i="38"/>
  <c r="V248" i="38"/>
  <c r="AH250" i="38"/>
  <c r="U250" i="38"/>
  <c r="V250" i="38"/>
  <c r="U260" i="38"/>
  <c r="AH260" i="38"/>
  <c r="V260" i="38"/>
  <c r="AH262" i="38"/>
  <c r="V262" i="38"/>
  <c r="U262" i="38"/>
  <c r="AH264" i="38"/>
  <c r="U264" i="38"/>
  <c r="V264" i="38"/>
  <c r="AH266" i="38"/>
  <c r="V266" i="38"/>
  <c r="U266" i="38"/>
  <c r="U267" i="38"/>
  <c r="AH267" i="38"/>
  <c r="V267" i="38"/>
  <c r="AJ418" i="36"/>
  <c r="AI418" i="36"/>
  <c r="AF418" i="36"/>
  <c r="AJ417" i="36"/>
  <c r="AI417" i="36"/>
  <c r="AF417" i="36"/>
  <c r="Q417" i="36"/>
  <c r="Q418" i="36" s="1"/>
  <c r="P417" i="36"/>
  <c r="P418" i="36" s="1"/>
  <c r="O417" i="36"/>
  <c r="O418" i="36" s="1"/>
  <c r="H417" i="36"/>
  <c r="H418" i="36" s="1"/>
  <c r="T418" i="36" s="1"/>
  <c r="AH418" i="36" s="1"/>
  <c r="E417" i="36"/>
  <c r="E418" i="36" s="1"/>
  <c r="C417" i="36"/>
  <c r="C418" i="36" s="1"/>
  <c r="B417" i="36"/>
  <c r="B418" i="36" s="1"/>
  <c r="T416" i="36"/>
  <c r="AF416" i="36" s="1"/>
  <c r="AJ415" i="36"/>
  <c r="AI415" i="36"/>
  <c r="AF415" i="36"/>
  <c r="AJ414" i="36"/>
  <c r="AI414" i="36"/>
  <c r="AF414" i="36"/>
  <c r="AJ413" i="36"/>
  <c r="AI413" i="36"/>
  <c r="AF413" i="36"/>
  <c r="AJ412" i="36"/>
  <c r="AI412" i="36"/>
  <c r="AF412" i="36"/>
  <c r="AJ411" i="36"/>
  <c r="AI411" i="36"/>
  <c r="AF411" i="36"/>
  <c r="AJ410" i="36"/>
  <c r="AI410" i="36"/>
  <c r="AF410" i="36"/>
  <c r="AJ409" i="36"/>
  <c r="AI409" i="36"/>
  <c r="AF409" i="36"/>
  <c r="AJ408" i="36"/>
  <c r="AI408" i="36"/>
  <c r="AF408" i="36"/>
  <c r="AJ407" i="36"/>
  <c r="AI407" i="36"/>
  <c r="AF407" i="36"/>
  <c r="AJ406" i="36"/>
  <c r="AI406" i="36"/>
  <c r="AF406" i="36"/>
  <c r="AJ405" i="36"/>
  <c r="AI405" i="36"/>
  <c r="AF405" i="36"/>
  <c r="AJ404" i="36"/>
  <c r="AI404" i="36"/>
  <c r="AF404" i="36"/>
  <c r="Q404" i="36"/>
  <c r="Q405" i="36" s="1"/>
  <c r="Q406" i="36" s="1"/>
  <c r="Q407" i="36" s="1"/>
  <c r="Q408" i="36" s="1"/>
  <c r="Q409" i="36" s="1"/>
  <c r="Q410" i="36" s="1"/>
  <c r="Q411" i="36" s="1"/>
  <c r="Q412" i="36" s="1"/>
  <c r="Q413" i="36" s="1"/>
  <c r="Q414" i="36" s="1"/>
  <c r="Q415" i="36" s="1"/>
  <c r="P404" i="36"/>
  <c r="P405" i="36" s="1"/>
  <c r="P406" i="36" s="1"/>
  <c r="P407" i="36" s="1"/>
  <c r="P408" i="36" s="1"/>
  <c r="P409" i="36" s="1"/>
  <c r="P410" i="36" s="1"/>
  <c r="P411" i="36" s="1"/>
  <c r="P412" i="36" s="1"/>
  <c r="P413" i="36" s="1"/>
  <c r="P414" i="36" s="1"/>
  <c r="P415" i="36" s="1"/>
  <c r="O404" i="36"/>
  <c r="O405" i="36" s="1"/>
  <c r="O406" i="36" s="1"/>
  <c r="O407" i="36" s="1"/>
  <c r="O408" i="36" s="1"/>
  <c r="O409" i="36" s="1"/>
  <c r="O410" i="36" s="1"/>
  <c r="O411" i="36" s="1"/>
  <c r="O412" i="36" s="1"/>
  <c r="O413" i="36" s="1"/>
  <c r="O414" i="36" s="1"/>
  <c r="O415" i="36" s="1"/>
  <c r="H404" i="36"/>
  <c r="E404" i="36"/>
  <c r="E405" i="36" s="1"/>
  <c r="E406" i="36" s="1"/>
  <c r="E407" i="36" s="1"/>
  <c r="E408" i="36" s="1"/>
  <c r="E409" i="36" s="1"/>
  <c r="E410" i="36" s="1"/>
  <c r="E411" i="36" s="1"/>
  <c r="E412" i="36" s="1"/>
  <c r="E413" i="36" s="1"/>
  <c r="E414" i="36" s="1"/>
  <c r="E415" i="36" s="1"/>
  <c r="C404" i="36"/>
  <c r="C405" i="36" s="1"/>
  <c r="C406" i="36" s="1"/>
  <c r="C407" i="36" s="1"/>
  <c r="C408" i="36" s="1"/>
  <c r="C409" i="36" s="1"/>
  <c r="C410" i="36" s="1"/>
  <c r="C411" i="36" s="1"/>
  <c r="C412" i="36" s="1"/>
  <c r="C413" i="36" s="1"/>
  <c r="C414" i="36" s="1"/>
  <c r="C415" i="36" s="1"/>
  <c r="B404" i="36"/>
  <c r="B405" i="36" s="1"/>
  <c r="B406" i="36" s="1"/>
  <c r="B407" i="36" s="1"/>
  <c r="B408" i="36" s="1"/>
  <c r="B409" i="36" s="1"/>
  <c r="B410" i="36" s="1"/>
  <c r="B411" i="36" s="1"/>
  <c r="B412" i="36" s="1"/>
  <c r="B413" i="36" s="1"/>
  <c r="B414" i="36" s="1"/>
  <c r="B415" i="36" s="1"/>
  <c r="T403" i="36"/>
  <c r="AF403" i="36" s="1"/>
  <c r="AH402" i="36"/>
  <c r="T401" i="36"/>
  <c r="AF401" i="36" s="1"/>
  <c r="L401" i="36"/>
  <c r="AJ400" i="36"/>
  <c r="AI400" i="36"/>
  <c r="AF400" i="36"/>
  <c r="AJ399" i="36"/>
  <c r="AI399" i="36"/>
  <c r="AF399" i="36"/>
  <c r="AJ398" i="36"/>
  <c r="AI398" i="36"/>
  <c r="AF398" i="36"/>
  <c r="AJ397" i="36"/>
  <c r="AI397" i="36"/>
  <c r="AF397" i="36"/>
  <c r="AJ396" i="36"/>
  <c r="AI396" i="36"/>
  <c r="AF396" i="36"/>
  <c r="AJ395" i="36"/>
  <c r="AI395" i="36"/>
  <c r="AF395" i="36"/>
  <c r="AJ394" i="36"/>
  <c r="AI394" i="36"/>
  <c r="AF394" i="36"/>
  <c r="AJ393" i="36"/>
  <c r="AI393" i="36"/>
  <c r="AF393" i="36"/>
  <c r="AJ392" i="36"/>
  <c r="AI392" i="36"/>
  <c r="AF392" i="36"/>
  <c r="AJ391" i="36"/>
  <c r="AI391" i="36"/>
  <c r="AF391" i="36"/>
  <c r="AJ390" i="36"/>
  <c r="AI390" i="36"/>
  <c r="AF390" i="36"/>
  <c r="H390" i="36"/>
  <c r="H391" i="36" s="1"/>
  <c r="AJ389" i="36"/>
  <c r="AI389" i="36"/>
  <c r="AF389" i="36"/>
  <c r="Q389" i="36"/>
  <c r="Q390" i="36" s="1"/>
  <c r="Q391" i="36" s="1"/>
  <c r="Q392" i="36" s="1"/>
  <c r="Q393" i="36" s="1"/>
  <c r="Q394" i="36" s="1"/>
  <c r="Q395" i="36" s="1"/>
  <c r="Q396" i="36" s="1"/>
  <c r="Q397" i="36" s="1"/>
  <c r="Q398" i="36" s="1"/>
  <c r="Q399" i="36" s="1"/>
  <c r="Q400" i="36" s="1"/>
  <c r="P389" i="36"/>
  <c r="P390" i="36" s="1"/>
  <c r="P391" i="36" s="1"/>
  <c r="P392" i="36" s="1"/>
  <c r="P393" i="36" s="1"/>
  <c r="P394" i="36" s="1"/>
  <c r="P395" i="36" s="1"/>
  <c r="P396" i="36" s="1"/>
  <c r="P397" i="36" s="1"/>
  <c r="P398" i="36" s="1"/>
  <c r="P399" i="36" s="1"/>
  <c r="P400" i="36" s="1"/>
  <c r="O389" i="36"/>
  <c r="O390" i="36" s="1"/>
  <c r="O391" i="36" s="1"/>
  <c r="O392" i="36" s="1"/>
  <c r="O393" i="36" s="1"/>
  <c r="O394" i="36" s="1"/>
  <c r="O395" i="36" s="1"/>
  <c r="O396" i="36" s="1"/>
  <c r="O397" i="36" s="1"/>
  <c r="O398" i="36" s="1"/>
  <c r="O399" i="36" s="1"/>
  <c r="O400" i="36" s="1"/>
  <c r="H389" i="36"/>
  <c r="T389" i="36" s="1"/>
  <c r="AH389" i="36" s="1"/>
  <c r="E389" i="36"/>
  <c r="E390" i="36" s="1"/>
  <c r="E391" i="36" s="1"/>
  <c r="E392" i="36" s="1"/>
  <c r="E393" i="36" s="1"/>
  <c r="E394" i="36" s="1"/>
  <c r="E395" i="36" s="1"/>
  <c r="E396" i="36" s="1"/>
  <c r="E397" i="36" s="1"/>
  <c r="E398" i="36" s="1"/>
  <c r="E399" i="36" s="1"/>
  <c r="E400" i="36" s="1"/>
  <c r="C389" i="36"/>
  <c r="C390" i="36" s="1"/>
  <c r="C391" i="36" s="1"/>
  <c r="C392" i="36" s="1"/>
  <c r="C393" i="36" s="1"/>
  <c r="C394" i="36" s="1"/>
  <c r="C395" i="36" s="1"/>
  <c r="C396" i="36" s="1"/>
  <c r="C397" i="36" s="1"/>
  <c r="C398" i="36" s="1"/>
  <c r="C399" i="36" s="1"/>
  <c r="C400" i="36" s="1"/>
  <c r="B389" i="36"/>
  <c r="B390" i="36" s="1"/>
  <c r="B391" i="36" s="1"/>
  <c r="B392" i="36" s="1"/>
  <c r="B393" i="36" s="1"/>
  <c r="B394" i="36" s="1"/>
  <c r="B395" i="36" s="1"/>
  <c r="B396" i="36" s="1"/>
  <c r="B397" i="36" s="1"/>
  <c r="B398" i="36" s="1"/>
  <c r="B399" i="36" s="1"/>
  <c r="B400" i="36" s="1"/>
  <c r="T388" i="36"/>
  <c r="AF388" i="36" s="1"/>
  <c r="AJ387" i="36"/>
  <c r="AI387" i="36"/>
  <c r="AF387" i="36"/>
  <c r="AJ386" i="36"/>
  <c r="AI386" i="36"/>
  <c r="AF386" i="36"/>
  <c r="AJ385" i="36"/>
  <c r="AI385" i="36"/>
  <c r="AF385" i="36"/>
  <c r="AJ384" i="36"/>
  <c r="AI384" i="36"/>
  <c r="AF384" i="36"/>
  <c r="AJ383" i="36"/>
  <c r="AI383" i="36"/>
  <c r="AF383" i="36"/>
  <c r="AJ382" i="36"/>
  <c r="AI382" i="36"/>
  <c r="AF382" i="36"/>
  <c r="AC382" i="36"/>
  <c r="AC383" i="36" s="1"/>
  <c r="AC384" i="36" s="1"/>
  <c r="AC385" i="36" s="1"/>
  <c r="AC386" i="36" s="1"/>
  <c r="AC387" i="36" s="1"/>
  <c r="Q382" i="36"/>
  <c r="Q383" i="36" s="1"/>
  <c r="Q384" i="36" s="1"/>
  <c r="Q385" i="36" s="1"/>
  <c r="Q386" i="36" s="1"/>
  <c r="Q387" i="36" s="1"/>
  <c r="P382" i="36"/>
  <c r="P383" i="36" s="1"/>
  <c r="P384" i="36" s="1"/>
  <c r="P385" i="36" s="1"/>
  <c r="P386" i="36" s="1"/>
  <c r="P387" i="36" s="1"/>
  <c r="O382" i="36"/>
  <c r="O383" i="36" s="1"/>
  <c r="O384" i="36" s="1"/>
  <c r="O385" i="36" s="1"/>
  <c r="O386" i="36" s="1"/>
  <c r="O387" i="36" s="1"/>
  <c r="H382" i="36"/>
  <c r="T382" i="36" s="1"/>
  <c r="AH382" i="36" s="1"/>
  <c r="G382" i="36"/>
  <c r="G383" i="36" s="1"/>
  <c r="G384" i="36" s="1"/>
  <c r="G385" i="36" s="1"/>
  <c r="G386" i="36" s="1"/>
  <c r="G387" i="36" s="1"/>
  <c r="F382" i="36"/>
  <c r="F383" i="36" s="1"/>
  <c r="F384" i="36" s="1"/>
  <c r="F385" i="36" s="1"/>
  <c r="F386" i="36" s="1"/>
  <c r="F387" i="36" s="1"/>
  <c r="E382" i="36"/>
  <c r="E383" i="36" s="1"/>
  <c r="E384" i="36" s="1"/>
  <c r="E385" i="36" s="1"/>
  <c r="E386" i="36" s="1"/>
  <c r="E387" i="36" s="1"/>
  <c r="D382" i="36"/>
  <c r="D383" i="36" s="1"/>
  <c r="D384" i="36" s="1"/>
  <c r="D385" i="36" s="1"/>
  <c r="D386" i="36" s="1"/>
  <c r="D387" i="36" s="1"/>
  <c r="C382" i="36"/>
  <c r="C383" i="36" s="1"/>
  <c r="C384" i="36" s="1"/>
  <c r="C385" i="36" s="1"/>
  <c r="C386" i="36" s="1"/>
  <c r="C387" i="36" s="1"/>
  <c r="B382" i="36"/>
  <c r="B383" i="36" s="1"/>
  <c r="B384" i="36" s="1"/>
  <c r="B385" i="36" s="1"/>
  <c r="B386" i="36" s="1"/>
  <c r="B387" i="36" s="1"/>
  <c r="T381" i="36"/>
  <c r="AF381" i="36" s="1"/>
  <c r="AJ380" i="36"/>
  <c r="AI380" i="36"/>
  <c r="AF380" i="36"/>
  <c r="AJ379" i="36"/>
  <c r="AI379" i="36"/>
  <c r="AF379" i="36"/>
  <c r="E379" i="36"/>
  <c r="E380" i="36" s="1"/>
  <c r="AJ378" i="36"/>
  <c r="AI378" i="36"/>
  <c r="AF378" i="36"/>
  <c r="AJ377" i="36"/>
  <c r="AI377" i="36"/>
  <c r="AF377" i="36"/>
  <c r="AJ376" i="36"/>
  <c r="AI376" i="36"/>
  <c r="AF376" i="36"/>
  <c r="E376" i="36"/>
  <c r="E377" i="36" s="1"/>
  <c r="E378" i="36" s="1"/>
  <c r="AJ375" i="36"/>
  <c r="AI375" i="36"/>
  <c r="AF375" i="36"/>
  <c r="AC375" i="36"/>
  <c r="AC376" i="36" s="1"/>
  <c r="AC377" i="36" s="1"/>
  <c r="AC378" i="36" s="1"/>
  <c r="AC379" i="36" s="1"/>
  <c r="AC380" i="36" s="1"/>
  <c r="T375" i="36"/>
  <c r="AH375" i="36" s="1"/>
  <c r="P375" i="36"/>
  <c r="P376" i="36" s="1"/>
  <c r="P377" i="36" s="1"/>
  <c r="P378" i="36" s="1"/>
  <c r="P379" i="36" s="1"/>
  <c r="P380" i="36" s="1"/>
  <c r="O375" i="36"/>
  <c r="O376" i="36" s="1"/>
  <c r="O377" i="36" s="1"/>
  <c r="O378" i="36" s="1"/>
  <c r="O379" i="36" s="1"/>
  <c r="O380" i="36" s="1"/>
  <c r="H375" i="36"/>
  <c r="H376" i="36" s="1"/>
  <c r="G375" i="36"/>
  <c r="G376" i="36" s="1"/>
  <c r="G377" i="36" s="1"/>
  <c r="G378" i="36" s="1"/>
  <c r="G379" i="36" s="1"/>
  <c r="G380" i="36" s="1"/>
  <c r="F375" i="36"/>
  <c r="F376" i="36" s="1"/>
  <c r="F377" i="36" s="1"/>
  <c r="F378" i="36" s="1"/>
  <c r="F379" i="36" s="1"/>
  <c r="F380" i="36" s="1"/>
  <c r="E375" i="36"/>
  <c r="D375" i="36"/>
  <c r="D376" i="36" s="1"/>
  <c r="D377" i="36" s="1"/>
  <c r="D378" i="36" s="1"/>
  <c r="D379" i="36" s="1"/>
  <c r="D380" i="36" s="1"/>
  <c r="C375" i="36"/>
  <c r="C376" i="36" s="1"/>
  <c r="C377" i="36" s="1"/>
  <c r="C378" i="36" s="1"/>
  <c r="C379" i="36" s="1"/>
  <c r="C380" i="36" s="1"/>
  <c r="B375" i="36"/>
  <c r="B376" i="36" s="1"/>
  <c r="B377" i="36" s="1"/>
  <c r="B378" i="36" s="1"/>
  <c r="B379" i="36" s="1"/>
  <c r="B380" i="36" s="1"/>
  <c r="T374" i="36"/>
  <c r="AF374" i="36" s="1"/>
  <c r="AJ373" i="36"/>
  <c r="AI373" i="36"/>
  <c r="AF373" i="36"/>
  <c r="AJ372" i="36"/>
  <c r="AI372" i="36"/>
  <c r="AF372" i="36"/>
  <c r="AJ371" i="36"/>
  <c r="AI371" i="36"/>
  <c r="AF371" i="36"/>
  <c r="AJ370" i="36"/>
  <c r="AI370" i="36"/>
  <c r="AF370" i="36"/>
  <c r="AC370" i="36"/>
  <c r="AC371" i="36" s="1"/>
  <c r="AC372" i="36" s="1"/>
  <c r="AC373" i="36" s="1"/>
  <c r="T370" i="36"/>
  <c r="AH370" i="36" s="1"/>
  <c r="Q370" i="36"/>
  <c r="Q371" i="36" s="1"/>
  <c r="Q372" i="36" s="1"/>
  <c r="Q373" i="36" s="1"/>
  <c r="P370" i="36"/>
  <c r="P371" i="36" s="1"/>
  <c r="P372" i="36" s="1"/>
  <c r="P373" i="36" s="1"/>
  <c r="O370" i="36"/>
  <c r="O371" i="36" s="1"/>
  <c r="O372" i="36" s="1"/>
  <c r="O373" i="36" s="1"/>
  <c r="H370" i="36"/>
  <c r="H371" i="36" s="1"/>
  <c r="H372" i="36" s="1"/>
  <c r="H373" i="36" s="1"/>
  <c r="T373" i="36" s="1"/>
  <c r="AH373" i="36" s="1"/>
  <c r="G370" i="36"/>
  <c r="G371" i="36" s="1"/>
  <c r="G372" i="36" s="1"/>
  <c r="G373" i="36" s="1"/>
  <c r="F370" i="36"/>
  <c r="F371" i="36" s="1"/>
  <c r="F372" i="36" s="1"/>
  <c r="F373" i="36" s="1"/>
  <c r="E370" i="36"/>
  <c r="E371" i="36" s="1"/>
  <c r="E372" i="36" s="1"/>
  <c r="E373" i="36" s="1"/>
  <c r="D370" i="36"/>
  <c r="D371" i="36" s="1"/>
  <c r="D372" i="36" s="1"/>
  <c r="D373" i="36" s="1"/>
  <c r="C370" i="36"/>
  <c r="C371" i="36" s="1"/>
  <c r="C372" i="36" s="1"/>
  <c r="C373" i="36" s="1"/>
  <c r="B370" i="36"/>
  <c r="B371" i="36" s="1"/>
  <c r="B372" i="36" s="1"/>
  <c r="B373" i="36" s="1"/>
  <c r="T369" i="36"/>
  <c r="AF369" i="36" s="1"/>
  <c r="AJ368" i="36"/>
  <c r="AI368" i="36"/>
  <c r="AF368" i="36"/>
  <c r="AJ367" i="36"/>
  <c r="AI367" i="36"/>
  <c r="AF367" i="36"/>
  <c r="AJ366" i="36"/>
  <c r="AI366" i="36"/>
  <c r="AF366" i="36"/>
  <c r="AJ365" i="36"/>
  <c r="AI365" i="36"/>
  <c r="AF365" i="36"/>
  <c r="AC365" i="36"/>
  <c r="AC366" i="36" s="1"/>
  <c r="AC367" i="36" s="1"/>
  <c r="AC368" i="36" s="1"/>
  <c r="Q365" i="36"/>
  <c r="Q366" i="36" s="1"/>
  <c r="Q367" i="36" s="1"/>
  <c r="Q368" i="36" s="1"/>
  <c r="P365" i="36"/>
  <c r="P366" i="36" s="1"/>
  <c r="P367" i="36" s="1"/>
  <c r="P368" i="36" s="1"/>
  <c r="O365" i="36"/>
  <c r="O366" i="36" s="1"/>
  <c r="O367" i="36" s="1"/>
  <c r="O368" i="36" s="1"/>
  <c r="H365" i="36"/>
  <c r="T365" i="36" s="1"/>
  <c r="AH365" i="36" s="1"/>
  <c r="G365" i="36"/>
  <c r="G366" i="36" s="1"/>
  <c r="G367" i="36" s="1"/>
  <c r="G368" i="36" s="1"/>
  <c r="F365" i="36"/>
  <c r="F366" i="36" s="1"/>
  <c r="F367" i="36" s="1"/>
  <c r="F368" i="36" s="1"/>
  <c r="E365" i="36"/>
  <c r="E366" i="36" s="1"/>
  <c r="E367" i="36" s="1"/>
  <c r="E368" i="36" s="1"/>
  <c r="D365" i="36"/>
  <c r="D366" i="36" s="1"/>
  <c r="D367" i="36" s="1"/>
  <c r="D368" i="36" s="1"/>
  <c r="C365" i="36"/>
  <c r="C366" i="36" s="1"/>
  <c r="C367" i="36" s="1"/>
  <c r="C368" i="36" s="1"/>
  <c r="B365" i="36"/>
  <c r="B366" i="36" s="1"/>
  <c r="B367" i="36" s="1"/>
  <c r="B368" i="36" s="1"/>
  <c r="T364" i="36"/>
  <c r="AF364" i="36" s="1"/>
  <c r="AJ363" i="36"/>
  <c r="AI363" i="36"/>
  <c r="AF363" i="36"/>
  <c r="AJ362" i="36"/>
  <c r="AI362" i="36"/>
  <c r="AF362" i="36"/>
  <c r="AJ361" i="36"/>
  <c r="AI361" i="36"/>
  <c r="AF361" i="36"/>
  <c r="AJ360" i="36"/>
  <c r="AI360" i="36"/>
  <c r="AF360" i="36"/>
  <c r="AC360" i="36"/>
  <c r="AC361" i="36" s="1"/>
  <c r="AC362" i="36" s="1"/>
  <c r="AC363" i="36" s="1"/>
  <c r="Q360" i="36"/>
  <c r="Q361" i="36" s="1"/>
  <c r="Q362" i="36" s="1"/>
  <c r="Q363" i="36" s="1"/>
  <c r="O360" i="36"/>
  <c r="O361" i="36" s="1"/>
  <c r="O362" i="36" s="1"/>
  <c r="O363" i="36" s="1"/>
  <c r="H360" i="36"/>
  <c r="H361" i="36" s="1"/>
  <c r="G360" i="36"/>
  <c r="G361" i="36" s="1"/>
  <c r="G362" i="36" s="1"/>
  <c r="G363" i="36" s="1"/>
  <c r="F360" i="36"/>
  <c r="F361" i="36" s="1"/>
  <c r="F362" i="36" s="1"/>
  <c r="F363" i="36" s="1"/>
  <c r="E360" i="36"/>
  <c r="E361" i="36" s="1"/>
  <c r="E362" i="36" s="1"/>
  <c r="E363" i="36" s="1"/>
  <c r="D360" i="36"/>
  <c r="D361" i="36" s="1"/>
  <c r="D362" i="36" s="1"/>
  <c r="D363" i="36" s="1"/>
  <c r="C360" i="36"/>
  <c r="C361" i="36" s="1"/>
  <c r="C362" i="36" s="1"/>
  <c r="C363" i="36" s="1"/>
  <c r="B360" i="36"/>
  <c r="B361" i="36" s="1"/>
  <c r="B362" i="36" s="1"/>
  <c r="B363" i="36" s="1"/>
  <c r="T359" i="36"/>
  <c r="AF359" i="36" s="1"/>
  <c r="P359" i="36"/>
  <c r="P360" i="36" s="1"/>
  <c r="P361" i="36" s="1"/>
  <c r="P362" i="36" s="1"/>
  <c r="P363" i="36" s="1"/>
  <c r="AJ358" i="36"/>
  <c r="AI358" i="36"/>
  <c r="AF358" i="36"/>
  <c r="AJ357" i="36"/>
  <c r="AI357" i="36"/>
  <c r="AF357" i="36"/>
  <c r="AJ356" i="36"/>
  <c r="AI356" i="36"/>
  <c r="AF356" i="36"/>
  <c r="AJ355" i="36"/>
  <c r="AI355" i="36"/>
  <c r="AF355" i="36"/>
  <c r="AJ354" i="36"/>
  <c r="AI354" i="36"/>
  <c r="AF354" i="36"/>
  <c r="AJ353" i="36"/>
  <c r="AI353" i="36"/>
  <c r="AF353" i="36"/>
  <c r="AJ352" i="36"/>
  <c r="AI352" i="36"/>
  <c r="AF352" i="36"/>
  <c r="O352" i="36"/>
  <c r="O353" i="36" s="1"/>
  <c r="O354" i="36" s="1"/>
  <c r="O355" i="36" s="1"/>
  <c r="O356" i="36" s="1"/>
  <c r="O357" i="36" s="1"/>
  <c r="O358" i="36" s="1"/>
  <c r="AJ351" i="36"/>
  <c r="AI351" i="36"/>
  <c r="AF351" i="36"/>
  <c r="T351" i="36"/>
  <c r="AH351" i="36" s="1"/>
  <c r="Q351" i="36"/>
  <c r="Q352" i="36" s="1"/>
  <c r="Q353" i="36" s="1"/>
  <c r="Q354" i="36" s="1"/>
  <c r="Q355" i="36" s="1"/>
  <c r="Q356" i="36" s="1"/>
  <c r="Q357" i="36" s="1"/>
  <c r="Q358" i="36" s="1"/>
  <c r="O351" i="36"/>
  <c r="H351" i="36"/>
  <c r="H352" i="36" s="1"/>
  <c r="E351" i="36"/>
  <c r="E352" i="36" s="1"/>
  <c r="E353" i="36" s="1"/>
  <c r="E354" i="36" s="1"/>
  <c r="E355" i="36" s="1"/>
  <c r="E356" i="36" s="1"/>
  <c r="E357" i="36" s="1"/>
  <c r="E358" i="36" s="1"/>
  <c r="C351" i="36"/>
  <c r="C352" i="36" s="1"/>
  <c r="C353" i="36" s="1"/>
  <c r="C354" i="36" s="1"/>
  <c r="C355" i="36" s="1"/>
  <c r="C356" i="36" s="1"/>
  <c r="C357" i="36" s="1"/>
  <c r="C358" i="36" s="1"/>
  <c r="B351" i="36"/>
  <c r="B352" i="36" s="1"/>
  <c r="B353" i="36" s="1"/>
  <c r="B354" i="36" s="1"/>
  <c r="B355" i="36" s="1"/>
  <c r="B356" i="36" s="1"/>
  <c r="B357" i="36" s="1"/>
  <c r="B358" i="36" s="1"/>
  <c r="T350" i="36"/>
  <c r="AF350" i="36" s="1"/>
  <c r="P350" i="36"/>
  <c r="P351" i="36" s="1"/>
  <c r="P352" i="36" s="1"/>
  <c r="P353" i="36" s="1"/>
  <c r="P354" i="36" s="1"/>
  <c r="P355" i="36" s="1"/>
  <c r="P356" i="36" s="1"/>
  <c r="P357" i="36" s="1"/>
  <c r="P358" i="36" s="1"/>
  <c r="AJ349" i="36"/>
  <c r="AI349" i="36"/>
  <c r="AF349" i="36"/>
  <c r="AJ348" i="36"/>
  <c r="AI348" i="36"/>
  <c r="AF348" i="36"/>
  <c r="AJ347" i="36"/>
  <c r="AI347" i="36"/>
  <c r="AF347" i="36"/>
  <c r="AJ346" i="36"/>
  <c r="AI346" i="36"/>
  <c r="AF346" i="36"/>
  <c r="AJ345" i="36"/>
  <c r="AI345" i="36"/>
  <c r="AF345" i="36"/>
  <c r="AJ344" i="36"/>
  <c r="AI344" i="36"/>
  <c r="AF344" i="36"/>
  <c r="AJ343" i="36"/>
  <c r="AI343" i="36"/>
  <c r="AF343" i="36"/>
  <c r="AJ342" i="36"/>
  <c r="AI342" i="36"/>
  <c r="AF342" i="36"/>
  <c r="AJ341" i="36"/>
  <c r="AI341" i="36"/>
  <c r="AF341" i="36"/>
  <c r="Q341" i="36"/>
  <c r="Q342" i="36" s="1"/>
  <c r="Q343" i="36" s="1"/>
  <c r="Q344" i="36" s="1"/>
  <c r="Q345" i="36" s="1"/>
  <c r="Q346" i="36" s="1"/>
  <c r="Q347" i="36" s="1"/>
  <c r="Q348" i="36" s="1"/>
  <c r="Q349" i="36" s="1"/>
  <c r="P341" i="36"/>
  <c r="P342" i="36" s="1"/>
  <c r="P343" i="36" s="1"/>
  <c r="P344" i="36" s="1"/>
  <c r="P345" i="36" s="1"/>
  <c r="P346" i="36" s="1"/>
  <c r="P347" i="36" s="1"/>
  <c r="P348" i="36" s="1"/>
  <c r="P349" i="36" s="1"/>
  <c r="O341" i="36"/>
  <c r="O342" i="36" s="1"/>
  <c r="O343" i="36" s="1"/>
  <c r="O344" i="36" s="1"/>
  <c r="O345" i="36" s="1"/>
  <c r="O346" i="36" s="1"/>
  <c r="O347" i="36" s="1"/>
  <c r="O348" i="36" s="1"/>
  <c r="O349" i="36" s="1"/>
  <c r="H341" i="36"/>
  <c r="T341" i="36" s="1"/>
  <c r="AH341" i="36" s="1"/>
  <c r="E341" i="36"/>
  <c r="E342" i="36" s="1"/>
  <c r="E343" i="36" s="1"/>
  <c r="E344" i="36" s="1"/>
  <c r="E345" i="36" s="1"/>
  <c r="E346" i="36" s="1"/>
  <c r="E347" i="36" s="1"/>
  <c r="E348" i="36" s="1"/>
  <c r="E349" i="36" s="1"/>
  <c r="C341" i="36"/>
  <c r="C342" i="36" s="1"/>
  <c r="C343" i="36" s="1"/>
  <c r="C344" i="36" s="1"/>
  <c r="C345" i="36" s="1"/>
  <c r="C346" i="36" s="1"/>
  <c r="C347" i="36" s="1"/>
  <c r="C348" i="36" s="1"/>
  <c r="C349" i="36" s="1"/>
  <c r="T340" i="36"/>
  <c r="AF340" i="36" s="1"/>
  <c r="AJ339" i="36"/>
  <c r="AI339" i="36"/>
  <c r="AF339" i="36"/>
  <c r="Q339" i="36"/>
  <c r="AJ338" i="36"/>
  <c r="AI338" i="36"/>
  <c r="AF338" i="36"/>
  <c r="AJ337" i="36"/>
  <c r="AI337" i="36"/>
  <c r="AF337" i="36"/>
  <c r="AJ336" i="36"/>
  <c r="AI336" i="36"/>
  <c r="AF336" i="36"/>
  <c r="T336" i="36"/>
  <c r="AH336" i="36" s="1"/>
  <c r="Q336" i="36"/>
  <c r="Q337" i="36" s="1"/>
  <c r="Q338" i="36" s="1"/>
  <c r="P336" i="36"/>
  <c r="P337" i="36" s="1"/>
  <c r="P338" i="36" s="1"/>
  <c r="P339" i="36" s="1"/>
  <c r="O336" i="36"/>
  <c r="O337" i="36" s="1"/>
  <c r="O338" i="36" s="1"/>
  <c r="O339" i="36" s="1"/>
  <c r="H336" i="36"/>
  <c r="H337" i="36" s="1"/>
  <c r="H338" i="36" s="1"/>
  <c r="T338" i="36" s="1"/>
  <c r="AH338" i="36" s="1"/>
  <c r="E336" i="36"/>
  <c r="E337" i="36" s="1"/>
  <c r="E338" i="36" s="1"/>
  <c r="E339" i="36" s="1"/>
  <c r="C336" i="36"/>
  <c r="C337" i="36" s="1"/>
  <c r="C338" i="36" s="1"/>
  <c r="C339" i="36" s="1"/>
  <c r="T335" i="36"/>
  <c r="AF335" i="36" s="1"/>
  <c r="AJ334" i="36"/>
  <c r="AI334" i="36"/>
  <c r="AF334" i="36"/>
  <c r="AJ333" i="36"/>
  <c r="AI333" i="36"/>
  <c r="AF333" i="36"/>
  <c r="AJ332" i="36"/>
  <c r="AI332" i="36"/>
  <c r="AF332" i="36"/>
  <c r="AJ331" i="36"/>
  <c r="AI331" i="36"/>
  <c r="AF331" i="36"/>
  <c r="Q331" i="36"/>
  <c r="Q332" i="36" s="1"/>
  <c r="Q333" i="36" s="1"/>
  <c r="Q334" i="36" s="1"/>
  <c r="P331" i="36"/>
  <c r="P332" i="36" s="1"/>
  <c r="P333" i="36" s="1"/>
  <c r="P334" i="36" s="1"/>
  <c r="O331" i="36"/>
  <c r="O332" i="36" s="1"/>
  <c r="O333" i="36" s="1"/>
  <c r="O334" i="36" s="1"/>
  <c r="H331" i="36"/>
  <c r="T331" i="36" s="1"/>
  <c r="AH331" i="36" s="1"/>
  <c r="E331" i="36"/>
  <c r="E332" i="36" s="1"/>
  <c r="E333" i="36" s="1"/>
  <c r="E334" i="36" s="1"/>
  <c r="C331" i="36"/>
  <c r="C332" i="36" s="1"/>
  <c r="C333" i="36" s="1"/>
  <c r="C334" i="36" s="1"/>
  <c r="T330" i="36"/>
  <c r="AF330" i="36" s="1"/>
  <c r="AJ329" i="36"/>
  <c r="AI329" i="36"/>
  <c r="AF329" i="36"/>
  <c r="T329" i="36"/>
  <c r="AH329" i="36" s="1"/>
  <c r="AJ328" i="36"/>
  <c r="AI328" i="36"/>
  <c r="AF328" i="36"/>
  <c r="T328" i="36"/>
  <c r="AH328" i="36" s="1"/>
  <c r="AJ327" i="36"/>
  <c r="AI327" i="36"/>
  <c r="AF327" i="36"/>
  <c r="T327" i="36"/>
  <c r="AH327" i="36" s="1"/>
  <c r="AJ326" i="36"/>
  <c r="AI326" i="36"/>
  <c r="AF326" i="36"/>
  <c r="T326" i="36"/>
  <c r="AH326" i="36" s="1"/>
  <c r="AJ325" i="36"/>
  <c r="AI325" i="36"/>
  <c r="AH325" i="36"/>
  <c r="AF325" i="36"/>
  <c r="T325" i="36"/>
  <c r="AJ324" i="36"/>
  <c r="AI324" i="36"/>
  <c r="AF324" i="36"/>
  <c r="T324" i="36"/>
  <c r="AH324" i="36" s="1"/>
  <c r="AJ323" i="36"/>
  <c r="AI323" i="36"/>
  <c r="AF323" i="36"/>
  <c r="T323" i="36"/>
  <c r="AH323" i="36" s="1"/>
  <c r="AJ322" i="36"/>
  <c r="AI322" i="36"/>
  <c r="AF322" i="36"/>
  <c r="T322" i="36"/>
  <c r="AH322" i="36" s="1"/>
  <c r="AJ321" i="36"/>
  <c r="AI321" i="36"/>
  <c r="AF321" i="36"/>
  <c r="T321" i="36"/>
  <c r="AH321" i="36" s="1"/>
  <c r="AJ320" i="36"/>
  <c r="AI320" i="36"/>
  <c r="AF320" i="36"/>
  <c r="T320" i="36"/>
  <c r="AH320" i="36" s="1"/>
  <c r="AJ319" i="36"/>
  <c r="AI319" i="36"/>
  <c r="AH319" i="36"/>
  <c r="AF319" i="36"/>
  <c r="T319" i="36"/>
  <c r="AJ318" i="36"/>
  <c r="AI318" i="36"/>
  <c r="AF318" i="36"/>
  <c r="T318" i="36"/>
  <c r="AH318" i="36" s="1"/>
  <c r="AJ317" i="36"/>
  <c r="AI317" i="36"/>
  <c r="AF317" i="36"/>
  <c r="T317" i="36"/>
  <c r="AH317" i="36" s="1"/>
  <c r="AJ316" i="36"/>
  <c r="AI316" i="36"/>
  <c r="AF316" i="36"/>
  <c r="T316" i="36"/>
  <c r="AH316" i="36" s="1"/>
  <c r="AJ315" i="36"/>
  <c r="AI315" i="36"/>
  <c r="AF315" i="36"/>
  <c r="T315" i="36"/>
  <c r="AH315" i="36" s="1"/>
  <c r="AJ314" i="36"/>
  <c r="AI314" i="36"/>
  <c r="AF314" i="36"/>
  <c r="T314" i="36"/>
  <c r="AH314" i="36" s="1"/>
  <c r="AJ313" i="36"/>
  <c r="AI313" i="36"/>
  <c r="AF313" i="36"/>
  <c r="T313" i="36"/>
  <c r="AH313" i="36" s="1"/>
  <c r="AJ312" i="36"/>
  <c r="AI312" i="36"/>
  <c r="AF312" i="36"/>
  <c r="T312" i="36"/>
  <c r="AH312" i="36" s="1"/>
  <c r="AJ311" i="36"/>
  <c r="AI311" i="36"/>
  <c r="AF311" i="36"/>
  <c r="T311" i="36"/>
  <c r="AH311" i="36" s="1"/>
  <c r="AJ310" i="36"/>
  <c r="AI310" i="36"/>
  <c r="AH310" i="36"/>
  <c r="AF310" i="36"/>
  <c r="T310" i="36"/>
  <c r="AJ309" i="36"/>
  <c r="AI309" i="36"/>
  <c r="AF309" i="36"/>
  <c r="T309" i="36"/>
  <c r="AH309" i="36" s="1"/>
  <c r="AJ308" i="36"/>
  <c r="AI308" i="36"/>
  <c r="AF308" i="36"/>
  <c r="T308" i="36"/>
  <c r="AH308" i="36" s="1"/>
  <c r="AJ307" i="36"/>
  <c r="AI307" i="36"/>
  <c r="AF307" i="36"/>
  <c r="T307" i="36"/>
  <c r="AH307" i="36" s="1"/>
  <c r="AJ306" i="36"/>
  <c r="AI306" i="36"/>
  <c r="AH306" i="36"/>
  <c r="AF306" i="36"/>
  <c r="T306" i="36"/>
  <c r="AJ305" i="36"/>
  <c r="AI305" i="36"/>
  <c r="AF305" i="36"/>
  <c r="T305" i="36"/>
  <c r="AH305" i="36" s="1"/>
  <c r="AJ304" i="36"/>
  <c r="AI304" i="36"/>
  <c r="AF304" i="36"/>
  <c r="T304" i="36"/>
  <c r="AH304" i="36" s="1"/>
  <c r="AJ303" i="36"/>
  <c r="AI303" i="36"/>
  <c r="AF303" i="36"/>
  <c r="T303" i="36"/>
  <c r="AH303" i="36" s="1"/>
  <c r="AJ302" i="36"/>
  <c r="AI302" i="36"/>
  <c r="AF302" i="36"/>
  <c r="T302" i="36"/>
  <c r="AH302" i="36" s="1"/>
  <c r="AJ301" i="36"/>
  <c r="AI301" i="36"/>
  <c r="AF301" i="36"/>
  <c r="T301" i="36"/>
  <c r="AH301" i="36" s="1"/>
  <c r="AJ300" i="36"/>
  <c r="AI300" i="36"/>
  <c r="AF300" i="36"/>
  <c r="T300" i="36"/>
  <c r="AH300" i="36" s="1"/>
  <c r="AJ299" i="36"/>
  <c r="AI299" i="36"/>
  <c r="AF299" i="36"/>
  <c r="T299" i="36"/>
  <c r="AH299" i="36" s="1"/>
  <c r="AJ298" i="36"/>
  <c r="AI298" i="36"/>
  <c r="AF298" i="36"/>
  <c r="T298" i="36"/>
  <c r="AH298" i="36" s="1"/>
  <c r="AJ297" i="36"/>
  <c r="AI297" i="36"/>
  <c r="AH297" i="36"/>
  <c r="AF297" i="36"/>
  <c r="T297" i="36"/>
  <c r="AJ296" i="36"/>
  <c r="AI296" i="36"/>
  <c r="AF296" i="36"/>
  <c r="T296" i="36"/>
  <c r="AH296" i="36" s="1"/>
  <c r="AJ295" i="36"/>
  <c r="AI295" i="36"/>
  <c r="AF295" i="36"/>
  <c r="T295" i="36"/>
  <c r="AH295" i="36" s="1"/>
  <c r="AJ294" i="36"/>
  <c r="AI294" i="36"/>
  <c r="AF294" i="36"/>
  <c r="T294" i="36"/>
  <c r="AH294" i="36" s="1"/>
  <c r="Q294" i="36"/>
  <c r="Q295" i="36" s="1"/>
  <c r="Q296" i="36" s="1"/>
  <c r="Q297" i="36" s="1"/>
  <c r="Q298" i="36" s="1"/>
  <c r="Q299" i="36" s="1"/>
  <c r="Q300" i="36" s="1"/>
  <c r="Q301" i="36" s="1"/>
  <c r="Q302" i="36" s="1"/>
  <c r="Q303" i="36" s="1"/>
  <c r="Q304" i="36" s="1"/>
  <c r="Q305" i="36" s="1"/>
  <c r="Q306" i="36" s="1"/>
  <c r="Q307" i="36" s="1"/>
  <c r="Q308" i="36" s="1"/>
  <c r="Q309" i="36" s="1"/>
  <c r="Q310" i="36" s="1"/>
  <c r="Q311" i="36" s="1"/>
  <c r="Q312" i="36" s="1"/>
  <c r="Q313" i="36" s="1"/>
  <c r="Q314" i="36" s="1"/>
  <c r="Q315" i="36" s="1"/>
  <c r="Q316" i="36" s="1"/>
  <c r="Q317" i="36" s="1"/>
  <c r="Q318" i="36" s="1"/>
  <c r="Q319" i="36" s="1"/>
  <c r="Q320" i="36" s="1"/>
  <c r="Q321" i="36" s="1"/>
  <c r="Q322" i="36" s="1"/>
  <c r="Q323" i="36" s="1"/>
  <c r="Q324" i="36" s="1"/>
  <c r="Q325" i="36" s="1"/>
  <c r="Q326" i="36" s="1"/>
  <c r="Q327" i="36" s="1"/>
  <c r="Q328" i="36" s="1"/>
  <c r="Q329" i="36" s="1"/>
  <c r="P294" i="36"/>
  <c r="P295" i="36" s="1"/>
  <c r="P296" i="36" s="1"/>
  <c r="P297" i="36" s="1"/>
  <c r="P298" i="36" s="1"/>
  <c r="P299" i="36" s="1"/>
  <c r="P300" i="36" s="1"/>
  <c r="P301" i="36" s="1"/>
  <c r="P302" i="36" s="1"/>
  <c r="P303" i="36" s="1"/>
  <c r="P304" i="36" s="1"/>
  <c r="P305" i="36" s="1"/>
  <c r="P306" i="36" s="1"/>
  <c r="P307" i="36" s="1"/>
  <c r="P308" i="36" s="1"/>
  <c r="P309" i="36" s="1"/>
  <c r="P310" i="36" s="1"/>
  <c r="P311" i="36" s="1"/>
  <c r="P312" i="36" s="1"/>
  <c r="P313" i="36" s="1"/>
  <c r="P314" i="36" s="1"/>
  <c r="P315" i="36" s="1"/>
  <c r="P316" i="36" s="1"/>
  <c r="P317" i="36" s="1"/>
  <c r="P318" i="36" s="1"/>
  <c r="P319" i="36" s="1"/>
  <c r="P320" i="36" s="1"/>
  <c r="P321" i="36" s="1"/>
  <c r="P322" i="36" s="1"/>
  <c r="P323" i="36" s="1"/>
  <c r="P324" i="36" s="1"/>
  <c r="P325" i="36" s="1"/>
  <c r="P326" i="36" s="1"/>
  <c r="P327" i="36" s="1"/>
  <c r="P328" i="36" s="1"/>
  <c r="P329" i="36" s="1"/>
  <c r="O294" i="36"/>
  <c r="O295" i="36" s="1"/>
  <c r="O296" i="36" s="1"/>
  <c r="O297" i="36" s="1"/>
  <c r="O298" i="36" s="1"/>
  <c r="O299" i="36" s="1"/>
  <c r="O300" i="36" s="1"/>
  <c r="O301" i="36" s="1"/>
  <c r="O302" i="36" s="1"/>
  <c r="O303" i="36" s="1"/>
  <c r="O304" i="36" s="1"/>
  <c r="O305" i="36" s="1"/>
  <c r="O306" i="36" s="1"/>
  <c r="O307" i="36" s="1"/>
  <c r="O308" i="36" s="1"/>
  <c r="O309" i="36" s="1"/>
  <c r="O310" i="36" s="1"/>
  <c r="O311" i="36" s="1"/>
  <c r="O312" i="36" s="1"/>
  <c r="O313" i="36" s="1"/>
  <c r="O314" i="36" s="1"/>
  <c r="O315" i="36" s="1"/>
  <c r="O316" i="36" s="1"/>
  <c r="O317" i="36" s="1"/>
  <c r="O318" i="36" s="1"/>
  <c r="O319" i="36" s="1"/>
  <c r="O320" i="36" s="1"/>
  <c r="O321" i="36" s="1"/>
  <c r="O322" i="36" s="1"/>
  <c r="O323" i="36" s="1"/>
  <c r="O324" i="36" s="1"/>
  <c r="O325" i="36" s="1"/>
  <c r="O326" i="36" s="1"/>
  <c r="O327" i="36" s="1"/>
  <c r="O328" i="36" s="1"/>
  <c r="O329" i="36" s="1"/>
  <c r="E294" i="36"/>
  <c r="E295" i="36" s="1"/>
  <c r="E296" i="36" s="1"/>
  <c r="E297" i="36" s="1"/>
  <c r="E298" i="36" s="1"/>
  <c r="E299" i="36" s="1"/>
  <c r="E300" i="36" s="1"/>
  <c r="E301" i="36" s="1"/>
  <c r="E302" i="36" s="1"/>
  <c r="E303" i="36" s="1"/>
  <c r="E304" i="36" s="1"/>
  <c r="E305" i="36" s="1"/>
  <c r="E306" i="36" s="1"/>
  <c r="E307" i="36" s="1"/>
  <c r="E308" i="36" s="1"/>
  <c r="E309" i="36" s="1"/>
  <c r="E310" i="36" s="1"/>
  <c r="E311" i="36" s="1"/>
  <c r="E312" i="36" s="1"/>
  <c r="E313" i="36" s="1"/>
  <c r="E314" i="36" s="1"/>
  <c r="E315" i="36" s="1"/>
  <c r="E316" i="36" s="1"/>
  <c r="E317" i="36" s="1"/>
  <c r="E318" i="36" s="1"/>
  <c r="E319" i="36" s="1"/>
  <c r="E320" i="36" s="1"/>
  <c r="E321" i="36" s="1"/>
  <c r="E322" i="36" s="1"/>
  <c r="E323" i="36" s="1"/>
  <c r="E324" i="36" s="1"/>
  <c r="E325" i="36" s="1"/>
  <c r="E326" i="36" s="1"/>
  <c r="E327" i="36" s="1"/>
  <c r="E328" i="36" s="1"/>
  <c r="E329" i="36" s="1"/>
  <c r="C294" i="36"/>
  <c r="C295" i="36" s="1"/>
  <c r="C296" i="36" s="1"/>
  <c r="C297" i="36" s="1"/>
  <c r="C298" i="36" s="1"/>
  <c r="C299" i="36" s="1"/>
  <c r="C300" i="36" s="1"/>
  <c r="C301" i="36" s="1"/>
  <c r="C302" i="36" s="1"/>
  <c r="C303" i="36" s="1"/>
  <c r="C304" i="36" s="1"/>
  <c r="C305" i="36" s="1"/>
  <c r="C306" i="36" s="1"/>
  <c r="C307" i="36" s="1"/>
  <c r="C308" i="36" s="1"/>
  <c r="C309" i="36" s="1"/>
  <c r="C310" i="36" s="1"/>
  <c r="C311" i="36" s="1"/>
  <c r="C312" i="36" s="1"/>
  <c r="C313" i="36" s="1"/>
  <c r="C314" i="36" s="1"/>
  <c r="C315" i="36" s="1"/>
  <c r="C316" i="36" s="1"/>
  <c r="C317" i="36" s="1"/>
  <c r="C318" i="36" s="1"/>
  <c r="C319" i="36" s="1"/>
  <c r="C320" i="36" s="1"/>
  <c r="C321" i="36" s="1"/>
  <c r="C322" i="36" s="1"/>
  <c r="C323" i="36" s="1"/>
  <c r="C324" i="36" s="1"/>
  <c r="C325" i="36" s="1"/>
  <c r="C326" i="36" s="1"/>
  <c r="C327" i="36" s="1"/>
  <c r="C328" i="36" s="1"/>
  <c r="C329" i="36" s="1"/>
  <c r="B294" i="36"/>
  <c r="B295" i="36" s="1"/>
  <c r="B296" i="36" s="1"/>
  <c r="B297" i="36" s="1"/>
  <c r="B298" i="36" s="1"/>
  <c r="B299" i="36" s="1"/>
  <c r="B300" i="36" s="1"/>
  <c r="B301" i="36" s="1"/>
  <c r="B302" i="36" s="1"/>
  <c r="B303" i="36" s="1"/>
  <c r="B304" i="36" s="1"/>
  <c r="B305" i="36" s="1"/>
  <c r="B306" i="36" s="1"/>
  <c r="B307" i="36" s="1"/>
  <c r="B308" i="36" s="1"/>
  <c r="B309" i="36" s="1"/>
  <c r="B310" i="36" s="1"/>
  <c r="B311" i="36" s="1"/>
  <c r="B312" i="36" s="1"/>
  <c r="B313" i="36" s="1"/>
  <c r="B314" i="36" s="1"/>
  <c r="B315" i="36" s="1"/>
  <c r="B316" i="36" s="1"/>
  <c r="B317" i="36" s="1"/>
  <c r="B318" i="36" s="1"/>
  <c r="B319" i="36" s="1"/>
  <c r="B320" i="36" s="1"/>
  <c r="B321" i="36" s="1"/>
  <c r="B322" i="36" s="1"/>
  <c r="B323" i="36" s="1"/>
  <c r="B324" i="36" s="1"/>
  <c r="B325" i="36" s="1"/>
  <c r="B326" i="36" s="1"/>
  <c r="B327" i="36" s="1"/>
  <c r="B328" i="36" s="1"/>
  <c r="B329" i="36" s="1"/>
  <c r="T293" i="36"/>
  <c r="AF293" i="36" s="1"/>
  <c r="AJ292" i="36"/>
  <c r="AI292" i="36"/>
  <c r="AF292" i="36"/>
  <c r="T292" i="36"/>
  <c r="AH292" i="36" s="1"/>
  <c r="AJ291" i="36"/>
  <c r="AI291" i="36"/>
  <c r="AF291" i="36"/>
  <c r="T291" i="36"/>
  <c r="AH291" i="36" s="1"/>
  <c r="AJ290" i="36"/>
  <c r="AI290" i="36"/>
  <c r="AF290" i="36"/>
  <c r="T290" i="36"/>
  <c r="AH290" i="36" s="1"/>
  <c r="AJ289" i="36"/>
  <c r="AI289" i="36"/>
  <c r="AF289" i="36"/>
  <c r="T289" i="36"/>
  <c r="AH289" i="36" s="1"/>
  <c r="AJ288" i="36"/>
  <c r="AI288" i="36"/>
  <c r="AF288" i="36"/>
  <c r="T288" i="36"/>
  <c r="AH288" i="36" s="1"/>
  <c r="AJ287" i="36"/>
  <c r="AI287" i="36"/>
  <c r="AF287" i="36"/>
  <c r="T287" i="36"/>
  <c r="AH287" i="36" s="1"/>
  <c r="AJ286" i="36"/>
  <c r="AI286" i="36"/>
  <c r="AF286" i="36"/>
  <c r="T286" i="36"/>
  <c r="AH286" i="36" s="1"/>
  <c r="AJ285" i="36"/>
  <c r="AI285" i="36"/>
  <c r="AF285" i="36"/>
  <c r="T285" i="36"/>
  <c r="AH285" i="36" s="1"/>
  <c r="AJ284" i="36"/>
  <c r="AI284" i="36"/>
  <c r="AF284" i="36"/>
  <c r="T284" i="36"/>
  <c r="AH284" i="36" s="1"/>
  <c r="AJ283" i="36"/>
  <c r="AI283" i="36"/>
  <c r="AF283" i="36"/>
  <c r="T283" i="36"/>
  <c r="AH283" i="36" s="1"/>
  <c r="AJ282" i="36"/>
  <c r="AI282" i="36"/>
  <c r="AF282" i="36"/>
  <c r="T282" i="36"/>
  <c r="AH282" i="36" s="1"/>
  <c r="AJ281" i="36"/>
  <c r="AI281" i="36"/>
  <c r="AF281" i="36"/>
  <c r="T281" i="36"/>
  <c r="AH281" i="36" s="1"/>
  <c r="AJ280" i="36"/>
  <c r="AI280" i="36"/>
  <c r="AF280" i="36"/>
  <c r="T280" i="36"/>
  <c r="AH280" i="36" s="1"/>
  <c r="AJ279" i="36"/>
  <c r="AI279" i="36"/>
  <c r="AF279" i="36"/>
  <c r="T279" i="36"/>
  <c r="AH279" i="36" s="1"/>
  <c r="AJ278" i="36"/>
  <c r="AI278" i="36"/>
  <c r="AF278" i="36"/>
  <c r="T278" i="36"/>
  <c r="AH278" i="36" s="1"/>
  <c r="AJ277" i="36"/>
  <c r="AI277" i="36"/>
  <c r="AH277" i="36"/>
  <c r="AF277" i="36"/>
  <c r="T277" i="36"/>
  <c r="AJ276" i="36"/>
  <c r="AI276" i="36"/>
  <c r="AF276" i="36"/>
  <c r="T276" i="36"/>
  <c r="AH276" i="36" s="1"/>
  <c r="AJ275" i="36"/>
  <c r="AI275" i="36"/>
  <c r="AF275" i="36"/>
  <c r="T275" i="36"/>
  <c r="AH275" i="36" s="1"/>
  <c r="AJ274" i="36"/>
  <c r="AI274" i="36"/>
  <c r="AF274" i="36"/>
  <c r="T274" i="36"/>
  <c r="AH274" i="36" s="1"/>
  <c r="AJ273" i="36"/>
  <c r="AI273" i="36"/>
  <c r="AH273" i="36"/>
  <c r="AF273" i="36"/>
  <c r="T273" i="36"/>
  <c r="AJ272" i="36"/>
  <c r="AI272" i="36"/>
  <c r="AF272" i="36"/>
  <c r="T272" i="36"/>
  <c r="AH272" i="36" s="1"/>
  <c r="AJ271" i="36"/>
  <c r="AI271" i="36"/>
  <c r="AF271" i="36"/>
  <c r="T271" i="36"/>
  <c r="AH271" i="36" s="1"/>
  <c r="AJ270" i="36"/>
  <c r="AI270" i="36"/>
  <c r="AF270" i="36"/>
  <c r="T270" i="36"/>
  <c r="AH270" i="36" s="1"/>
  <c r="AJ269" i="36"/>
  <c r="AI269" i="36"/>
  <c r="AF269" i="36"/>
  <c r="T269" i="36"/>
  <c r="AH269" i="36" s="1"/>
  <c r="AJ268" i="36"/>
  <c r="AI268" i="36"/>
  <c r="AH268" i="36"/>
  <c r="AF268" i="36"/>
  <c r="T268" i="36"/>
  <c r="AJ267" i="36"/>
  <c r="AI267" i="36"/>
  <c r="AF267" i="36"/>
  <c r="T267" i="36"/>
  <c r="AH267" i="36" s="1"/>
  <c r="AJ266" i="36"/>
  <c r="AI266" i="36"/>
  <c r="AF266" i="36"/>
  <c r="T266" i="36"/>
  <c r="AH266" i="36" s="1"/>
  <c r="AJ265" i="36"/>
  <c r="AI265" i="36"/>
  <c r="AF265" i="36"/>
  <c r="T265" i="36"/>
  <c r="AH265" i="36" s="1"/>
  <c r="AJ264" i="36"/>
  <c r="AI264" i="36"/>
  <c r="AF264" i="36"/>
  <c r="T264" i="36"/>
  <c r="AH264" i="36" s="1"/>
  <c r="AJ263" i="36"/>
  <c r="AI263" i="36"/>
  <c r="AF263" i="36"/>
  <c r="T263" i="36"/>
  <c r="AH263" i="36" s="1"/>
  <c r="AJ262" i="36"/>
  <c r="AI262" i="36"/>
  <c r="AH262" i="36"/>
  <c r="AF262" i="36"/>
  <c r="T262" i="36"/>
  <c r="AJ261" i="36"/>
  <c r="AI261" i="36"/>
  <c r="AF261" i="36"/>
  <c r="T261" i="36"/>
  <c r="AH261" i="36" s="1"/>
  <c r="AJ260" i="36"/>
  <c r="AI260" i="36"/>
  <c r="AF260" i="36"/>
  <c r="T260" i="36"/>
  <c r="AH260" i="36" s="1"/>
  <c r="AJ259" i="36"/>
  <c r="AI259" i="36"/>
  <c r="AF259" i="36"/>
  <c r="T259" i="36"/>
  <c r="AH259" i="36" s="1"/>
  <c r="AJ258" i="36"/>
  <c r="AI258" i="36"/>
  <c r="AF258" i="36"/>
  <c r="T258" i="36"/>
  <c r="AH258" i="36" s="1"/>
  <c r="Q258" i="36"/>
  <c r="Q259" i="36" s="1"/>
  <c r="Q260" i="36" s="1"/>
  <c r="Q261" i="36" s="1"/>
  <c r="Q262" i="36" s="1"/>
  <c r="Q263" i="36" s="1"/>
  <c r="Q264" i="36" s="1"/>
  <c r="Q265" i="36" s="1"/>
  <c r="Q266" i="36" s="1"/>
  <c r="Q267" i="36" s="1"/>
  <c r="Q268" i="36" s="1"/>
  <c r="Q269" i="36" s="1"/>
  <c r="Q270" i="36" s="1"/>
  <c r="Q271" i="36" s="1"/>
  <c r="Q272" i="36" s="1"/>
  <c r="Q273" i="36" s="1"/>
  <c r="Q274" i="36" s="1"/>
  <c r="Q275" i="36" s="1"/>
  <c r="Q276" i="36" s="1"/>
  <c r="Q277" i="36" s="1"/>
  <c r="Q278" i="36" s="1"/>
  <c r="Q279" i="36" s="1"/>
  <c r="Q280" i="36" s="1"/>
  <c r="Q281" i="36" s="1"/>
  <c r="Q282" i="36" s="1"/>
  <c r="Q283" i="36" s="1"/>
  <c r="Q284" i="36" s="1"/>
  <c r="Q285" i="36" s="1"/>
  <c r="Q286" i="36" s="1"/>
  <c r="Q287" i="36" s="1"/>
  <c r="Q288" i="36" s="1"/>
  <c r="Q289" i="36" s="1"/>
  <c r="Q290" i="36" s="1"/>
  <c r="Q291" i="36" s="1"/>
  <c r="Q292" i="36" s="1"/>
  <c r="AJ257" i="36"/>
  <c r="AI257" i="36"/>
  <c r="AF257" i="36"/>
  <c r="T257" i="36"/>
  <c r="AH257" i="36" s="1"/>
  <c r="Q257" i="36"/>
  <c r="P257" i="36"/>
  <c r="P258" i="36" s="1"/>
  <c r="P259" i="36" s="1"/>
  <c r="P260" i="36" s="1"/>
  <c r="P261" i="36" s="1"/>
  <c r="P262" i="36" s="1"/>
  <c r="P263" i="36" s="1"/>
  <c r="P264" i="36" s="1"/>
  <c r="P265" i="36" s="1"/>
  <c r="P266" i="36" s="1"/>
  <c r="P267" i="36" s="1"/>
  <c r="P268" i="36" s="1"/>
  <c r="P269" i="36" s="1"/>
  <c r="P270" i="36" s="1"/>
  <c r="P271" i="36" s="1"/>
  <c r="P272" i="36" s="1"/>
  <c r="P273" i="36" s="1"/>
  <c r="P274" i="36" s="1"/>
  <c r="P275" i="36" s="1"/>
  <c r="P276" i="36" s="1"/>
  <c r="P277" i="36" s="1"/>
  <c r="P278" i="36" s="1"/>
  <c r="P279" i="36" s="1"/>
  <c r="P280" i="36" s="1"/>
  <c r="P281" i="36" s="1"/>
  <c r="P282" i="36" s="1"/>
  <c r="P283" i="36" s="1"/>
  <c r="P284" i="36" s="1"/>
  <c r="P285" i="36" s="1"/>
  <c r="P286" i="36" s="1"/>
  <c r="P287" i="36" s="1"/>
  <c r="P288" i="36" s="1"/>
  <c r="P289" i="36" s="1"/>
  <c r="P290" i="36" s="1"/>
  <c r="P291" i="36" s="1"/>
  <c r="P292" i="36" s="1"/>
  <c r="O257" i="36"/>
  <c r="O258" i="36" s="1"/>
  <c r="O259" i="36" s="1"/>
  <c r="O260" i="36" s="1"/>
  <c r="O261" i="36" s="1"/>
  <c r="O262" i="36" s="1"/>
  <c r="O263" i="36" s="1"/>
  <c r="O264" i="36" s="1"/>
  <c r="O265" i="36" s="1"/>
  <c r="O266" i="36" s="1"/>
  <c r="O267" i="36" s="1"/>
  <c r="O268" i="36" s="1"/>
  <c r="O269" i="36" s="1"/>
  <c r="O270" i="36" s="1"/>
  <c r="O271" i="36" s="1"/>
  <c r="O272" i="36" s="1"/>
  <c r="O273" i="36" s="1"/>
  <c r="O274" i="36" s="1"/>
  <c r="O275" i="36" s="1"/>
  <c r="O276" i="36" s="1"/>
  <c r="O277" i="36" s="1"/>
  <c r="O278" i="36" s="1"/>
  <c r="O279" i="36" s="1"/>
  <c r="O280" i="36" s="1"/>
  <c r="O281" i="36" s="1"/>
  <c r="O282" i="36" s="1"/>
  <c r="O283" i="36" s="1"/>
  <c r="O284" i="36" s="1"/>
  <c r="O285" i="36" s="1"/>
  <c r="O286" i="36" s="1"/>
  <c r="O287" i="36" s="1"/>
  <c r="O288" i="36" s="1"/>
  <c r="O289" i="36" s="1"/>
  <c r="O290" i="36" s="1"/>
  <c r="O291" i="36" s="1"/>
  <c r="O292" i="36" s="1"/>
  <c r="E257" i="36"/>
  <c r="E258" i="36" s="1"/>
  <c r="E259" i="36" s="1"/>
  <c r="E260" i="36" s="1"/>
  <c r="E261" i="36" s="1"/>
  <c r="E262" i="36" s="1"/>
  <c r="E263" i="36" s="1"/>
  <c r="E264" i="36" s="1"/>
  <c r="E265" i="36" s="1"/>
  <c r="E266" i="36" s="1"/>
  <c r="E267" i="36" s="1"/>
  <c r="E268" i="36" s="1"/>
  <c r="E269" i="36" s="1"/>
  <c r="E270" i="36" s="1"/>
  <c r="E271" i="36" s="1"/>
  <c r="E272" i="36" s="1"/>
  <c r="E273" i="36" s="1"/>
  <c r="E274" i="36" s="1"/>
  <c r="E275" i="36" s="1"/>
  <c r="E276" i="36" s="1"/>
  <c r="E277" i="36" s="1"/>
  <c r="E278" i="36" s="1"/>
  <c r="E279" i="36" s="1"/>
  <c r="E280" i="36" s="1"/>
  <c r="E281" i="36" s="1"/>
  <c r="E282" i="36" s="1"/>
  <c r="E283" i="36" s="1"/>
  <c r="E284" i="36" s="1"/>
  <c r="E285" i="36" s="1"/>
  <c r="E286" i="36" s="1"/>
  <c r="E287" i="36" s="1"/>
  <c r="E288" i="36" s="1"/>
  <c r="E289" i="36" s="1"/>
  <c r="E290" i="36" s="1"/>
  <c r="E291" i="36" s="1"/>
  <c r="E292" i="36" s="1"/>
  <c r="C257" i="36"/>
  <c r="C258" i="36" s="1"/>
  <c r="C259" i="36" s="1"/>
  <c r="C260" i="36" s="1"/>
  <c r="C261" i="36" s="1"/>
  <c r="C262" i="36" s="1"/>
  <c r="C263" i="36" s="1"/>
  <c r="C264" i="36" s="1"/>
  <c r="C265" i="36" s="1"/>
  <c r="C266" i="36" s="1"/>
  <c r="C267" i="36" s="1"/>
  <c r="C268" i="36" s="1"/>
  <c r="C269" i="36" s="1"/>
  <c r="C270" i="36" s="1"/>
  <c r="C271" i="36" s="1"/>
  <c r="C272" i="36" s="1"/>
  <c r="C273" i="36" s="1"/>
  <c r="C274" i="36" s="1"/>
  <c r="C275" i="36" s="1"/>
  <c r="C276" i="36" s="1"/>
  <c r="C277" i="36" s="1"/>
  <c r="C278" i="36" s="1"/>
  <c r="C279" i="36" s="1"/>
  <c r="C280" i="36" s="1"/>
  <c r="C281" i="36" s="1"/>
  <c r="C282" i="36" s="1"/>
  <c r="C283" i="36" s="1"/>
  <c r="C284" i="36" s="1"/>
  <c r="C285" i="36" s="1"/>
  <c r="C286" i="36" s="1"/>
  <c r="C287" i="36" s="1"/>
  <c r="C288" i="36" s="1"/>
  <c r="C289" i="36" s="1"/>
  <c r="C290" i="36" s="1"/>
  <c r="C291" i="36" s="1"/>
  <c r="C292" i="36" s="1"/>
  <c r="B257" i="36"/>
  <c r="B258" i="36" s="1"/>
  <c r="B259" i="36" s="1"/>
  <c r="B260" i="36" s="1"/>
  <c r="B261" i="36" s="1"/>
  <c r="B262" i="36" s="1"/>
  <c r="B263" i="36" s="1"/>
  <c r="B264" i="36" s="1"/>
  <c r="B265" i="36" s="1"/>
  <c r="B266" i="36" s="1"/>
  <c r="B267" i="36" s="1"/>
  <c r="B268" i="36" s="1"/>
  <c r="B269" i="36" s="1"/>
  <c r="B270" i="36" s="1"/>
  <c r="B271" i="36" s="1"/>
  <c r="B272" i="36" s="1"/>
  <c r="B273" i="36" s="1"/>
  <c r="B274" i="36" s="1"/>
  <c r="B275" i="36" s="1"/>
  <c r="B276" i="36" s="1"/>
  <c r="B277" i="36" s="1"/>
  <c r="B278" i="36" s="1"/>
  <c r="B279" i="36" s="1"/>
  <c r="B280" i="36" s="1"/>
  <c r="B281" i="36" s="1"/>
  <c r="B282" i="36" s="1"/>
  <c r="B283" i="36" s="1"/>
  <c r="B284" i="36" s="1"/>
  <c r="B285" i="36" s="1"/>
  <c r="B286" i="36" s="1"/>
  <c r="B287" i="36" s="1"/>
  <c r="B288" i="36" s="1"/>
  <c r="B289" i="36" s="1"/>
  <c r="B290" i="36" s="1"/>
  <c r="B291" i="36" s="1"/>
  <c r="B292" i="36" s="1"/>
  <c r="T256" i="36"/>
  <c r="AF256" i="36" s="1"/>
  <c r="AJ255" i="36"/>
  <c r="AI255" i="36"/>
  <c r="AF255" i="36"/>
  <c r="T255" i="36"/>
  <c r="AH255" i="36" s="1"/>
  <c r="AJ254" i="36"/>
  <c r="AI254" i="36"/>
  <c r="AF254" i="36"/>
  <c r="T254" i="36"/>
  <c r="AH254" i="36" s="1"/>
  <c r="AJ253" i="36"/>
  <c r="AI253" i="36"/>
  <c r="AF253" i="36"/>
  <c r="T253" i="36"/>
  <c r="AH253" i="36" s="1"/>
  <c r="AJ252" i="36"/>
  <c r="AI252" i="36"/>
  <c r="AF252" i="36"/>
  <c r="T252" i="36"/>
  <c r="AH252" i="36" s="1"/>
  <c r="AJ251" i="36"/>
  <c r="AI251" i="36"/>
  <c r="AF251" i="36"/>
  <c r="T251" i="36"/>
  <c r="AH251" i="36" s="1"/>
  <c r="AJ250" i="36"/>
  <c r="AI250" i="36"/>
  <c r="AF250" i="36"/>
  <c r="T250" i="36"/>
  <c r="AH250" i="36" s="1"/>
  <c r="AJ249" i="36"/>
  <c r="AI249" i="36"/>
  <c r="AF249" i="36"/>
  <c r="T249" i="36"/>
  <c r="AH249" i="36" s="1"/>
  <c r="AJ248" i="36"/>
  <c r="AI248" i="36"/>
  <c r="AH248" i="36"/>
  <c r="AF248" i="36"/>
  <c r="T248" i="36"/>
  <c r="AJ247" i="36"/>
  <c r="AI247" i="36"/>
  <c r="AF247" i="36"/>
  <c r="T247" i="36"/>
  <c r="AH247" i="36" s="1"/>
  <c r="AJ246" i="36"/>
  <c r="AI246" i="36"/>
  <c r="AF246" i="36"/>
  <c r="T246" i="36"/>
  <c r="AH246" i="36" s="1"/>
  <c r="AJ245" i="36"/>
  <c r="AI245" i="36"/>
  <c r="AF245" i="36"/>
  <c r="T245" i="36"/>
  <c r="AH245" i="36" s="1"/>
  <c r="AJ244" i="36"/>
  <c r="AI244" i="36"/>
  <c r="AF244" i="36"/>
  <c r="T244" i="36"/>
  <c r="AH244" i="36" s="1"/>
  <c r="AJ243" i="36"/>
  <c r="AI243" i="36"/>
  <c r="AF243" i="36"/>
  <c r="T243" i="36"/>
  <c r="AH243" i="36" s="1"/>
  <c r="AJ242" i="36"/>
  <c r="AI242" i="36"/>
  <c r="AF242" i="36"/>
  <c r="T242" i="36"/>
  <c r="AH242" i="36" s="1"/>
  <c r="AJ241" i="36"/>
  <c r="AI241" i="36"/>
  <c r="AF241" i="36"/>
  <c r="T241" i="36"/>
  <c r="AH241" i="36" s="1"/>
  <c r="P241" i="36"/>
  <c r="P242" i="36" s="1"/>
  <c r="P243" i="36" s="1"/>
  <c r="P244" i="36" s="1"/>
  <c r="P245" i="36" s="1"/>
  <c r="P246" i="36" s="1"/>
  <c r="P247" i="36" s="1"/>
  <c r="P248" i="36" s="1"/>
  <c r="P249" i="36" s="1"/>
  <c r="P250" i="36" s="1"/>
  <c r="P251" i="36" s="1"/>
  <c r="P252" i="36" s="1"/>
  <c r="P253" i="36" s="1"/>
  <c r="P254" i="36" s="1"/>
  <c r="P255" i="36" s="1"/>
  <c r="AJ240" i="36"/>
  <c r="AI240" i="36"/>
  <c r="AF240" i="36"/>
  <c r="T240" i="36"/>
  <c r="AH240" i="36" s="1"/>
  <c r="AJ239" i="36"/>
  <c r="AI239" i="36"/>
  <c r="AF239" i="36"/>
  <c r="T239" i="36"/>
  <c r="AH239" i="36" s="1"/>
  <c r="AJ238" i="36"/>
  <c r="AI238" i="36"/>
  <c r="AF238" i="36"/>
  <c r="T238" i="36"/>
  <c r="AH238" i="36" s="1"/>
  <c r="AJ237" i="36"/>
  <c r="AI237" i="36"/>
  <c r="AF237" i="36"/>
  <c r="T237" i="36"/>
  <c r="AH237" i="36" s="1"/>
  <c r="Q237" i="36"/>
  <c r="Q238" i="36" s="1"/>
  <c r="Q239" i="36" s="1"/>
  <c r="Q240" i="36" s="1"/>
  <c r="Q241" i="36" s="1"/>
  <c r="Q242" i="36" s="1"/>
  <c r="Q243" i="36" s="1"/>
  <c r="Q244" i="36" s="1"/>
  <c r="Q245" i="36" s="1"/>
  <c r="Q246" i="36" s="1"/>
  <c r="Q247" i="36" s="1"/>
  <c r="Q248" i="36" s="1"/>
  <c r="Q249" i="36" s="1"/>
  <c r="Q250" i="36" s="1"/>
  <c r="Q251" i="36" s="1"/>
  <c r="Q252" i="36" s="1"/>
  <c r="Q253" i="36" s="1"/>
  <c r="Q254" i="36" s="1"/>
  <c r="Q255" i="36" s="1"/>
  <c r="O237" i="36"/>
  <c r="O238" i="36" s="1"/>
  <c r="O239" i="36" s="1"/>
  <c r="O240" i="36" s="1"/>
  <c r="O241" i="36" s="1"/>
  <c r="O242" i="36" s="1"/>
  <c r="O243" i="36" s="1"/>
  <c r="O244" i="36" s="1"/>
  <c r="O245" i="36" s="1"/>
  <c r="O246" i="36" s="1"/>
  <c r="O247" i="36" s="1"/>
  <c r="O248" i="36" s="1"/>
  <c r="O249" i="36" s="1"/>
  <c r="O250" i="36" s="1"/>
  <c r="O251" i="36" s="1"/>
  <c r="O252" i="36" s="1"/>
  <c r="O253" i="36" s="1"/>
  <c r="O254" i="36" s="1"/>
  <c r="O255" i="36" s="1"/>
  <c r="E237" i="36"/>
  <c r="E238" i="36" s="1"/>
  <c r="E239" i="36" s="1"/>
  <c r="E240" i="36" s="1"/>
  <c r="E241" i="36" s="1"/>
  <c r="E242" i="36" s="1"/>
  <c r="E243" i="36" s="1"/>
  <c r="E244" i="36" s="1"/>
  <c r="E245" i="36" s="1"/>
  <c r="E246" i="36" s="1"/>
  <c r="E247" i="36" s="1"/>
  <c r="E248" i="36" s="1"/>
  <c r="E249" i="36" s="1"/>
  <c r="E250" i="36" s="1"/>
  <c r="E251" i="36" s="1"/>
  <c r="E252" i="36" s="1"/>
  <c r="E253" i="36" s="1"/>
  <c r="E254" i="36" s="1"/>
  <c r="E255" i="36" s="1"/>
  <c r="C237" i="36"/>
  <c r="C238" i="36" s="1"/>
  <c r="C239" i="36" s="1"/>
  <c r="C240" i="36" s="1"/>
  <c r="C241" i="36" s="1"/>
  <c r="C242" i="36" s="1"/>
  <c r="C243" i="36" s="1"/>
  <c r="C244" i="36" s="1"/>
  <c r="C245" i="36" s="1"/>
  <c r="C246" i="36" s="1"/>
  <c r="C247" i="36" s="1"/>
  <c r="C248" i="36" s="1"/>
  <c r="C249" i="36" s="1"/>
  <c r="C250" i="36" s="1"/>
  <c r="C251" i="36" s="1"/>
  <c r="C252" i="36" s="1"/>
  <c r="C253" i="36" s="1"/>
  <c r="C254" i="36" s="1"/>
  <c r="C255" i="36" s="1"/>
  <c r="B237" i="36"/>
  <c r="B238" i="36" s="1"/>
  <c r="B239" i="36" s="1"/>
  <c r="B240" i="36" s="1"/>
  <c r="B241" i="36" s="1"/>
  <c r="B242" i="36" s="1"/>
  <c r="B243" i="36" s="1"/>
  <c r="B244" i="36" s="1"/>
  <c r="B245" i="36" s="1"/>
  <c r="B246" i="36" s="1"/>
  <c r="B247" i="36" s="1"/>
  <c r="B248" i="36" s="1"/>
  <c r="B249" i="36" s="1"/>
  <c r="B250" i="36" s="1"/>
  <c r="B251" i="36" s="1"/>
  <c r="B252" i="36" s="1"/>
  <c r="B253" i="36" s="1"/>
  <c r="B254" i="36" s="1"/>
  <c r="B255" i="36" s="1"/>
  <c r="T236" i="36"/>
  <c r="AF236" i="36" s="1"/>
  <c r="P236" i="36"/>
  <c r="P237" i="36" s="1"/>
  <c r="P238" i="36" s="1"/>
  <c r="P239" i="36" s="1"/>
  <c r="P240" i="36" s="1"/>
  <c r="AJ235" i="36"/>
  <c r="AI235" i="36"/>
  <c r="AF235" i="36"/>
  <c r="AJ234" i="36"/>
  <c r="AI234" i="36"/>
  <c r="AF234" i="36"/>
  <c r="AJ233" i="36"/>
  <c r="AI233" i="36"/>
  <c r="AF233" i="36"/>
  <c r="AJ232" i="36"/>
  <c r="AI232" i="36"/>
  <c r="AF232" i="36"/>
  <c r="AJ231" i="36"/>
  <c r="AI231" i="36"/>
  <c r="AF231" i="36"/>
  <c r="AJ230" i="36"/>
  <c r="AI230" i="36"/>
  <c r="AF230" i="36"/>
  <c r="AJ229" i="36"/>
  <c r="AI229" i="36"/>
  <c r="AF229" i="36"/>
  <c r="AJ228" i="36"/>
  <c r="AI228" i="36"/>
  <c r="AF228" i="36"/>
  <c r="AJ227" i="36"/>
  <c r="AI227" i="36"/>
  <c r="AF227" i="36"/>
  <c r="AJ226" i="36"/>
  <c r="AI226" i="36"/>
  <c r="AF226" i="36"/>
  <c r="AJ225" i="36"/>
  <c r="AI225" i="36"/>
  <c r="AF225" i="36"/>
  <c r="P225" i="36"/>
  <c r="P226" i="36" s="1"/>
  <c r="P227" i="36" s="1"/>
  <c r="P228" i="36" s="1"/>
  <c r="P229" i="36" s="1"/>
  <c r="P230" i="36" s="1"/>
  <c r="P231" i="36" s="1"/>
  <c r="P232" i="36" s="1"/>
  <c r="P233" i="36" s="1"/>
  <c r="P234" i="36" s="1"/>
  <c r="P235" i="36" s="1"/>
  <c r="O225" i="36"/>
  <c r="O226" i="36" s="1"/>
  <c r="O227" i="36" s="1"/>
  <c r="O228" i="36" s="1"/>
  <c r="O229" i="36" s="1"/>
  <c r="O230" i="36" s="1"/>
  <c r="O231" i="36" s="1"/>
  <c r="O232" i="36" s="1"/>
  <c r="O233" i="36" s="1"/>
  <c r="O234" i="36" s="1"/>
  <c r="O235" i="36" s="1"/>
  <c r="H225" i="36"/>
  <c r="E225" i="36"/>
  <c r="E226" i="36" s="1"/>
  <c r="E227" i="36" s="1"/>
  <c r="E228" i="36" s="1"/>
  <c r="E229" i="36" s="1"/>
  <c r="E230" i="36" s="1"/>
  <c r="E231" i="36" s="1"/>
  <c r="E232" i="36" s="1"/>
  <c r="E233" i="36" s="1"/>
  <c r="E234" i="36" s="1"/>
  <c r="E235" i="36" s="1"/>
  <c r="C225" i="36"/>
  <c r="C226" i="36" s="1"/>
  <c r="C227" i="36" s="1"/>
  <c r="C228" i="36" s="1"/>
  <c r="C229" i="36" s="1"/>
  <c r="C230" i="36" s="1"/>
  <c r="C231" i="36" s="1"/>
  <c r="C232" i="36" s="1"/>
  <c r="C233" i="36" s="1"/>
  <c r="C234" i="36" s="1"/>
  <c r="C235" i="36" s="1"/>
  <c r="B225" i="36"/>
  <c r="B226" i="36" s="1"/>
  <c r="B227" i="36" s="1"/>
  <c r="B228" i="36" s="1"/>
  <c r="B229" i="36" s="1"/>
  <c r="B230" i="36" s="1"/>
  <c r="B231" i="36" s="1"/>
  <c r="B232" i="36" s="1"/>
  <c r="B233" i="36" s="1"/>
  <c r="B234" i="36" s="1"/>
  <c r="B235" i="36" s="1"/>
  <c r="T224" i="36"/>
  <c r="AF224" i="36" s="1"/>
  <c r="AJ223" i="36"/>
  <c r="AI223" i="36"/>
  <c r="AF223" i="36"/>
  <c r="AJ222" i="36"/>
  <c r="AI222" i="36"/>
  <c r="AF222" i="36"/>
  <c r="AJ221" i="36"/>
  <c r="AI221" i="36"/>
  <c r="AF221" i="36"/>
  <c r="AJ220" i="36"/>
  <c r="AI220" i="36"/>
  <c r="AF220" i="36"/>
  <c r="AJ219" i="36"/>
  <c r="AI219" i="36"/>
  <c r="AF219" i="36"/>
  <c r="AJ218" i="36"/>
  <c r="AI218" i="36"/>
  <c r="AF218" i="36"/>
  <c r="AJ217" i="36"/>
  <c r="AI217" i="36"/>
  <c r="AF217" i="36"/>
  <c r="AJ216" i="36"/>
  <c r="AI216" i="36"/>
  <c r="AF216" i="36"/>
  <c r="O216" i="36"/>
  <c r="O217" i="36" s="1"/>
  <c r="O218" i="36" s="1"/>
  <c r="O219" i="36" s="1"/>
  <c r="O220" i="36" s="1"/>
  <c r="O221" i="36" s="1"/>
  <c r="O222" i="36" s="1"/>
  <c r="O223" i="36" s="1"/>
  <c r="AJ215" i="36"/>
  <c r="AI215" i="36"/>
  <c r="AF215" i="36"/>
  <c r="Q215" i="36"/>
  <c r="Q216" i="36" s="1"/>
  <c r="Q217" i="36" s="1"/>
  <c r="Q218" i="36" s="1"/>
  <c r="Q219" i="36" s="1"/>
  <c r="Q220" i="36" s="1"/>
  <c r="Q221" i="36" s="1"/>
  <c r="Q222" i="36" s="1"/>
  <c r="Q223" i="36" s="1"/>
  <c r="P215" i="36"/>
  <c r="P216" i="36" s="1"/>
  <c r="P217" i="36" s="1"/>
  <c r="P218" i="36" s="1"/>
  <c r="P219" i="36" s="1"/>
  <c r="P220" i="36" s="1"/>
  <c r="P221" i="36" s="1"/>
  <c r="P222" i="36" s="1"/>
  <c r="P223" i="36" s="1"/>
  <c r="O215" i="36"/>
  <c r="H215" i="36"/>
  <c r="E215" i="36"/>
  <c r="E216" i="36" s="1"/>
  <c r="E217" i="36" s="1"/>
  <c r="E218" i="36" s="1"/>
  <c r="E219" i="36" s="1"/>
  <c r="E220" i="36" s="1"/>
  <c r="E221" i="36" s="1"/>
  <c r="E222" i="36" s="1"/>
  <c r="E223" i="36" s="1"/>
  <c r="C215" i="36"/>
  <c r="C216" i="36" s="1"/>
  <c r="C217" i="36" s="1"/>
  <c r="C218" i="36" s="1"/>
  <c r="C219" i="36" s="1"/>
  <c r="C220" i="36" s="1"/>
  <c r="C221" i="36" s="1"/>
  <c r="C222" i="36" s="1"/>
  <c r="C223" i="36" s="1"/>
  <c r="B215" i="36"/>
  <c r="B216" i="36" s="1"/>
  <c r="B217" i="36" s="1"/>
  <c r="B218" i="36" s="1"/>
  <c r="B219" i="36" s="1"/>
  <c r="B220" i="36" s="1"/>
  <c r="B221" i="36" s="1"/>
  <c r="B222" i="36" s="1"/>
  <c r="B223" i="36" s="1"/>
  <c r="T214" i="36"/>
  <c r="AF214" i="36" s="1"/>
  <c r="AJ213" i="36"/>
  <c r="AI213" i="36"/>
  <c r="AF213" i="36"/>
  <c r="AJ212" i="36"/>
  <c r="AI212" i="36"/>
  <c r="AF212" i="36"/>
  <c r="AJ211" i="36"/>
  <c r="AI211" i="36"/>
  <c r="AF211" i="36"/>
  <c r="AJ210" i="36"/>
  <c r="AI210" i="36"/>
  <c r="AF210" i="36"/>
  <c r="AJ209" i="36"/>
  <c r="AI209" i="36"/>
  <c r="AF209" i="36"/>
  <c r="AJ208" i="36"/>
  <c r="AI208" i="36"/>
  <c r="AF208" i="36"/>
  <c r="AJ207" i="36"/>
  <c r="AI207" i="36"/>
  <c r="AF207" i="36"/>
  <c r="AJ206" i="36"/>
  <c r="AI206" i="36"/>
  <c r="AF206" i="36"/>
  <c r="AJ205" i="36"/>
  <c r="AI205" i="36"/>
  <c r="AF205" i="36"/>
  <c r="AJ204" i="36"/>
  <c r="AI204" i="36"/>
  <c r="AF204" i="36"/>
  <c r="AJ203" i="36"/>
  <c r="AI203" i="36"/>
  <c r="AF203" i="36"/>
  <c r="AJ202" i="36"/>
  <c r="AI202" i="36"/>
  <c r="AF202" i="36"/>
  <c r="H202" i="36"/>
  <c r="H203" i="36" s="1"/>
  <c r="AJ201" i="36"/>
  <c r="AI201" i="36"/>
  <c r="AF201" i="36"/>
  <c r="O201" i="36"/>
  <c r="O202" i="36" s="1"/>
  <c r="O203" i="36" s="1"/>
  <c r="O204" i="36" s="1"/>
  <c r="O205" i="36" s="1"/>
  <c r="O206" i="36" s="1"/>
  <c r="O207" i="36" s="1"/>
  <c r="O208" i="36" s="1"/>
  <c r="O209" i="36" s="1"/>
  <c r="O210" i="36" s="1"/>
  <c r="O211" i="36" s="1"/>
  <c r="O212" i="36" s="1"/>
  <c r="O213" i="36" s="1"/>
  <c r="H201" i="36"/>
  <c r="T201" i="36" s="1"/>
  <c r="AH201" i="36" s="1"/>
  <c r="E201" i="36"/>
  <c r="E202" i="36" s="1"/>
  <c r="E203" i="36" s="1"/>
  <c r="E204" i="36" s="1"/>
  <c r="E205" i="36" s="1"/>
  <c r="E206" i="36" s="1"/>
  <c r="E207" i="36" s="1"/>
  <c r="E208" i="36" s="1"/>
  <c r="E209" i="36" s="1"/>
  <c r="E210" i="36" s="1"/>
  <c r="E211" i="36" s="1"/>
  <c r="E212" i="36" s="1"/>
  <c r="E213" i="36" s="1"/>
  <c r="C201" i="36"/>
  <c r="C202" i="36" s="1"/>
  <c r="C203" i="36" s="1"/>
  <c r="C204" i="36" s="1"/>
  <c r="C205" i="36" s="1"/>
  <c r="C206" i="36" s="1"/>
  <c r="C207" i="36" s="1"/>
  <c r="C208" i="36" s="1"/>
  <c r="C209" i="36" s="1"/>
  <c r="C210" i="36" s="1"/>
  <c r="C211" i="36" s="1"/>
  <c r="C212" i="36" s="1"/>
  <c r="C213" i="36" s="1"/>
  <c r="B201" i="36"/>
  <c r="B202" i="36" s="1"/>
  <c r="B203" i="36" s="1"/>
  <c r="B204" i="36" s="1"/>
  <c r="B205" i="36" s="1"/>
  <c r="B206" i="36" s="1"/>
  <c r="B207" i="36" s="1"/>
  <c r="B208" i="36" s="1"/>
  <c r="B209" i="36" s="1"/>
  <c r="B210" i="36" s="1"/>
  <c r="B211" i="36" s="1"/>
  <c r="B212" i="36" s="1"/>
  <c r="B213" i="36" s="1"/>
  <c r="T200" i="36"/>
  <c r="AF200" i="36" s="1"/>
  <c r="P200" i="36"/>
  <c r="P201" i="36" s="1"/>
  <c r="P202" i="36" s="1"/>
  <c r="P203" i="36" s="1"/>
  <c r="P204" i="36" s="1"/>
  <c r="P205" i="36" s="1"/>
  <c r="P206" i="36" s="1"/>
  <c r="P207" i="36" s="1"/>
  <c r="P208" i="36" s="1"/>
  <c r="P209" i="36" s="1"/>
  <c r="P210" i="36" s="1"/>
  <c r="P211" i="36" s="1"/>
  <c r="P212" i="36" s="1"/>
  <c r="P213" i="36" s="1"/>
  <c r="AJ199" i="36"/>
  <c r="AI199" i="36"/>
  <c r="AF199" i="36"/>
  <c r="AJ198" i="36"/>
  <c r="AI198" i="36"/>
  <c r="AF198" i="36"/>
  <c r="AJ197" i="36"/>
  <c r="AI197" i="36"/>
  <c r="AF197" i="36"/>
  <c r="AJ196" i="36"/>
  <c r="AI196" i="36"/>
  <c r="AF196" i="36"/>
  <c r="AJ195" i="36"/>
  <c r="AI195" i="36"/>
  <c r="AF195" i="36"/>
  <c r="AJ194" i="36"/>
  <c r="AI194" i="36"/>
  <c r="AF194" i="36"/>
  <c r="AJ193" i="36"/>
  <c r="AI193" i="36"/>
  <c r="AF193" i="36"/>
  <c r="AJ192" i="36"/>
  <c r="AI192" i="36"/>
  <c r="AF192" i="36"/>
  <c r="AJ191" i="36"/>
  <c r="AI191" i="36"/>
  <c r="AF191" i="36"/>
  <c r="AJ190" i="36"/>
  <c r="AI190" i="36"/>
  <c r="AF190" i="36"/>
  <c r="AJ189" i="36"/>
  <c r="AI189" i="36"/>
  <c r="AF189" i="36"/>
  <c r="AJ188" i="36"/>
  <c r="AI188" i="36"/>
  <c r="AF188" i="36"/>
  <c r="AJ187" i="36"/>
  <c r="AI187" i="36"/>
  <c r="AF187" i="36"/>
  <c r="Q187" i="36"/>
  <c r="Q188" i="36" s="1"/>
  <c r="Q189" i="36" s="1"/>
  <c r="Q190" i="36" s="1"/>
  <c r="Q191" i="36" s="1"/>
  <c r="Q192" i="36" s="1"/>
  <c r="Q193" i="36" s="1"/>
  <c r="Q194" i="36" s="1"/>
  <c r="Q195" i="36" s="1"/>
  <c r="Q196" i="36" s="1"/>
  <c r="Q197" i="36" s="1"/>
  <c r="Q198" i="36" s="1"/>
  <c r="Q199" i="36" s="1"/>
  <c r="P187" i="36"/>
  <c r="P188" i="36" s="1"/>
  <c r="P189" i="36" s="1"/>
  <c r="P190" i="36" s="1"/>
  <c r="P191" i="36" s="1"/>
  <c r="P192" i="36" s="1"/>
  <c r="P193" i="36" s="1"/>
  <c r="P194" i="36" s="1"/>
  <c r="P195" i="36" s="1"/>
  <c r="P196" i="36" s="1"/>
  <c r="P197" i="36" s="1"/>
  <c r="P198" i="36" s="1"/>
  <c r="P199" i="36" s="1"/>
  <c r="O187" i="36"/>
  <c r="O188" i="36" s="1"/>
  <c r="O189" i="36" s="1"/>
  <c r="O190" i="36" s="1"/>
  <c r="O191" i="36" s="1"/>
  <c r="O192" i="36" s="1"/>
  <c r="O193" i="36" s="1"/>
  <c r="O194" i="36" s="1"/>
  <c r="O195" i="36" s="1"/>
  <c r="O196" i="36" s="1"/>
  <c r="O197" i="36" s="1"/>
  <c r="O198" i="36" s="1"/>
  <c r="O199" i="36" s="1"/>
  <c r="E187" i="36"/>
  <c r="E188" i="36" s="1"/>
  <c r="E189" i="36" s="1"/>
  <c r="E190" i="36" s="1"/>
  <c r="E191" i="36" s="1"/>
  <c r="E192" i="36" s="1"/>
  <c r="E193" i="36" s="1"/>
  <c r="E194" i="36" s="1"/>
  <c r="E195" i="36" s="1"/>
  <c r="E196" i="36" s="1"/>
  <c r="E197" i="36" s="1"/>
  <c r="E198" i="36" s="1"/>
  <c r="E199" i="36" s="1"/>
  <c r="C187" i="36"/>
  <c r="C188" i="36" s="1"/>
  <c r="C189" i="36" s="1"/>
  <c r="C190" i="36" s="1"/>
  <c r="C191" i="36" s="1"/>
  <c r="C192" i="36" s="1"/>
  <c r="C193" i="36" s="1"/>
  <c r="C194" i="36" s="1"/>
  <c r="C195" i="36" s="1"/>
  <c r="C196" i="36" s="1"/>
  <c r="C197" i="36" s="1"/>
  <c r="C198" i="36" s="1"/>
  <c r="C199" i="36" s="1"/>
  <c r="B187" i="36"/>
  <c r="B188" i="36" s="1"/>
  <c r="B189" i="36" s="1"/>
  <c r="B190" i="36" s="1"/>
  <c r="B191" i="36" s="1"/>
  <c r="B192" i="36" s="1"/>
  <c r="B193" i="36" s="1"/>
  <c r="B194" i="36" s="1"/>
  <c r="B195" i="36" s="1"/>
  <c r="B196" i="36" s="1"/>
  <c r="B197" i="36" s="1"/>
  <c r="B198" i="36" s="1"/>
  <c r="B199" i="36" s="1"/>
  <c r="H186" i="36"/>
  <c r="AJ185" i="36"/>
  <c r="AI185" i="36"/>
  <c r="AF185" i="36"/>
  <c r="T185" i="36"/>
  <c r="AH185" i="36" s="1"/>
  <c r="AJ184" i="36"/>
  <c r="AI184" i="36"/>
  <c r="AF184" i="36"/>
  <c r="T184" i="36"/>
  <c r="AH184" i="36" s="1"/>
  <c r="AJ183" i="36"/>
  <c r="AI183" i="36"/>
  <c r="AH183" i="36"/>
  <c r="AF183" i="36"/>
  <c r="T183" i="36"/>
  <c r="AJ182" i="36"/>
  <c r="AI182" i="36"/>
  <c r="AF182" i="36"/>
  <c r="T182" i="36"/>
  <c r="AH182" i="36" s="1"/>
  <c r="O182" i="36"/>
  <c r="O183" i="36" s="1"/>
  <c r="O184" i="36" s="1"/>
  <c r="O185" i="36" s="1"/>
  <c r="AJ181" i="36"/>
  <c r="AI181" i="36"/>
  <c r="AF181" i="36"/>
  <c r="T181" i="36"/>
  <c r="AH181" i="36" s="1"/>
  <c r="Q181" i="36"/>
  <c r="Q182" i="36" s="1"/>
  <c r="Q183" i="36" s="1"/>
  <c r="Q184" i="36" s="1"/>
  <c r="Q185" i="36" s="1"/>
  <c r="P181" i="36"/>
  <c r="P182" i="36" s="1"/>
  <c r="P183" i="36" s="1"/>
  <c r="P184" i="36" s="1"/>
  <c r="P185" i="36" s="1"/>
  <c r="O181" i="36"/>
  <c r="C181" i="36"/>
  <c r="C182" i="36" s="1"/>
  <c r="C183" i="36" s="1"/>
  <c r="C184" i="36" s="1"/>
  <c r="C185" i="36" s="1"/>
  <c r="B181" i="36"/>
  <c r="B182" i="36" s="1"/>
  <c r="B183" i="36" s="1"/>
  <c r="B184" i="36" s="1"/>
  <c r="B185" i="36" s="1"/>
  <c r="T180" i="36"/>
  <c r="AF180" i="36" s="1"/>
  <c r="AJ179" i="36"/>
  <c r="AI179" i="36"/>
  <c r="AF179" i="36"/>
  <c r="AJ178" i="36"/>
  <c r="AI178" i="36"/>
  <c r="AF178" i="36"/>
  <c r="AJ177" i="36"/>
  <c r="AI177" i="36"/>
  <c r="AF177" i="36"/>
  <c r="AJ176" i="36"/>
  <c r="AI176" i="36"/>
  <c r="AF176" i="36"/>
  <c r="C176" i="36"/>
  <c r="C177" i="36" s="1"/>
  <c r="C178" i="36" s="1"/>
  <c r="C179" i="36" s="1"/>
  <c r="AJ175" i="36"/>
  <c r="AI175" i="36"/>
  <c r="AF175" i="36"/>
  <c r="AJ174" i="36"/>
  <c r="AI174" i="36"/>
  <c r="AF174" i="36"/>
  <c r="Q174" i="36"/>
  <c r="Q175" i="36" s="1"/>
  <c r="Q176" i="36" s="1"/>
  <c r="Q177" i="36" s="1"/>
  <c r="Q178" i="36" s="1"/>
  <c r="Q179" i="36" s="1"/>
  <c r="P174" i="36"/>
  <c r="P175" i="36" s="1"/>
  <c r="P176" i="36" s="1"/>
  <c r="P177" i="36" s="1"/>
  <c r="P178" i="36" s="1"/>
  <c r="P179" i="36" s="1"/>
  <c r="O174" i="36"/>
  <c r="O175" i="36" s="1"/>
  <c r="O176" i="36" s="1"/>
  <c r="O177" i="36" s="1"/>
  <c r="O178" i="36" s="1"/>
  <c r="O179" i="36" s="1"/>
  <c r="H174" i="36"/>
  <c r="T174" i="36" s="1"/>
  <c r="AH174" i="36" s="1"/>
  <c r="C174" i="36"/>
  <c r="C175" i="36" s="1"/>
  <c r="B174" i="36"/>
  <c r="B175" i="36" s="1"/>
  <c r="B176" i="36" s="1"/>
  <c r="B177" i="36" s="1"/>
  <c r="B178" i="36" s="1"/>
  <c r="B179" i="36" s="1"/>
  <c r="T173" i="36"/>
  <c r="AF173" i="36" s="1"/>
  <c r="AJ172" i="36"/>
  <c r="AI172" i="36"/>
  <c r="AF172" i="36"/>
  <c r="AJ171" i="36"/>
  <c r="AI171" i="36"/>
  <c r="AF171" i="36"/>
  <c r="AJ170" i="36"/>
  <c r="AI170" i="36"/>
  <c r="AF170" i="36"/>
  <c r="AJ169" i="36"/>
  <c r="AI169" i="36"/>
  <c r="AF169" i="36"/>
  <c r="AJ168" i="36"/>
  <c r="AI168" i="36"/>
  <c r="AF168" i="36"/>
  <c r="AJ167" i="36"/>
  <c r="AI167" i="36"/>
  <c r="AF167" i="36"/>
  <c r="AJ166" i="36"/>
  <c r="AI166" i="36"/>
  <c r="AF166" i="36"/>
  <c r="AJ165" i="36"/>
  <c r="AI165" i="36"/>
  <c r="AF165" i="36"/>
  <c r="AJ164" i="36"/>
  <c r="AI164" i="36"/>
  <c r="AF164" i="36"/>
  <c r="Q164" i="36"/>
  <c r="Q165" i="36" s="1"/>
  <c r="Q166" i="36" s="1"/>
  <c r="Q167" i="36" s="1"/>
  <c r="Q168" i="36" s="1"/>
  <c r="Q169" i="36" s="1"/>
  <c r="Q170" i="36" s="1"/>
  <c r="Q171" i="36" s="1"/>
  <c r="Q172" i="36" s="1"/>
  <c r="AJ163" i="36"/>
  <c r="AI163" i="36"/>
  <c r="AF163" i="36"/>
  <c r="Q163" i="36"/>
  <c r="AJ162" i="36"/>
  <c r="AI162" i="36"/>
  <c r="AF162" i="36"/>
  <c r="Q162" i="36"/>
  <c r="P162" i="36"/>
  <c r="P163" i="36" s="1"/>
  <c r="P164" i="36" s="1"/>
  <c r="P165" i="36" s="1"/>
  <c r="P166" i="36" s="1"/>
  <c r="P167" i="36" s="1"/>
  <c r="P168" i="36" s="1"/>
  <c r="P169" i="36" s="1"/>
  <c r="P170" i="36" s="1"/>
  <c r="P171" i="36" s="1"/>
  <c r="P172" i="36" s="1"/>
  <c r="O162" i="36"/>
  <c r="O163" i="36" s="1"/>
  <c r="O164" i="36" s="1"/>
  <c r="O165" i="36" s="1"/>
  <c r="O166" i="36" s="1"/>
  <c r="O167" i="36" s="1"/>
  <c r="O168" i="36" s="1"/>
  <c r="O169" i="36" s="1"/>
  <c r="O170" i="36" s="1"/>
  <c r="O171" i="36" s="1"/>
  <c r="O172" i="36" s="1"/>
  <c r="H162" i="36"/>
  <c r="T162" i="36" s="1"/>
  <c r="AH162" i="36" s="1"/>
  <c r="E162" i="36"/>
  <c r="E163" i="36" s="1"/>
  <c r="E164" i="36" s="1"/>
  <c r="E165" i="36" s="1"/>
  <c r="E166" i="36" s="1"/>
  <c r="E167" i="36" s="1"/>
  <c r="E168" i="36" s="1"/>
  <c r="E169" i="36" s="1"/>
  <c r="E170" i="36" s="1"/>
  <c r="E171" i="36" s="1"/>
  <c r="E172" i="36" s="1"/>
  <c r="D162" i="36"/>
  <c r="D163" i="36" s="1"/>
  <c r="D164" i="36" s="1"/>
  <c r="D165" i="36" s="1"/>
  <c r="D166" i="36" s="1"/>
  <c r="D167" i="36" s="1"/>
  <c r="D168" i="36" s="1"/>
  <c r="D169" i="36" s="1"/>
  <c r="D170" i="36" s="1"/>
  <c r="D171" i="36" s="1"/>
  <c r="D172" i="36" s="1"/>
  <c r="C162" i="36"/>
  <c r="C163" i="36" s="1"/>
  <c r="C164" i="36" s="1"/>
  <c r="C165" i="36" s="1"/>
  <c r="C166" i="36" s="1"/>
  <c r="C167" i="36" s="1"/>
  <c r="C168" i="36" s="1"/>
  <c r="C169" i="36" s="1"/>
  <c r="C170" i="36" s="1"/>
  <c r="C171" i="36" s="1"/>
  <c r="C172" i="36" s="1"/>
  <c r="B162" i="36"/>
  <c r="B163" i="36" s="1"/>
  <c r="B164" i="36" s="1"/>
  <c r="B165" i="36" s="1"/>
  <c r="B166" i="36" s="1"/>
  <c r="B167" i="36" s="1"/>
  <c r="B168" i="36" s="1"/>
  <c r="B169" i="36" s="1"/>
  <c r="B170" i="36" s="1"/>
  <c r="B171" i="36" s="1"/>
  <c r="B172" i="36" s="1"/>
  <c r="T161" i="36"/>
  <c r="AF161" i="36" s="1"/>
  <c r="AJ160" i="36"/>
  <c r="AI160" i="36"/>
  <c r="AF160" i="36"/>
  <c r="AJ159" i="36"/>
  <c r="AI159" i="36"/>
  <c r="AF159" i="36"/>
  <c r="AJ158" i="36"/>
  <c r="AI158" i="36"/>
  <c r="AF158" i="36"/>
  <c r="AJ157" i="36"/>
  <c r="AI157" i="36"/>
  <c r="AF157" i="36"/>
  <c r="AJ156" i="36"/>
  <c r="AI156" i="36"/>
  <c r="AF156" i="36"/>
  <c r="AJ155" i="36"/>
  <c r="AI155" i="36"/>
  <c r="AF155" i="36"/>
  <c r="AJ154" i="36"/>
  <c r="AI154" i="36"/>
  <c r="AF154" i="36"/>
  <c r="AJ153" i="36"/>
  <c r="AI153" i="36"/>
  <c r="AF153" i="36"/>
  <c r="Q153" i="36"/>
  <c r="Q154" i="36" s="1"/>
  <c r="Q155" i="36" s="1"/>
  <c r="Q156" i="36" s="1"/>
  <c r="Q157" i="36" s="1"/>
  <c r="Q158" i="36" s="1"/>
  <c r="Q159" i="36" s="1"/>
  <c r="Q160" i="36" s="1"/>
  <c r="P153" i="36"/>
  <c r="P154" i="36" s="1"/>
  <c r="P155" i="36" s="1"/>
  <c r="P156" i="36" s="1"/>
  <c r="P157" i="36" s="1"/>
  <c r="P158" i="36" s="1"/>
  <c r="P159" i="36" s="1"/>
  <c r="P160" i="36" s="1"/>
  <c r="O153" i="36"/>
  <c r="O154" i="36" s="1"/>
  <c r="O155" i="36" s="1"/>
  <c r="O156" i="36" s="1"/>
  <c r="O157" i="36" s="1"/>
  <c r="O158" i="36" s="1"/>
  <c r="O159" i="36" s="1"/>
  <c r="O160" i="36" s="1"/>
  <c r="H153" i="36"/>
  <c r="T153" i="36" s="1"/>
  <c r="AH153" i="36" s="1"/>
  <c r="C153" i="36"/>
  <c r="C154" i="36" s="1"/>
  <c r="C155" i="36" s="1"/>
  <c r="C156" i="36" s="1"/>
  <c r="C157" i="36" s="1"/>
  <c r="C158" i="36" s="1"/>
  <c r="C159" i="36" s="1"/>
  <c r="C160" i="36" s="1"/>
  <c r="T152" i="36"/>
  <c r="AF152" i="36" s="1"/>
  <c r="AJ151" i="36"/>
  <c r="AI151" i="36"/>
  <c r="AF151" i="36"/>
  <c r="AJ150" i="36"/>
  <c r="AI150" i="36"/>
  <c r="AF150" i="36"/>
  <c r="AJ149" i="36"/>
  <c r="AI149" i="36"/>
  <c r="AF149" i="36"/>
  <c r="AJ148" i="36"/>
  <c r="AI148" i="36"/>
  <c r="AF148" i="36"/>
  <c r="AJ147" i="36"/>
  <c r="AI147" i="36"/>
  <c r="AF147" i="36"/>
  <c r="AJ146" i="36"/>
  <c r="AI146" i="36"/>
  <c r="AF146" i="36"/>
  <c r="AJ145" i="36"/>
  <c r="AI145" i="36"/>
  <c r="AF145" i="36"/>
  <c r="P145" i="36"/>
  <c r="P146" i="36" s="1"/>
  <c r="P147" i="36" s="1"/>
  <c r="P148" i="36" s="1"/>
  <c r="P149" i="36" s="1"/>
  <c r="P150" i="36" s="1"/>
  <c r="P151" i="36" s="1"/>
  <c r="O145" i="36"/>
  <c r="O146" i="36" s="1"/>
  <c r="O147" i="36" s="1"/>
  <c r="O148" i="36" s="1"/>
  <c r="O149" i="36" s="1"/>
  <c r="O150" i="36" s="1"/>
  <c r="O151" i="36" s="1"/>
  <c r="AJ144" i="36"/>
  <c r="AI144" i="36"/>
  <c r="AF144" i="36"/>
  <c r="Q144" i="36"/>
  <c r="Q145" i="36" s="1"/>
  <c r="Q146" i="36" s="1"/>
  <c r="Q147" i="36" s="1"/>
  <c r="Q148" i="36" s="1"/>
  <c r="Q149" i="36" s="1"/>
  <c r="Q150" i="36" s="1"/>
  <c r="Q151" i="36" s="1"/>
  <c r="P144" i="36"/>
  <c r="O144" i="36"/>
  <c r="H144" i="36"/>
  <c r="T144" i="36" s="1"/>
  <c r="AH144" i="36" s="1"/>
  <c r="C144" i="36"/>
  <c r="C145" i="36" s="1"/>
  <c r="C146" i="36" s="1"/>
  <c r="C147" i="36" s="1"/>
  <c r="C148" i="36" s="1"/>
  <c r="C149" i="36" s="1"/>
  <c r="C150" i="36" s="1"/>
  <c r="C151" i="36" s="1"/>
  <c r="T143" i="36"/>
  <c r="AF143" i="36" s="1"/>
  <c r="AJ142" i="36"/>
  <c r="AI142" i="36"/>
  <c r="AF142" i="36"/>
  <c r="AJ141" i="36"/>
  <c r="AI141" i="36"/>
  <c r="AF141" i="36"/>
  <c r="O141" i="36"/>
  <c r="O142" i="36" s="1"/>
  <c r="AJ140" i="36"/>
  <c r="AI140" i="36"/>
  <c r="AF140" i="36"/>
  <c r="AJ139" i="36"/>
  <c r="AI139" i="36"/>
  <c r="AF139" i="36"/>
  <c r="AJ138" i="36"/>
  <c r="AI138" i="36"/>
  <c r="AF138" i="36"/>
  <c r="AJ137" i="36"/>
  <c r="AI137" i="36"/>
  <c r="AF137" i="36"/>
  <c r="AJ136" i="36"/>
  <c r="AI136" i="36"/>
  <c r="AF136" i="36"/>
  <c r="H136" i="36"/>
  <c r="AJ135" i="36"/>
  <c r="AI135" i="36"/>
  <c r="AF135" i="36"/>
  <c r="Q135" i="36"/>
  <c r="Q136" i="36" s="1"/>
  <c r="Q137" i="36" s="1"/>
  <c r="Q138" i="36" s="1"/>
  <c r="Q139" i="36" s="1"/>
  <c r="Q140" i="36" s="1"/>
  <c r="Q141" i="36" s="1"/>
  <c r="Q142" i="36" s="1"/>
  <c r="P135" i="36"/>
  <c r="P136" i="36" s="1"/>
  <c r="P137" i="36" s="1"/>
  <c r="P138" i="36" s="1"/>
  <c r="P139" i="36" s="1"/>
  <c r="P140" i="36" s="1"/>
  <c r="P141" i="36" s="1"/>
  <c r="P142" i="36" s="1"/>
  <c r="O135" i="36"/>
  <c r="O136" i="36" s="1"/>
  <c r="O137" i="36" s="1"/>
  <c r="O138" i="36" s="1"/>
  <c r="O139" i="36" s="1"/>
  <c r="O140" i="36" s="1"/>
  <c r="H135" i="36"/>
  <c r="T135" i="36" s="1"/>
  <c r="AH135" i="36" s="1"/>
  <c r="C135" i="36"/>
  <c r="C136" i="36" s="1"/>
  <c r="C137" i="36" s="1"/>
  <c r="C138" i="36" s="1"/>
  <c r="C139" i="36" s="1"/>
  <c r="C140" i="36" s="1"/>
  <c r="C141" i="36" s="1"/>
  <c r="C142" i="36" s="1"/>
  <c r="T134" i="36"/>
  <c r="AF134" i="36" s="1"/>
  <c r="AJ133" i="36"/>
  <c r="AI133" i="36"/>
  <c r="AF133" i="36"/>
  <c r="AJ132" i="36"/>
  <c r="AI132" i="36"/>
  <c r="AF132" i="36"/>
  <c r="AJ131" i="36"/>
  <c r="AI131" i="36"/>
  <c r="AF131" i="36"/>
  <c r="AJ130" i="36"/>
  <c r="AI130" i="36"/>
  <c r="AF130" i="36"/>
  <c r="AJ129" i="36"/>
  <c r="AI129" i="36"/>
  <c r="AF129" i="36"/>
  <c r="AJ128" i="36"/>
  <c r="AI128" i="36"/>
  <c r="AF128" i="36"/>
  <c r="AJ127" i="36"/>
  <c r="AI127" i="36"/>
  <c r="AF127" i="36"/>
  <c r="AJ126" i="36"/>
  <c r="AI126" i="36"/>
  <c r="AF126" i="36"/>
  <c r="Q126" i="36"/>
  <c r="Q127" i="36" s="1"/>
  <c r="Q128" i="36" s="1"/>
  <c r="Q129" i="36" s="1"/>
  <c r="Q130" i="36" s="1"/>
  <c r="Q131" i="36" s="1"/>
  <c r="Q132" i="36" s="1"/>
  <c r="Q133" i="36" s="1"/>
  <c r="P126" i="36"/>
  <c r="P127" i="36" s="1"/>
  <c r="P128" i="36" s="1"/>
  <c r="P129" i="36" s="1"/>
  <c r="P130" i="36" s="1"/>
  <c r="P131" i="36" s="1"/>
  <c r="P132" i="36" s="1"/>
  <c r="P133" i="36" s="1"/>
  <c r="O126" i="36"/>
  <c r="O127" i="36" s="1"/>
  <c r="O128" i="36" s="1"/>
  <c r="O129" i="36" s="1"/>
  <c r="O130" i="36" s="1"/>
  <c r="O131" i="36" s="1"/>
  <c r="O132" i="36" s="1"/>
  <c r="O133" i="36" s="1"/>
  <c r="H126" i="36"/>
  <c r="H127" i="36" s="1"/>
  <c r="T127" i="36" s="1"/>
  <c r="AH127" i="36" s="1"/>
  <c r="C126" i="36"/>
  <c r="C127" i="36" s="1"/>
  <c r="C128" i="36" s="1"/>
  <c r="C129" i="36" s="1"/>
  <c r="C130" i="36" s="1"/>
  <c r="C131" i="36" s="1"/>
  <c r="C132" i="36" s="1"/>
  <c r="C133" i="36" s="1"/>
  <c r="T125" i="36"/>
  <c r="AF125" i="36" s="1"/>
  <c r="AJ124" i="36"/>
  <c r="AI124" i="36"/>
  <c r="AF124" i="36"/>
  <c r="T124" i="36"/>
  <c r="AH124" i="36" s="1"/>
  <c r="AJ123" i="36"/>
  <c r="AI123" i="36"/>
  <c r="AF123" i="36"/>
  <c r="T123" i="36"/>
  <c r="AH123" i="36" s="1"/>
  <c r="AJ122" i="36"/>
  <c r="AI122" i="36"/>
  <c r="AF122" i="36"/>
  <c r="T122" i="36"/>
  <c r="AH122" i="36" s="1"/>
  <c r="AJ121" i="36"/>
  <c r="AI121" i="36"/>
  <c r="AF121" i="36"/>
  <c r="T121" i="36"/>
  <c r="AH121" i="36" s="1"/>
  <c r="AJ120" i="36"/>
  <c r="AI120" i="36"/>
  <c r="AF120" i="36"/>
  <c r="T120" i="36"/>
  <c r="AH120" i="36" s="1"/>
  <c r="AJ119" i="36"/>
  <c r="AI119" i="36"/>
  <c r="AF119" i="36"/>
  <c r="Y119" i="36"/>
  <c r="Y120" i="36" s="1"/>
  <c r="Y121" i="36" s="1"/>
  <c r="Y122" i="36" s="1"/>
  <c r="Y123" i="36" s="1"/>
  <c r="Y124" i="36" s="1"/>
  <c r="T119" i="36"/>
  <c r="AH119" i="36" s="1"/>
  <c r="Q119" i="36"/>
  <c r="Q120" i="36" s="1"/>
  <c r="Q121" i="36" s="1"/>
  <c r="Q122" i="36" s="1"/>
  <c r="Q123" i="36" s="1"/>
  <c r="Q124" i="36" s="1"/>
  <c r="O119" i="36"/>
  <c r="O120" i="36" s="1"/>
  <c r="O121" i="36" s="1"/>
  <c r="O122" i="36" s="1"/>
  <c r="O123" i="36" s="1"/>
  <c r="O124" i="36" s="1"/>
  <c r="E119" i="36"/>
  <c r="E120" i="36" s="1"/>
  <c r="E121" i="36" s="1"/>
  <c r="E122" i="36" s="1"/>
  <c r="E123" i="36" s="1"/>
  <c r="E124" i="36" s="1"/>
  <c r="C119" i="36"/>
  <c r="C120" i="36" s="1"/>
  <c r="C121" i="36" s="1"/>
  <c r="C122" i="36" s="1"/>
  <c r="C123" i="36" s="1"/>
  <c r="C124" i="36" s="1"/>
  <c r="B119" i="36"/>
  <c r="B120" i="36" s="1"/>
  <c r="B121" i="36" s="1"/>
  <c r="B122" i="36" s="1"/>
  <c r="B123" i="36" s="1"/>
  <c r="B124" i="36" s="1"/>
  <c r="T118" i="36"/>
  <c r="AF118" i="36" s="1"/>
  <c r="P118" i="36"/>
  <c r="P119" i="36" s="1"/>
  <c r="P120" i="36" s="1"/>
  <c r="P121" i="36" s="1"/>
  <c r="P122" i="36" s="1"/>
  <c r="P123" i="36" s="1"/>
  <c r="P124" i="36" s="1"/>
  <c r="AJ117" i="36"/>
  <c r="AI117" i="36"/>
  <c r="AF117" i="36"/>
  <c r="AJ116" i="36"/>
  <c r="AI116" i="36"/>
  <c r="AF116" i="36"/>
  <c r="AJ115" i="36"/>
  <c r="AI115" i="36"/>
  <c r="AF115" i="36"/>
  <c r="AJ114" i="36"/>
  <c r="AI114" i="36"/>
  <c r="AF114" i="36"/>
  <c r="AJ113" i="36"/>
  <c r="AI113" i="36"/>
  <c r="AF113" i="36"/>
  <c r="C113" i="36"/>
  <c r="C114" i="36" s="1"/>
  <c r="C115" i="36" s="1"/>
  <c r="C116" i="36" s="1"/>
  <c r="C117" i="36" s="1"/>
  <c r="AJ112" i="36"/>
  <c r="AI112" i="36"/>
  <c r="AF112" i="36"/>
  <c r="Q112" i="36"/>
  <c r="Q113" i="36" s="1"/>
  <c r="Q114" i="36" s="1"/>
  <c r="Q115" i="36" s="1"/>
  <c r="Q116" i="36" s="1"/>
  <c r="Q117" i="36" s="1"/>
  <c r="P112" i="36"/>
  <c r="P113" i="36" s="1"/>
  <c r="P114" i="36" s="1"/>
  <c r="P115" i="36" s="1"/>
  <c r="P116" i="36" s="1"/>
  <c r="P117" i="36" s="1"/>
  <c r="O112" i="36"/>
  <c r="O113" i="36" s="1"/>
  <c r="O114" i="36" s="1"/>
  <c r="O115" i="36" s="1"/>
  <c r="O116" i="36" s="1"/>
  <c r="O117" i="36" s="1"/>
  <c r="H112" i="36"/>
  <c r="T112" i="36" s="1"/>
  <c r="AH112" i="36" s="1"/>
  <c r="E112" i="36"/>
  <c r="E113" i="36" s="1"/>
  <c r="E114" i="36" s="1"/>
  <c r="E115" i="36" s="1"/>
  <c r="E116" i="36" s="1"/>
  <c r="E117" i="36" s="1"/>
  <c r="C112" i="36"/>
  <c r="T111" i="36"/>
  <c r="AF111" i="36" s="1"/>
  <c r="AJ110" i="36"/>
  <c r="AI110" i="36"/>
  <c r="AF110" i="36"/>
  <c r="AJ109" i="36"/>
  <c r="AI109" i="36"/>
  <c r="AF109" i="36"/>
  <c r="AJ108" i="36"/>
  <c r="AI108" i="36"/>
  <c r="AF108" i="36"/>
  <c r="AJ107" i="36"/>
  <c r="AI107" i="36"/>
  <c r="AF107" i="36"/>
  <c r="AJ106" i="36"/>
  <c r="AI106" i="36"/>
  <c r="AF106" i="36"/>
  <c r="C106" i="36"/>
  <c r="C107" i="36" s="1"/>
  <c r="C108" i="36" s="1"/>
  <c r="C109" i="36" s="1"/>
  <c r="C110" i="36" s="1"/>
  <c r="AJ105" i="36"/>
  <c r="AI105" i="36"/>
  <c r="AF105" i="36"/>
  <c r="Q105" i="36"/>
  <c r="Q106" i="36" s="1"/>
  <c r="Q107" i="36" s="1"/>
  <c r="Q108" i="36" s="1"/>
  <c r="Q109" i="36" s="1"/>
  <c r="Q110" i="36" s="1"/>
  <c r="P105" i="36"/>
  <c r="P106" i="36" s="1"/>
  <c r="P107" i="36" s="1"/>
  <c r="P108" i="36" s="1"/>
  <c r="P109" i="36" s="1"/>
  <c r="P110" i="36" s="1"/>
  <c r="O105" i="36"/>
  <c r="O106" i="36" s="1"/>
  <c r="O107" i="36" s="1"/>
  <c r="O108" i="36" s="1"/>
  <c r="O109" i="36" s="1"/>
  <c r="O110" i="36" s="1"/>
  <c r="H105" i="36"/>
  <c r="E105" i="36"/>
  <c r="E106" i="36" s="1"/>
  <c r="E107" i="36" s="1"/>
  <c r="E108" i="36" s="1"/>
  <c r="E109" i="36" s="1"/>
  <c r="E110" i="36" s="1"/>
  <c r="C105" i="36"/>
  <c r="T104" i="36"/>
  <c r="AF104" i="36" s="1"/>
  <c r="AJ103" i="36"/>
  <c r="AI103" i="36"/>
  <c r="AF103" i="36"/>
  <c r="AJ102" i="36"/>
  <c r="AI102" i="36"/>
  <c r="AF102" i="36"/>
  <c r="AJ101" i="36"/>
  <c r="AI101" i="36"/>
  <c r="AF101" i="36"/>
  <c r="AJ100" i="36"/>
  <c r="AI100" i="36"/>
  <c r="AF100" i="36"/>
  <c r="AJ99" i="36"/>
  <c r="AI99" i="36"/>
  <c r="AF99" i="36"/>
  <c r="P99" i="36"/>
  <c r="P100" i="36" s="1"/>
  <c r="P101" i="36" s="1"/>
  <c r="P102" i="36" s="1"/>
  <c r="P103" i="36" s="1"/>
  <c r="AJ98" i="36"/>
  <c r="AI98" i="36"/>
  <c r="AF98" i="36"/>
  <c r="Q98" i="36"/>
  <c r="Q99" i="36" s="1"/>
  <c r="Q100" i="36" s="1"/>
  <c r="Q101" i="36" s="1"/>
  <c r="Q102" i="36" s="1"/>
  <c r="Q103" i="36" s="1"/>
  <c r="P98" i="36"/>
  <c r="O98" i="36"/>
  <c r="O99" i="36" s="1"/>
  <c r="O100" i="36" s="1"/>
  <c r="O101" i="36" s="1"/>
  <c r="O102" i="36" s="1"/>
  <c r="O103" i="36" s="1"/>
  <c r="H98" i="36"/>
  <c r="T98" i="36" s="1"/>
  <c r="AH98" i="36" s="1"/>
  <c r="E98" i="36"/>
  <c r="E99" i="36" s="1"/>
  <c r="E100" i="36" s="1"/>
  <c r="E101" i="36" s="1"/>
  <c r="E102" i="36" s="1"/>
  <c r="E103" i="36" s="1"/>
  <c r="C98" i="36"/>
  <c r="C99" i="36" s="1"/>
  <c r="C100" i="36" s="1"/>
  <c r="C101" i="36" s="1"/>
  <c r="C102" i="36" s="1"/>
  <c r="C103" i="36" s="1"/>
  <c r="T97" i="36"/>
  <c r="AF97" i="36" s="1"/>
  <c r="H97" i="36"/>
  <c r="AJ96" i="36"/>
  <c r="AI96" i="36"/>
  <c r="AF96" i="36"/>
  <c r="AJ95" i="36"/>
  <c r="AI95" i="36"/>
  <c r="AF95" i="36"/>
  <c r="AJ94" i="36"/>
  <c r="AI94" i="36"/>
  <c r="AF94" i="36"/>
  <c r="AJ93" i="36"/>
  <c r="AI93" i="36"/>
  <c r="AF93" i="36"/>
  <c r="AJ92" i="36"/>
  <c r="AI92" i="36"/>
  <c r="AF92" i="36"/>
  <c r="AJ91" i="36"/>
  <c r="AI91" i="36"/>
  <c r="AF91" i="36"/>
  <c r="AC91" i="36"/>
  <c r="AC92" i="36" s="1"/>
  <c r="AC93" i="36" s="1"/>
  <c r="AC94" i="36" s="1"/>
  <c r="AC95" i="36" s="1"/>
  <c r="AC96" i="36" s="1"/>
  <c r="Q91" i="36"/>
  <c r="Q92" i="36" s="1"/>
  <c r="Q93" i="36" s="1"/>
  <c r="Q94" i="36" s="1"/>
  <c r="Q95" i="36" s="1"/>
  <c r="Q96" i="36" s="1"/>
  <c r="O91" i="36"/>
  <c r="O92" i="36" s="1"/>
  <c r="O93" i="36" s="1"/>
  <c r="O94" i="36" s="1"/>
  <c r="O95" i="36" s="1"/>
  <c r="O96" i="36" s="1"/>
  <c r="G91" i="36"/>
  <c r="G92" i="36" s="1"/>
  <c r="G93" i="36" s="1"/>
  <c r="G94" i="36" s="1"/>
  <c r="G95" i="36" s="1"/>
  <c r="G96" i="36" s="1"/>
  <c r="F91" i="36"/>
  <c r="F92" i="36" s="1"/>
  <c r="F93" i="36" s="1"/>
  <c r="F94" i="36" s="1"/>
  <c r="F95" i="36" s="1"/>
  <c r="F96" i="36" s="1"/>
  <c r="E91" i="36"/>
  <c r="E92" i="36" s="1"/>
  <c r="E93" i="36" s="1"/>
  <c r="E94" i="36" s="1"/>
  <c r="E95" i="36" s="1"/>
  <c r="E96" i="36" s="1"/>
  <c r="D91" i="36"/>
  <c r="D92" i="36" s="1"/>
  <c r="D93" i="36" s="1"/>
  <c r="D94" i="36" s="1"/>
  <c r="D95" i="36" s="1"/>
  <c r="D96" i="36" s="1"/>
  <c r="C91" i="36"/>
  <c r="C92" i="36" s="1"/>
  <c r="C93" i="36" s="1"/>
  <c r="C94" i="36" s="1"/>
  <c r="C95" i="36" s="1"/>
  <c r="C96" i="36" s="1"/>
  <c r="B91" i="36"/>
  <c r="B92" i="36" s="1"/>
  <c r="B93" i="36" s="1"/>
  <c r="B94" i="36" s="1"/>
  <c r="B95" i="36" s="1"/>
  <c r="B96" i="36" s="1"/>
  <c r="P90" i="36"/>
  <c r="P91" i="36" s="1"/>
  <c r="P92" i="36" s="1"/>
  <c r="P93" i="36" s="1"/>
  <c r="P94" i="36" s="1"/>
  <c r="P95" i="36" s="1"/>
  <c r="P96" i="36" s="1"/>
  <c r="H90" i="36"/>
  <c r="AJ89" i="36"/>
  <c r="AI89" i="36"/>
  <c r="AF89" i="36"/>
  <c r="I89" i="36"/>
  <c r="E89" i="36"/>
  <c r="AJ88" i="36"/>
  <c r="AI88" i="36"/>
  <c r="AF88" i="36"/>
  <c r="I88" i="36"/>
  <c r="AJ87" i="36"/>
  <c r="AI87" i="36"/>
  <c r="AF87" i="36"/>
  <c r="I87" i="36"/>
  <c r="AJ86" i="36"/>
  <c r="AI86" i="36"/>
  <c r="AF86" i="36"/>
  <c r="AC86" i="36"/>
  <c r="AC87" i="36" s="1"/>
  <c r="AC88" i="36" s="1"/>
  <c r="AC89" i="36" s="1"/>
  <c r="Q86" i="36"/>
  <c r="Q87" i="36" s="1"/>
  <c r="Q88" i="36" s="1"/>
  <c r="Q89" i="36" s="1"/>
  <c r="P86" i="36"/>
  <c r="P87" i="36" s="1"/>
  <c r="P88" i="36" s="1"/>
  <c r="P89" i="36" s="1"/>
  <c r="O86" i="36"/>
  <c r="O87" i="36" s="1"/>
  <c r="O88" i="36" s="1"/>
  <c r="O89" i="36" s="1"/>
  <c r="I86" i="36"/>
  <c r="H86" i="36"/>
  <c r="G86" i="36"/>
  <c r="G87" i="36" s="1"/>
  <c r="G88" i="36" s="1"/>
  <c r="G89" i="36" s="1"/>
  <c r="F86" i="36"/>
  <c r="F87" i="36" s="1"/>
  <c r="F88" i="36" s="1"/>
  <c r="F89" i="36" s="1"/>
  <c r="E86" i="36"/>
  <c r="E87" i="36" s="1"/>
  <c r="E88" i="36" s="1"/>
  <c r="D86" i="36"/>
  <c r="D87" i="36" s="1"/>
  <c r="D88" i="36" s="1"/>
  <c r="D89" i="36" s="1"/>
  <c r="C86" i="36"/>
  <c r="C87" i="36" s="1"/>
  <c r="C88" i="36" s="1"/>
  <c r="C89" i="36" s="1"/>
  <c r="B86" i="36"/>
  <c r="B87" i="36" s="1"/>
  <c r="B88" i="36" s="1"/>
  <c r="B89" i="36" s="1"/>
  <c r="T85" i="36"/>
  <c r="AF85" i="36" s="1"/>
  <c r="AJ84" i="36"/>
  <c r="AI84" i="36"/>
  <c r="AF84" i="36"/>
  <c r="T84" i="36"/>
  <c r="AH84" i="36" s="1"/>
  <c r="AJ83" i="36"/>
  <c r="AI83" i="36"/>
  <c r="AF83" i="36"/>
  <c r="T83" i="36"/>
  <c r="AH83" i="36" s="1"/>
  <c r="AJ82" i="36"/>
  <c r="AI82" i="36"/>
  <c r="AF82" i="36"/>
  <c r="T82" i="36"/>
  <c r="AH82" i="36" s="1"/>
  <c r="AJ81" i="36"/>
  <c r="AI81" i="36"/>
  <c r="AF81" i="36"/>
  <c r="T81" i="36"/>
  <c r="AH81" i="36" s="1"/>
  <c r="AJ80" i="36"/>
  <c r="AI80" i="36"/>
  <c r="AF80" i="36"/>
  <c r="T80" i="36"/>
  <c r="AH80" i="36" s="1"/>
  <c r="Q80" i="36"/>
  <c r="Q81" i="36" s="1"/>
  <c r="Q82" i="36" s="1"/>
  <c r="Q83" i="36" s="1"/>
  <c r="Q84" i="36" s="1"/>
  <c r="P80" i="36"/>
  <c r="P81" i="36" s="1"/>
  <c r="P82" i="36" s="1"/>
  <c r="P83" i="36" s="1"/>
  <c r="P84" i="36" s="1"/>
  <c r="O80" i="36"/>
  <c r="O81" i="36" s="1"/>
  <c r="O82" i="36" s="1"/>
  <c r="O83" i="36" s="1"/>
  <c r="O84" i="36" s="1"/>
  <c r="E80" i="36"/>
  <c r="E81" i="36" s="1"/>
  <c r="E82" i="36" s="1"/>
  <c r="E83" i="36" s="1"/>
  <c r="E84" i="36" s="1"/>
  <c r="C80" i="36"/>
  <c r="C81" i="36" s="1"/>
  <c r="C82" i="36" s="1"/>
  <c r="C83" i="36" s="1"/>
  <c r="C84" i="36" s="1"/>
  <c r="T79" i="36"/>
  <c r="AF79" i="36" s="1"/>
  <c r="AJ78" i="36"/>
  <c r="AI78" i="36"/>
  <c r="AF78" i="36"/>
  <c r="AC78" i="36"/>
  <c r="Q78" i="36"/>
  <c r="P78" i="36"/>
  <c r="O78" i="36"/>
  <c r="H78" i="36"/>
  <c r="T78" i="36" s="1"/>
  <c r="AH78" i="36" s="1"/>
  <c r="G78" i="36"/>
  <c r="F78" i="36"/>
  <c r="E78" i="36"/>
  <c r="D78" i="36"/>
  <c r="C78" i="36"/>
  <c r="B78" i="36"/>
  <c r="AF77" i="36"/>
  <c r="T77" i="36"/>
  <c r="AJ76" i="36"/>
  <c r="AI76" i="36"/>
  <c r="AF76" i="36"/>
  <c r="AJ75" i="36"/>
  <c r="AI75" i="36"/>
  <c r="AF75" i="36"/>
  <c r="AJ74" i="36"/>
  <c r="AI74" i="36"/>
  <c r="AF74" i="36"/>
  <c r="AJ73" i="36"/>
  <c r="AI73" i="36"/>
  <c r="AF73" i="36"/>
  <c r="AJ72" i="36"/>
  <c r="AI72" i="36"/>
  <c r="AF72" i="36"/>
  <c r="AJ71" i="36"/>
  <c r="AI71" i="36"/>
  <c r="AF71" i="36"/>
  <c r="AC71" i="36"/>
  <c r="AC72" i="36" s="1"/>
  <c r="AC73" i="36" s="1"/>
  <c r="AC74" i="36" s="1"/>
  <c r="AC75" i="36" s="1"/>
  <c r="AC76" i="36" s="1"/>
  <c r="T71" i="36"/>
  <c r="AH71" i="36" s="1"/>
  <c r="Q71" i="36"/>
  <c r="Q72" i="36" s="1"/>
  <c r="Q73" i="36" s="1"/>
  <c r="Q74" i="36" s="1"/>
  <c r="Q75" i="36" s="1"/>
  <c r="Q76" i="36" s="1"/>
  <c r="P71" i="36"/>
  <c r="P72" i="36" s="1"/>
  <c r="P73" i="36" s="1"/>
  <c r="P74" i="36" s="1"/>
  <c r="P75" i="36" s="1"/>
  <c r="P76" i="36" s="1"/>
  <c r="O71" i="36"/>
  <c r="O72" i="36" s="1"/>
  <c r="O73" i="36" s="1"/>
  <c r="O74" i="36" s="1"/>
  <c r="O75" i="36" s="1"/>
  <c r="O76" i="36" s="1"/>
  <c r="H71" i="36"/>
  <c r="H72" i="36" s="1"/>
  <c r="G71" i="36"/>
  <c r="G72" i="36" s="1"/>
  <c r="G73" i="36" s="1"/>
  <c r="G74" i="36" s="1"/>
  <c r="G75" i="36" s="1"/>
  <c r="G76" i="36" s="1"/>
  <c r="F71" i="36"/>
  <c r="F72" i="36" s="1"/>
  <c r="F73" i="36" s="1"/>
  <c r="F74" i="36" s="1"/>
  <c r="F75" i="36" s="1"/>
  <c r="F76" i="36" s="1"/>
  <c r="E71" i="36"/>
  <c r="E72" i="36" s="1"/>
  <c r="E73" i="36" s="1"/>
  <c r="E74" i="36" s="1"/>
  <c r="E75" i="36" s="1"/>
  <c r="E76" i="36" s="1"/>
  <c r="D71" i="36"/>
  <c r="D72" i="36" s="1"/>
  <c r="D73" i="36" s="1"/>
  <c r="D74" i="36" s="1"/>
  <c r="D75" i="36" s="1"/>
  <c r="D76" i="36" s="1"/>
  <c r="C71" i="36"/>
  <c r="C72" i="36" s="1"/>
  <c r="C73" i="36" s="1"/>
  <c r="C74" i="36" s="1"/>
  <c r="C75" i="36" s="1"/>
  <c r="C76" i="36" s="1"/>
  <c r="B71" i="36"/>
  <c r="B72" i="36" s="1"/>
  <c r="B73" i="36" s="1"/>
  <c r="B74" i="36" s="1"/>
  <c r="B75" i="36" s="1"/>
  <c r="B76" i="36" s="1"/>
  <c r="T70" i="36"/>
  <c r="AF70" i="36" s="1"/>
  <c r="P70" i="36"/>
  <c r="AJ69" i="36"/>
  <c r="AI69" i="36"/>
  <c r="AF69" i="36"/>
  <c r="AJ68" i="36"/>
  <c r="AI68" i="36"/>
  <c r="AF68" i="36"/>
  <c r="AJ67" i="36"/>
  <c r="AI67" i="36"/>
  <c r="AF67" i="36"/>
  <c r="T67" i="36"/>
  <c r="AH67" i="36" s="1"/>
  <c r="AJ66" i="36"/>
  <c r="AI66" i="36"/>
  <c r="AF66" i="36"/>
  <c r="T66" i="36"/>
  <c r="AH66" i="36" s="1"/>
  <c r="AJ65" i="36"/>
  <c r="AI65" i="36"/>
  <c r="AF65" i="36"/>
  <c r="T65" i="36"/>
  <c r="AH65" i="36" s="1"/>
  <c r="AJ64" i="36"/>
  <c r="AI64" i="36"/>
  <c r="AF64" i="36"/>
  <c r="AJ63" i="36"/>
  <c r="AI63" i="36"/>
  <c r="AF63" i="36"/>
  <c r="AC63" i="36"/>
  <c r="AC64" i="36" s="1"/>
  <c r="AC65" i="36" s="1"/>
  <c r="AC66" i="36" s="1"/>
  <c r="AC67" i="36" s="1"/>
  <c r="AC68" i="36" s="1"/>
  <c r="AC69" i="36" s="1"/>
  <c r="T63" i="36"/>
  <c r="AH63" i="36" s="1"/>
  <c r="Q63" i="36"/>
  <c r="Q64" i="36" s="1"/>
  <c r="Q65" i="36" s="1"/>
  <c r="Q66" i="36" s="1"/>
  <c r="Q67" i="36" s="1"/>
  <c r="Q68" i="36" s="1"/>
  <c r="Q69" i="36" s="1"/>
  <c r="P63" i="36"/>
  <c r="P64" i="36" s="1"/>
  <c r="P65" i="36" s="1"/>
  <c r="P66" i="36" s="1"/>
  <c r="P67" i="36" s="1"/>
  <c r="P68" i="36" s="1"/>
  <c r="P69" i="36" s="1"/>
  <c r="O63" i="36"/>
  <c r="O64" i="36" s="1"/>
  <c r="O65" i="36" s="1"/>
  <c r="O66" i="36" s="1"/>
  <c r="O67" i="36" s="1"/>
  <c r="O68" i="36" s="1"/>
  <c r="O69" i="36" s="1"/>
  <c r="H63" i="36"/>
  <c r="H64" i="36" s="1"/>
  <c r="H65" i="36" s="1"/>
  <c r="H66" i="36" s="1"/>
  <c r="H67" i="36" s="1"/>
  <c r="H68" i="36" s="1"/>
  <c r="H69" i="36" s="1"/>
  <c r="T69" i="36" s="1"/>
  <c r="AH69" i="36" s="1"/>
  <c r="G63" i="36"/>
  <c r="G64" i="36" s="1"/>
  <c r="G65" i="36" s="1"/>
  <c r="G66" i="36" s="1"/>
  <c r="G67" i="36" s="1"/>
  <c r="G68" i="36" s="1"/>
  <c r="G69" i="36" s="1"/>
  <c r="F63" i="36"/>
  <c r="F64" i="36" s="1"/>
  <c r="F65" i="36" s="1"/>
  <c r="F66" i="36" s="1"/>
  <c r="F67" i="36" s="1"/>
  <c r="F68" i="36" s="1"/>
  <c r="F69" i="36" s="1"/>
  <c r="E63" i="36"/>
  <c r="E64" i="36" s="1"/>
  <c r="E65" i="36" s="1"/>
  <c r="E66" i="36" s="1"/>
  <c r="E67" i="36" s="1"/>
  <c r="E68" i="36" s="1"/>
  <c r="E69" i="36" s="1"/>
  <c r="D63" i="36"/>
  <c r="D64" i="36" s="1"/>
  <c r="D65" i="36" s="1"/>
  <c r="D66" i="36" s="1"/>
  <c r="D67" i="36" s="1"/>
  <c r="D68" i="36" s="1"/>
  <c r="D69" i="36" s="1"/>
  <c r="C63" i="36"/>
  <c r="C64" i="36" s="1"/>
  <c r="C65" i="36" s="1"/>
  <c r="C66" i="36" s="1"/>
  <c r="C67" i="36" s="1"/>
  <c r="C68" i="36" s="1"/>
  <c r="C69" i="36" s="1"/>
  <c r="B63" i="36"/>
  <c r="B64" i="36" s="1"/>
  <c r="B65" i="36" s="1"/>
  <c r="B66" i="36" s="1"/>
  <c r="B67" i="36" s="1"/>
  <c r="B68" i="36" s="1"/>
  <c r="B69" i="36" s="1"/>
  <c r="T62" i="36"/>
  <c r="AF62" i="36" s="1"/>
  <c r="AJ61" i="36"/>
  <c r="AI61" i="36"/>
  <c r="AF61" i="36"/>
  <c r="AJ60" i="36"/>
  <c r="AI60" i="36"/>
  <c r="AF60" i="36"/>
  <c r="AJ59" i="36"/>
  <c r="AI59" i="36"/>
  <c r="AF59" i="36"/>
  <c r="AJ58" i="36"/>
  <c r="AI58" i="36"/>
  <c r="AF58" i="36"/>
  <c r="AJ57" i="36"/>
  <c r="AI57" i="36"/>
  <c r="AF57" i="36"/>
  <c r="AJ56" i="36"/>
  <c r="AI56" i="36"/>
  <c r="AF56" i="36"/>
  <c r="AJ55" i="36"/>
  <c r="AI55" i="36"/>
  <c r="AF55" i="36"/>
  <c r="AC55" i="36"/>
  <c r="AC56" i="36" s="1"/>
  <c r="AC57" i="36" s="1"/>
  <c r="AC58" i="36" s="1"/>
  <c r="AC59" i="36" s="1"/>
  <c r="AC60" i="36" s="1"/>
  <c r="AC61" i="36" s="1"/>
  <c r="Q55" i="36"/>
  <c r="Q56" i="36" s="1"/>
  <c r="Q57" i="36" s="1"/>
  <c r="Q58" i="36" s="1"/>
  <c r="Q59" i="36" s="1"/>
  <c r="Q60" i="36" s="1"/>
  <c r="Q61" i="36" s="1"/>
  <c r="P55" i="36"/>
  <c r="P56" i="36" s="1"/>
  <c r="P57" i="36" s="1"/>
  <c r="P58" i="36" s="1"/>
  <c r="P59" i="36" s="1"/>
  <c r="P60" i="36" s="1"/>
  <c r="P61" i="36" s="1"/>
  <c r="O55" i="36"/>
  <c r="O56" i="36" s="1"/>
  <c r="O57" i="36" s="1"/>
  <c r="O58" i="36" s="1"/>
  <c r="O59" i="36" s="1"/>
  <c r="O60" i="36" s="1"/>
  <c r="O61" i="36" s="1"/>
  <c r="H55" i="36"/>
  <c r="T55" i="36" s="1"/>
  <c r="AH55" i="36" s="1"/>
  <c r="G55" i="36"/>
  <c r="G56" i="36" s="1"/>
  <c r="G57" i="36" s="1"/>
  <c r="G58" i="36" s="1"/>
  <c r="G59" i="36" s="1"/>
  <c r="G60" i="36" s="1"/>
  <c r="G61" i="36" s="1"/>
  <c r="F55" i="36"/>
  <c r="F56" i="36" s="1"/>
  <c r="F57" i="36" s="1"/>
  <c r="F58" i="36" s="1"/>
  <c r="F59" i="36" s="1"/>
  <c r="F60" i="36" s="1"/>
  <c r="F61" i="36" s="1"/>
  <c r="E55" i="36"/>
  <c r="E56" i="36" s="1"/>
  <c r="E57" i="36" s="1"/>
  <c r="E58" i="36" s="1"/>
  <c r="E59" i="36" s="1"/>
  <c r="E60" i="36" s="1"/>
  <c r="E61" i="36" s="1"/>
  <c r="D55" i="36"/>
  <c r="D56" i="36" s="1"/>
  <c r="D57" i="36" s="1"/>
  <c r="D58" i="36" s="1"/>
  <c r="D59" i="36" s="1"/>
  <c r="D60" i="36" s="1"/>
  <c r="D61" i="36" s="1"/>
  <c r="C55" i="36"/>
  <c r="C56" i="36" s="1"/>
  <c r="C57" i="36" s="1"/>
  <c r="C58" i="36" s="1"/>
  <c r="C59" i="36" s="1"/>
  <c r="C60" i="36" s="1"/>
  <c r="C61" i="36" s="1"/>
  <c r="B55" i="36"/>
  <c r="B56" i="36" s="1"/>
  <c r="B57" i="36" s="1"/>
  <c r="B58" i="36" s="1"/>
  <c r="B59" i="36" s="1"/>
  <c r="B60" i="36" s="1"/>
  <c r="B61" i="36" s="1"/>
  <c r="T54" i="36"/>
  <c r="AF54" i="36" s="1"/>
  <c r="AJ53" i="36"/>
  <c r="AI53" i="36"/>
  <c r="AF53" i="36"/>
  <c r="D53" i="36"/>
  <c r="AJ52" i="36"/>
  <c r="AI52" i="36"/>
  <c r="AF52" i="36"/>
  <c r="AJ51" i="36"/>
  <c r="AI51" i="36"/>
  <c r="AF51" i="36"/>
  <c r="AJ50" i="36"/>
  <c r="AI50" i="36"/>
  <c r="AF50" i="36"/>
  <c r="AJ49" i="36"/>
  <c r="AI49" i="36"/>
  <c r="AF49" i="36"/>
  <c r="AC49" i="36"/>
  <c r="AC50" i="36" s="1"/>
  <c r="AC51" i="36" s="1"/>
  <c r="AC52" i="36" s="1"/>
  <c r="AC53" i="36" s="1"/>
  <c r="Q49" i="36"/>
  <c r="Q50" i="36" s="1"/>
  <c r="Q51" i="36" s="1"/>
  <c r="Q52" i="36" s="1"/>
  <c r="Q53" i="36" s="1"/>
  <c r="P49" i="36"/>
  <c r="P50" i="36" s="1"/>
  <c r="P51" i="36" s="1"/>
  <c r="P52" i="36" s="1"/>
  <c r="P53" i="36" s="1"/>
  <c r="O49" i="36"/>
  <c r="O50" i="36" s="1"/>
  <c r="O51" i="36" s="1"/>
  <c r="O52" i="36" s="1"/>
  <c r="O53" i="36" s="1"/>
  <c r="H49" i="36"/>
  <c r="H50" i="36" s="1"/>
  <c r="H51" i="36" s="1"/>
  <c r="G49" i="36"/>
  <c r="G50" i="36" s="1"/>
  <c r="G51" i="36" s="1"/>
  <c r="G52" i="36" s="1"/>
  <c r="G53" i="36" s="1"/>
  <c r="F49" i="36"/>
  <c r="F50" i="36" s="1"/>
  <c r="F51" i="36" s="1"/>
  <c r="F52" i="36" s="1"/>
  <c r="F53" i="36" s="1"/>
  <c r="E49" i="36"/>
  <c r="E50" i="36" s="1"/>
  <c r="E51" i="36" s="1"/>
  <c r="E52" i="36" s="1"/>
  <c r="E53" i="36" s="1"/>
  <c r="D49" i="36"/>
  <c r="D50" i="36" s="1"/>
  <c r="D51" i="36" s="1"/>
  <c r="D52" i="36" s="1"/>
  <c r="C49" i="36"/>
  <c r="C50" i="36" s="1"/>
  <c r="C51" i="36" s="1"/>
  <c r="C52" i="36" s="1"/>
  <c r="C53" i="36" s="1"/>
  <c r="B49" i="36"/>
  <c r="B50" i="36" s="1"/>
  <c r="B51" i="36" s="1"/>
  <c r="B52" i="36" s="1"/>
  <c r="B53" i="36" s="1"/>
  <c r="AF48" i="36"/>
  <c r="T48" i="36"/>
  <c r="AJ47" i="36"/>
  <c r="AI47" i="36"/>
  <c r="AF47" i="36"/>
  <c r="AJ46" i="36"/>
  <c r="AI46" i="36"/>
  <c r="AF46" i="36"/>
  <c r="AJ45" i="36"/>
  <c r="AI45" i="36"/>
  <c r="AF45" i="36"/>
  <c r="AJ44" i="36"/>
  <c r="AI44" i="36"/>
  <c r="AF44" i="36"/>
  <c r="AJ43" i="36"/>
  <c r="AI43" i="36"/>
  <c r="AF43" i="36"/>
  <c r="AJ42" i="36"/>
  <c r="AI42" i="36"/>
  <c r="AF42" i="36"/>
  <c r="AJ41" i="36"/>
  <c r="AI41" i="36"/>
  <c r="AF41" i="36"/>
  <c r="AJ40" i="36"/>
  <c r="AI40" i="36"/>
  <c r="AF40" i="36"/>
  <c r="AJ39" i="36"/>
  <c r="AI39" i="36"/>
  <c r="AF39" i="36"/>
  <c r="AJ38" i="36"/>
  <c r="AI38" i="36"/>
  <c r="AF38" i="36"/>
  <c r="F38" i="36"/>
  <c r="F39" i="36" s="1"/>
  <c r="F40" i="36" s="1"/>
  <c r="F41" i="36" s="1"/>
  <c r="F42" i="36" s="1"/>
  <c r="F43" i="36" s="1"/>
  <c r="F44" i="36" s="1"/>
  <c r="F45" i="36" s="1"/>
  <c r="F46" i="36" s="1"/>
  <c r="F47" i="36" s="1"/>
  <c r="AJ37" i="36"/>
  <c r="AI37" i="36"/>
  <c r="AF37" i="36"/>
  <c r="P37" i="36"/>
  <c r="P38" i="36" s="1"/>
  <c r="P39" i="36" s="1"/>
  <c r="P40" i="36" s="1"/>
  <c r="P41" i="36" s="1"/>
  <c r="P42" i="36" s="1"/>
  <c r="P43" i="36" s="1"/>
  <c r="P44" i="36" s="1"/>
  <c r="P45" i="36" s="1"/>
  <c r="P46" i="36" s="1"/>
  <c r="P47" i="36" s="1"/>
  <c r="AJ36" i="36"/>
  <c r="AI36" i="36"/>
  <c r="AF36" i="36"/>
  <c r="AJ35" i="36"/>
  <c r="AI35" i="36"/>
  <c r="AF35" i="36"/>
  <c r="F35" i="36"/>
  <c r="F36" i="36" s="1"/>
  <c r="F37" i="36" s="1"/>
  <c r="AJ34" i="36"/>
  <c r="AI34" i="36"/>
  <c r="AF34" i="36"/>
  <c r="O34" i="36"/>
  <c r="O35" i="36" s="1"/>
  <c r="O36" i="36" s="1"/>
  <c r="O37" i="36" s="1"/>
  <c r="O38" i="36" s="1"/>
  <c r="O39" i="36" s="1"/>
  <c r="O40" i="36" s="1"/>
  <c r="O41" i="36" s="1"/>
  <c r="O42" i="36" s="1"/>
  <c r="O43" i="36" s="1"/>
  <c r="O44" i="36" s="1"/>
  <c r="O45" i="36" s="1"/>
  <c r="O46" i="36" s="1"/>
  <c r="O47" i="36" s="1"/>
  <c r="G34" i="36"/>
  <c r="G35" i="36" s="1"/>
  <c r="G36" i="36" s="1"/>
  <c r="G37" i="36" s="1"/>
  <c r="G38" i="36" s="1"/>
  <c r="G39" i="36" s="1"/>
  <c r="G40" i="36" s="1"/>
  <c r="G41" i="36" s="1"/>
  <c r="G42" i="36" s="1"/>
  <c r="G43" i="36" s="1"/>
  <c r="G44" i="36" s="1"/>
  <c r="G45" i="36" s="1"/>
  <c r="G46" i="36" s="1"/>
  <c r="G47" i="36" s="1"/>
  <c r="F34" i="36"/>
  <c r="AJ33" i="36"/>
  <c r="AI33" i="36"/>
  <c r="AF33" i="36"/>
  <c r="Q33" i="36"/>
  <c r="Q34" i="36" s="1"/>
  <c r="Q35" i="36" s="1"/>
  <c r="Q36" i="36" s="1"/>
  <c r="Q37" i="36" s="1"/>
  <c r="Q38" i="36" s="1"/>
  <c r="Q39" i="36" s="1"/>
  <c r="Q40" i="36" s="1"/>
  <c r="Q41" i="36" s="1"/>
  <c r="Q42" i="36" s="1"/>
  <c r="Q43" i="36" s="1"/>
  <c r="Q44" i="36" s="1"/>
  <c r="Q45" i="36" s="1"/>
  <c r="Q46" i="36" s="1"/>
  <c r="Q47" i="36" s="1"/>
  <c r="P33" i="36"/>
  <c r="P34" i="36" s="1"/>
  <c r="P35" i="36" s="1"/>
  <c r="P36" i="36" s="1"/>
  <c r="O33" i="36"/>
  <c r="H33" i="36"/>
  <c r="T33" i="36" s="1"/>
  <c r="AH33" i="36" s="1"/>
  <c r="E33" i="36"/>
  <c r="E34" i="36" s="1"/>
  <c r="E35" i="36" s="1"/>
  <c r="E36" i="36" s="1"/>
  <c r="E37" i="36" s="1"/>
  <c r="E38" i="36" s="1"/>
  <c r="E39" i="36" s="1"/>
  <c r="E40" i="36" s="1"/>
  <c r="E41" i="36" s="1"/>
  <c r="E42" i="36" s="1"/>
  <c r="E43" i="36" s="1"/>
  <c r="E44" i="36" s="1"/>
  <c r="E45" i="36" s="1"/>
  <c r="E46" i="36" s="1"/>
  <c r="E47" i="36" s="1"/>
  <c r="D33" i="36"/>
  <c r="D34" i="36" s="1"/>
  <c r="D35" i="36" s="1"/>
  <c r="D36" i="36" s="1"/>
  <c r="D37" i="36" s="1"/>
  <c r="D38" i="36" s="1"/>
  <c r="D39" i="36" s="1"/>
  <c r="D40" i="36" s="1"/>
  <c r="D41" i="36" s="1"/>
  <c r="D42" i="36" s="1"/>
  <c r="D43" i="36" s="1"/>
  <c r="D44" i="36" s="1"/>
  <c r="D45" i="36" s="1"/>
  <c r="D46" i="36" s="1"/>
  <c r="D47" i="36" s="1"/>
  <c r="C33" i="36"/>
  <c r="C34" i="36" s="1"/>
  <c r="C35" i="36" s="1"/>
  <c r="C36" i="36" s="1"/>
  <c r="C37" i="36" s="1"/>
  <c r="C38" i="36" s="1"/>
  <c r="C39" i="36" s="1"/>
  <c r="C40" i="36" s="1"/>
  <c r="C41" i="36" s="1"/>
  <c r="C42" i="36" s="1"/>
  <c r="C43" i="36" s="1"/>
  <c r="C44" i="36" s="1"/>
  <c r="C45" i="36" s="1"/>
  <c r="C46" i="36" s="1"/>
  <c r="C47" i="36" s="1"/>
  <c r="B33" i="36"/>
  <c r="B34" i="36" s="1"/>
  <c r="B35" i="36" s="1"/>
  <c r="B36" i="36" s="1"/>
  <c r="B37" i="36" s="1"/>
  <c r="B38" i="36" s="1"/>
  <c r="B39" i="36" s="1"/>
  <c r="B40" i="36" s="1"/>
  <c r="B41" i="36" s="1"/>
  <c r="B42" i="36" s="1"/>
  <c r="B43" i="36" s="1"/>
  <c r="B44" i="36" s="1"/>
  <c r="B45" i="36" s="1"/>
  <c r="B46" i="36" s="1"/>
  <c r="B47" i="36" s="1"/>
  <c r="AB32" i="36"/>
  <c r="AB33" i="36" s="1"/>
  <c r="AB34" i="36" s="1"/>
  <c r="AB35" i="36" s="1"/>
  <c r="AB36" i="36" s="1"/>
  <c r="AB37" i="36" s="1"/>
  <c r="AB38" i="36" s="1"/>
  <c r="AB39" i="36" s="1"/>
  <c r="AB40" i="36" s="1"/>
  <c r="AB41" i="36" s="1"/>
  <c r="AB42" i="36" s="1"/>
  <c r="AB43" i="36" s="1"/>
  <c r="AB44" i="36" s="1"/>
  <c r="AB45" i="36" s="1"/>
  <c r="AB46" i="36" s="1"/>
  <c r="AB47" i="36" s="1"/>
  <c r="T32" i="36"/>
  <c r="AF32" i="36" s="1"/>
  <c r="AJ31" i="36"/>
  <c r="AI31" i="36"/>
  <c r="AF31" i="36"/>
  <c r="AJ30" i="36"/>
  <c r="AI30" i="36"/>
  <c r="AF30" i="36"/>
  <c r="AJ29" i="36"/>
  <c r="AI29" i="36"/>
  <c r="AF29" i="36"/>
  <c r="AJ28" i="36"/>
  <c r="AI28" i="36"/>
  <c r="AF28" i="36"/>
  <c r="AJ27" i="36"/>
  <c r="AI27" i="36"/>
  <c r="AF27" i="36"/>
  <c r="AJ26" i="36"/>
  <c r="AI26" i="36"/>
  <c r="AF26" i="36"/>
  <c r="AJ25" i="36"/>
  <c r="AI25" i="36"/>
  <c r="AF25" i="36"/>
  <c r="AJ24" i="36"/>
  <c r="AI24" i="36"/>
  <c r="AF24" i="36"/>
  <c r="Q24" i="36"/>
  <c r="Q25" i="36" s="1"/>
  <c r="Q26" i="36" s="1"/>
  <c r="Q27" i="36" s="1"/>
  <c r="Q28" i="36" s="1"/>
  <c r="Q29" i="36" s="1"/>
  <c r="Q30" i="36" s="1"/>
  <c r="Q31" i="36" s="1"/>
  <c r="H24" i="36"/>
  <c r="T24" i="36" s="1"/>
  <c r="AH24" i="36" s="1"/>
  <c r="G24" i="36"/>
  <c r="G25" i="36" s="1"/>
  <c r="G26" i="36" s="1"/>
  <c r="G27" i="36" s="1"/>
  <c r="G28" i="36" s="1"/>
  <c r="G29" i="36" s="1"/>
  <c r="G30" i="36" s="1"/>
  <c r="G31" i="36" s="1"/>
  <c r="F24" i="36"/>
  <c r="F25" i="36" s="1"/>
  <c r="F26" i="36" s="1"/>
  <c r="F27" i="36" s="1"/>
  <c r="F28" i="36" s="1"/>
  <c r="F29" i="36" s="1"/>
  <c r="F30" i="36" s="1"/>
  <c r="F31" i="36" s="1"/>
  <c r="E24" i="36"/>
  <c r="E25" i="36" s="1"/>
  <c r="E26" i="36" s="1"/>
  <c r="E27" i="36" s="1"/>
  <c r="E28" i="36" s="1"/>
  <c r="E29" i="36" s="1"/>
  <c r="E30" i="36" s="1"/>
  <c r="E31" i="36" s="1"/>
  <c r="D24" i="36"/>
  <c r="D25" i="36" s="1"/>
  <c r="D26" i="36" s="1"/>
  <c r="D27" i="36" s="1"/>
  <c r="D28" i="36" s="1"/>
  <c r="D29" i="36" s="1"/>
  <c r="D30" i="36" s="1"/>
  <c r="D31" i="36" s="1"/>
  <c r="B24" i="36"/>
  <c r="B25" i="36" s="1"/>
  <c r="B26" i="36" s="1"/>
  <c r="B27" i="36" s="1"/>
  <c r="B28" i="36" s="1"/>
  <c r="B29" i="36" s="1"/>
  <c r="B30" i="36" s="1"/>
  <c r="B31" i="36" s="1"/>
  <c r="T23" i="36"/>
  <c r="AF23" i="36" s="1"/>
  <c r="L23" i="36"/>
  <c r="A23" i="36"/>
  <c r="A32" i="36" s="1"/>
  <c r="A48" i="36" s="1"/>
  <c r="A54" i="36" s="1"/>
  <c r="A62" i="36" s="1"/>
  <c r="A70" i="36" s="1"/>
  <c r="A77" i="36" s="1"/>
  <c r="A79" i="36" s="1"/>
  <c r="A85" i="36" s="1"/>
  <c r="A90" i="36" s="1"/>
  <c r="A97" i="36" s="1"/>
  <c r="A104" i="36" s="1"/>
  <c r="A111" i="36" s="1"/>
  <c r="A118" i="36" s="1"/>
  <c r="A125" i="36" s="1"/>
  <c r="A134" i="36" s="1"/>
  <c r="A143" i="36" s="1"/>
  <c r="A152" i="36" s="1"/>
  <c r="A161" i="36" s="1"/>
  <c r="A173" i="36" s="1"/>
  <c r="A180" i="36" s="1"/>
  <c r="A186" i="36" s="1"/>
  <c r="A200" i="36" s="1"/>
  <c r="A214" i="36" s="1"/>
  <c r="A224" i="36" s="1"/>
  <c r="A236" i="36" s="1"/>
  <c r="A256" i="36" s="1"/>
  <c r="A293" i="36" s="1"/>
  <c r="A330" i="36" s="1"/>
  <c r="A335" i="36" s="1"/>
  <c r="A340" i="36" s="1"/>
  <c r="A350" i="36" s="1"/>
  <c r="A359" i="36" s="1"/>
  <c r="A364" i="36" s="1"/>
  <c r="A369" i="36" s="1"/>
  <c r="A374" i="36" s="1"/>
  <c r="A381" i="36" s="1"/>
  <c r="A388" i="36" s="1"/>
  <c r="A401" i="36" s="1"/>
  <c r="A402" i="36" s="1"/>
  <c r="A403" i="36" s="1"/>
  <c r="A416" i="36" s="1"/>
  <c r="AJ22" i="36"/>
  <c r="AI22" i="36"/>
  <c r="AF22" i="36"/>
  <c r="AJ21" i="36"/>
  <c r="AI21" i="36"/>
  <c r="AF21" i="36"/>
  <c r="AJ20" i="36"/>
  <c r="AI20" i="36"/>
  <c r="AF20" i="36"/>
  <c r="AJ19" i="36"/>
  <c r="AI19" i="36"/>
  <c r="AF19" i="36"/>
  <c r="AJ18" i="36"/>
  <c r="AI18" i="36"/>
  <c r="AF18" i="36"/>
  <c r="AJ17" i="36"/>
  <c r="AI17" i="36"/>
  <c r="AF17" i="36"/>
  <c r="AJ16" i="36"/>
  <c r="AI16" i="36"/>
  <c r="AF16" i="36"/>
  <c r="AJ15" i="36"/>
  <c r="AI15" i="36"/>
  <c r="AF15" i="36"/>
  <c r="AJ14" i="36"/>
  <c r="AI14" i="36"/>
  <c r="AF14" i="36"/>
  <c r="AJ13" i="36"/>
  <c r="AI13" i="36"/>
  <c r="AF13" i="36"/>
  <c r="AJ12" i="36"/>
  <c r="AI12" i="36"/>
  <c r="AF12" i="36"/>
  <c r="AJ11" i="36"/>
  <c r="AI11" i="36"/>
  <c r="AF11" i="36"/>
  <c r="AJ10" i="36"/>
  <c r="AI10" i="36"/>
  <c r="AF10" i="36"/>
  <c r="AJ9" i="36"/>
  <c r="AI9" i="36"/>
  <c r="AF9" i="36"/>
  <c r="Q9" i="36"/>
  <c r="Q10" i="36" s="1"/>
  <c r="Q11" i="36" s="1"/>
  <c r="Q12" i="36" s="1"/>
  <c r="Q13" i="36" s="1"/>
  <c r="Q14" i="36" s="1"/>
  <c r="Q15" i="36" s="1"/>
  <c r="Q16" i="36" s="1"/>
  <c r="G9" i="36"/>
  <c r="G10" i="36" s="1"/>
  <c r="G11" i="36" s="1"/>
  <c r="G12" i="36" s="1"/>
  <c r="G13" i="36" s="1"/>
  <c r="G14" i="36" s="1"/>
  <c r="G15" i="36" s="1"/>
  <c r="G16" i="36" s="1"/>
  <c r="G17" i="36" s="1"/>
  <c r="G18" i="36" s="1"/>
  <c r="G19" i="36" s="1"/>
  <c r="G20" i="36" s="1"/>
  <c r="G21" i="36" s="1"/>
  <c r="G22" i="36" s="1"/>
  <c r="F9" i="36"/>
  <c r="F10" i="36" s="1"/>
  <c r="F11" i="36" s="1"/>
  <c r="F12" i="36" s="1"/>
  <c r="F13" i="36" s="1"/>
  <c r="F14" i="36" s="1"/>
  <c r="F15" i="36" s="1"/>
  <c r="F16" i="36" s="1"/>
  <c r="F17" i="36" s="1"/>
  <c r="F18" i="36" s="1"/>
  <c r="F19" i="36" s="1"/>
  <c r="F20" i="36" s="1"/>
  <c r="F21" i="36" s="1"/>
  <c r="F22" i="36" s="1"/>
  <c r="AJ8" i="36"/>
  <c r="AI8" i="36"/>
  <c r="AF8" i="36"/>
  <c r="Q8" i="36"/>
  <c r="P8" i="36"/>
  <c r="P9" i="36" s="1"/>
  <c r="P10" i="36" s="1"/>
  <c r="P11" i="36" s="1"/>
  <c r="P12" i="36" s="1"/>
  <c r="P13" i="36" s="1"/>
  <c r="P14" i="36" s="1"/>
  <c r="P15" i="36" s="1"/>
  <c r="P16" i="36" s="1"/>
  <c r="P17" i="36" s="1"/>
  <c r="P18" i="36" s="1"/>
  <c r="P19" i="36" s="1"/>
  <c r="P20" i="36" s="1"/>
  <c r="P21" i="36" s="1"/>
  <c r="P22" i="36" s="1"/>
  <c r="O8" i="36"/>
  <c r="O9" i="36" s="1"/>
  <c r="O10" i="36" s="1"/>
  <c r="O11" i="36" s="1"/>
  <c r="O12" i="36" s="1"/>
  <c r="O13" i="36" s="1"/>
  <c r="O14" i="36" s="1"/>
  <c r="O15" i="36" s="1"/>
  <c r="O16" i="36" s="1"/>
  <c r="O17" i="36" s="1"/>
  <c r="O18" i="36" s="1"/>
  <c r="O19" i="36" s="1"/>
  <c r="O20" i="36" s="1"/>
  <c r="O21" i="36" s="1"/>
  <c r="O22" i="36" s="1"/>
  <c r="H8" i="36"/>
  <c r="H9" i="36" s="1"/>
  <c r="E8" i="36"/>
  <c r="E9" i="36" s="1"/>
  <c r="E10" i="36" s="1"/>
  <c r="E11" i="36" s="1"/>
  <c r="E12" i="36" s="1"/>
  <c r="E13" i="36" s="1"/>
  <c r="E14" i="36" s="1"/>
  <c r="E15" i="36" s="1"/>
  <c r="E16" i="36" s="1"/>
  <c r="E17" i="36" s="1"/>
  <c r="E18" i="36" s="1"/>
  <c r="E19" i="36" s="1"/>
  <c r="E20" i="36" s="1"/>
  <c r="E21" i="36" s="1"/>
  <c r="E22" i="36" s="1"/>
  <c r="D8" i="36"/>
  <c r="C8" i="36"/>
  <c r="B8" i="36"/>
  <c r="B9" i="36" s="1"/>
  <c r="B10" i="36" s="1"/>
  <c r="B11" i="36" s="1"/>
  <c r="B12" i="36" s="1"/>
  <c r="B13" i="36" s="1"/>
  <c r="B14" i="36" s="1"/>
  <c r="B15" i="36" s="1"/>
  <c r="B16" i="36" s="1"/>
  <c r="B17" i="36" s="1"/>
  <c r="B18" i="36" s="1"/>
  <c r="B19" i="36" s="1"/>
  <c r="B20" i="36" s="1"/>
  <c r="B21" i="36" s="1"/>
  <c r="B22" i="36" s="1"/>
  <c r="AA7" i="36"/>
  <c r="AA8" i="36" s="1"/>
  <c r="AA9" i="36" s="1"/>
  <c r="AA10" i="36" s="1"/>
  <c r="AA11" i="36" s="1"/>
  <c r="AA12" i="36" s="1"/>
  <c r="AA13" i="36" s="1"/>
  <c r="AA14" i="36" s="1"/>
  <c r="AA15" i="36" s="1"/>
  <c r="AA16" i="36" s="1"/>
  <c r="AA17" i="36" s="1"/>
  <c r="AA18" i="36" s="1"/>
  <c r="AA19" i="36" s="1"/>
  <c r="AA20" i="36" s="1"/>
  <c r="AA21" i="36" s="1"/>
  <c r="AA22" i="36" s="1"/>
  <c r="T7" i="36"/>
  <c r="AF7" i="36" s="1"/>
  <c r="C1" i="36"/>
  <c r="AA104" i="36" s="1"/>
  <c r="AA105" i="36" s="1"/>
  <c r="AA106" i="36" s="1"/>
  <c r="AA107" i="36" s="1"/>
  <c r="AA108" i="36" s="1"/>
  <c r="AA109" i="36" s="1"/>
  <c r="AA110" i="36" s="1"/>
  <c r="W89" i="38" l="1"/>
  <c r="W448" i="38"/>
  <c r="W247" i="38"/>
  <c r="W112" i="38"/>
  <c r="W119" i="38"/>
  <c r="W120" i="38"/>
  <c r="W121" i="38"/>
  <c r="W122" i="38"/>
  <c r="W130" i="38"/>
  <c r="W131" i="38"/>
  <c r="W133" i="38"/>
  <c r="W135" i="38"/>
  <c r="W136" i="38"/>
  <c r="W138" i="38"/>
  <c r="W139" i="38"/>
  <c r="W141" i="38"/>
  <c r="W142" i="38"/>
  <c r="W143" i="38"/>
  <c r="W144" i="38"/>
  <c r="W145" i="38"/>
  <c r="W147" i="38"/>
  <c r="W158" i="38"/>
  <c r="W385" i="38"/>
  <c r="W22" i="38"/>
  <c r="W23" i="38"/>
  <c r="W25" i="38"/>
  <c r="W29" i="38"/>
  <c r="W35" i="38"/>
  <c r="W57" i="38"/>
  <c r="W63" i="38"/>
  <c r="W73" i="38"/>
  <c r="W95" i="38"/>
  <c r="W24" i="38"/>
  <c r="W33" i="38"/>
  <c r="W50" i="38"/>
  <c r="W54" i="38"/>
  <c r="W59" i="38"/>
  <c r="W80" i="38"/>
  <c r="W82" i="38"/>
  <c r="W84" i="38"/>
  <c r="W93" i="38"/>
  <c r="W102" i="38"/>
  <c r="W160" i="38"/>
  <c r="W376" i="38"/>
  <c r="W515" i="38"/>
  <c r="W296" i="38"/>
  <c r="W411" i="38"/>
  <c r="W118" i="38"/>
  <c r="W134" i="38"/>
  <c r="W21" i="38"/>
  <c r="W433" i="38"/>
  <c r="W383" i="38"/>
  <c r="W390" i="38"/>
  <c r="W502" i="38"/>
  <c r="W62" i="38"/>
  <c r="W26" i="38"/>
  <c r="W61" i="38"/>
  <c r="W100" i="38"/>
  <c r="T549" i="38"/>
  <c r="H550" i="38"/>
  <c r="T536" i="38"/>
  <c r="H537" i="38"/>
  <c r="H521" i="38"/>
  <c r="T520" i="38"/>
  <c r="T504" i="38"/>
  <c r="H505" i="38"/>
  <c r="H496" i="38"/>
  <c r="T495" i="38"/>
  <c r="H481" i="38"/>
  <c r="T480" i="38"/>
  <c r="T468" i="38"/>
  <c r="H469" i="38"/>
  <c r="H458" i="38"/>
  <c r="T457" i="38"/>
  <c r="T450" i="38"/>
  <c r="H451" i="38"/>
  <c r="T451" i="38" s="1"/>
  <c r="T437" i="38"/>
  <c r="H438" i="38"/>
  <c r="H426" i="38"/>
  <c r="T425" i="38"/>
  <c r="T414" i="38"/>
  <c r="H415" i="38"/>
  <c r="T401" i="38"/>
  <c r="H402" i="38"/>
  <c r="T394" i="38"/>
  <c r="H395" i="38"/>
  <c r="T387" i="38"/>
  <c r="H388" i="38"/>
  <c r="H381" i="38"/>
  <c r="T380" i="38"/>
  <c r="H365" i="38"/>
  <c r="T364" i="38"/>
  <c r="H352" i="38"/>
  <c r="T351" i="38"/>
  <c r="T344" i="38"/>
  <c r="H345" i="38"/>
  <c r="T337" i="38"/>
  <c r="H338" i="38"/>
  <c r="T313" i="38"/>
  <c r="H314" i="38"/>
  <c r="T304" i="38"/>
  <c r="H305" i="38"/>
  <c r="W256" i="38"/>
  <c r="Q257" i="38"/>
  <c r="W248" i="38"/>
  <c r="Q249" i="38"/>
  <c r="T187" i="38"/>
  <c r="H188" i="38"/>
  <c r="T177" i="38"/>
  <c r="H178" i="38"/>
  <c r="T163" i="38"/>
  <c r="H164" i="38"/>
  <c r="T148" i="38"/>
  <c r="H149" i="38"/>
  <c r="T137" i="38"/>
  <c r="AI137" i="38" s="1"/>
  <c r="H138" i="38"/>
  <c r="T138" i="38" s="1"/>
  <c r="AI138" i="38" s="1"/>
  <c r="T124" i="38"/>
  <c r="H125" i="38"/>
  <c r="T115" i="38"/>
  <c r="H116" i="38"/>
  <c r="T106" i="38"/>
  <c r="H107" i="38"/>
  <c r="T92" i="38"/>
  <c r="H93" i="38"/>
  <c r="T85" i="38"/>
  <c r="H86" i="38"/>
  <c r="T77" i="38"/>
  <c r="H78" i="38"/>
  <c r="T58" i="38"/>
  <c r="AI58" i="38" s="1"/>
  <c r="H59" i="38"/>
  <c r="T52" i="38"/>
  <c r="AI52" i="38" s="1"/>
  <c r="H53" i="38"/>
  <c r="T53" i="38" s="1"/>
  <c r="AI53" i="38" s="1"/>
  <c r="Q37" i="38"/>
  <c r="T36" i="38"/>
  <c r="H37" i="38"/>
  <c r="T27" i="38"/>
  <c r="H28" i="38"/>
  <c r="T11" i="38"/>
  <c r="H12" i="38"/>
  <c r="D12" i="38"/>
  <c r="C12" i="38"/>
  <c r="W7" i="38"/>
  <c r="W171" i="38"/>
  <c r="W172" i="38"/>
  <c r="W173" i="38"/>
  <c r="W174" i="38"/>
  <c r="W175" i="38"/>
  <c r="W176" i="38"/>
  <c r="W182" i="38"/>
  <c r="W183" i="38"/>
  <c r="W184" i="38"/>
  <c r="W185" i="38"/>
  <c r="W186" i="38"/>
  <c r="W189" i="38"/>
  <c r="W190" i="38"/>
  <c r="W191" i="38"/>
  <c r="W192" i="38"/>
  <c r="W193" i="38"/>
  <c r="W194" i="38"/>
  <c r="W195" i="38"/>
  <c r="W196" i="38"/>
  <c r="W197" i="38"/>
  <c r="W198" i="38"/>
  <c r="W199" i="38"/>
  <c r="W200" i="38"/>
  <c r="W201" i="38"/>
  <c r="W202" i="38"/>
  <c r="W203" i="38"/>
  <c r="W204" i="38"/>
  <c r="W205" i="38"/>
  <c r="W206" i="38"/>
  <c r="W207" i="38"/>
  <c r="W208" i="38"/>
  <c r="W209" i="38"/>
  <c r="W210" i="38"/>
  <c r="W211" i="38"/>
  <c r="W212" i="38"/>
  <c r="W213" i="38"/>
  <c r="W214" i="38"/>
  <c r="W215" i="38"/>
  <c r="W216" i="38"/>
  <c r="W217" i="38"/>
  <c r="W218" i="38"/>
  <c r="W219" i="38"/>
  <c r="W220" i="38"/>
  <c r="W221" i="38"/>
  <c r="W222" i="38"/>
  <c r="W223" i="38"/>
  <c r="W224" i="38"/>
  <c r="W225" i="38"/>
  <c r="W226" i="38"/>
  <c r="W227" i="38"/>
  <c r="W228" i="38"/>
  <c r="W229" i="38"/>
  <c r="W230" i="38"/>
  <c r="W231" i="38"/>
  <c r="W232" i="38"/>
  <c r="W233" i="38"/>
  <c r="W234" i="38"/>
  <c r="W235" i="38"/>
  <c r="W236" i="38"/>
  <c r="W237" i="38"/>
  <c r="W238" i="38"/>
  <c r="W239" i="38"/>
  <c r="W240" i="38"/>
  <c r="W241" i="38"/>
  <c r="W242" i="38"/>
  <c r="W243" i="38"/>
  <c r="W244" i="38"/>
  <c r="W31" i="38"/>
  <c r="W291" i="38"/>
  <c r="W294" i="38"/>
  <c r="W299" i="38"/>
  <c r="W307" i="38"/>
  <c r="W319" i="38"/>
  <c r="W333" i="38"/>
  <c r="W334" i="38"/>
  <c r="W335" i="38"/>
  <c r="W336" i="38"/>
  <c r="W338" i="38"/>
  <c r="W339" i="38"/>
  <c r="W340" i="38"/>
  <c r="W341" i="38"/>
  <c r="W342" i="38"/>
  <c r="W343" i="38"/>
  <c r="W345" i="38"/>
  <c r="W346" i="38"/>
  <c r="W347" i="38"/>
  <c r="W348" i="38"/>
  <c r="W349" i="38"/>
  <c r="W350" i="38"/>
  <c r="W453" i="38"/>
  <c r="W32" i="38"/>
  <c r="W246" i="38"/>
  <c r="W298" i="38"/>
  <c r="W322" i="38"/>
  <c r="W331" i="38"/>
  <c r="W359" i="38"/>
  <c r="W360" i="38"/>
  <c r="W361" i="38"/>
  <c r="W379" i="38"/>
  <c r="W393" i="38"/>
  <c r="W400" i="38"/>
  <c r="W410" i="38"/>
  <c r="W413" i="38"/>
  <c r="W435" i="38"/>
  <c r="W456" i="38"/>
  <c r="W477" i="38"/>
  <c r="W478" i="38"/>
  <c r="W479" i="38"/>
  <c r="W517" i="38"/>
  <c r="W252" i="38"/>
  <c r="W289" i="38"/>
  <c r="W301" i="38"/>
  <c r="W302" i="38"/>
  <c r="W309" i="38"/>
  <c r="W312" i="38"/>
  <c r="W316" i="38"/>
  <c r="W323" i="38"/>
  <c r="W326" i="38"/>
  <c r="W328" i="38"/>
  <c r="W329" i="38"/>
  <c r="W330" i="38"/>
  <c r="W372" i="38"/>
  <c r="W373" i="38"/>
  <c r="W377" i="38"/>
  <c r="W378" i="38"/>
  <c r="W391" i="38"/>
  <c r="W397" i="38"/>
  <c r="W398" i="38"/>
  <c r="W449" i="38"/>
  <c r="W455" i="38"/>
  <c r="W392" i="38"/>
  <c r="W8" i="38"/>
  <c r="W9" i="38"/>
  <c r="W10" i="38"/>
  <c r="W34" i="38"/>
  <c r="W49" i="38"/>
  <c r="W86" i="38"/>
  <c r="W94" i="38"/>
  <c r="W111" i="38"/>
  <c r="W503" i="38"/>
  <c r="W48" i="38"/>
  <c r="W51" i="38"/>
  <c r="W52" i="38"/>
  <c r="W58" i="38"/>
  <c r="W67" i="38"/>
  <c r="W79" i="38"/>
  <c r="W83" i="38"/>
  <c r="W87" i="38"/>
  <c r="W91" i="38"/>
  <c r="W98" i="38"/>
  <c r="W105" i="38"/>
  <c r="W109" i="38"/>
  <c r="W110" i="38"/>
  <c r="W113" i="38"/>
  <c r="W140" i="38"/>
  <c r="W146" i="38"/>
  <c r="W157" i="38"/>
  <c r="W161" i="38"/>
  <c r="W464" i="38"/>
  <c r="W476" i="38"/>
  <c r="W375" i="38"/>
  <c r="W501" i="38"/>
  <c r="W516" i="38"/>
  <c r="W70" i="38"/>
  <c r="W74" i="38"/>
  <c r="W103" i="38"/>
  <c r="W123" i="38"/>
  <c r="W132" i="38"/>
  <c r="W137" i="38"/>
  <c r="W467" i="38"/>
  <c r="W454" i="38"/>
  <c r="W311" i="38"/>
  <c r="W447" i="38"/>
  <c r="W310" i="38"/>
  <c r="W432" i="38"/>
  <c r="W490" i="38"/>
  <c r="H113" i="36"/>
  <c r="H114" i="36" s="1"/>
  <c r="T114" i="36" s="1"/>
  <c r="AH114" i="36" s="1"/>
  <c r="H34" i="36"/>
  <c r="H35" i="36" s="1"/>
  <c r="H36" i="36" s="1"/>
  <c r="H37" i="36" s="1"/>
  <c r="H38" i="36" s="1"/>
  <c r="H39" i="36" s="1"/>
  <c r="H40" i="36" s="1"/>
  <c r="H41" i="36" s="1"/>
  <c r="T64" i="36"/>
  <c r="AH64" i="36" s="1"/>
  <c r="H342" i="36"/>
  <c r="T342" i="36" s="1"/>
  <c r="AH342" i="36" s="1"/>
  <c r="T360" i="36"/>
  <c r="AH360" i="36" s="1"/>
  <c r="H377" i="36"/>
  <c r="T376" i="36"/>
  <c r="AH376" i="36" s="1"/>
  <c r="T203" i="36"/>
  <c r="AH203" i="36" s="1"/>
  <c r="H204" i="36"/>
  <c r="H362" i="36"/>
  <c r="T361" i="36"/>
  <c r="AH361" i="36" s="1"/>
  <c r="T202" i="36"/>
  <c r="AH202" i="36" s="1"/>
  <c r="H383" i="36"/>
  <c r="T383" i="36" s="1"/>
  <c r="AH383" i="36" s="1"/>
  <c r="T34" i="36"/>
  <c r="AH34" i="36" s="1"/>
  <c r="H145" i="36"/>
  <c r="H175" i="36"/>
  <c r="T337" i="36"/>
  <c r="AH337" i="36" s="1"/>
  <c r="H366" i="36"/>
  <c r="T366" i="36" s="1"/>
  <c r="AH366" i="36" s="1"/>
  <c r="H154" i="36"/>
  <c r="T154" i="36" s="1"/>
  <c r="AH154" i="36" s="1"/>
  <c r="T372" i="36"/>
  <c r="AH372" i="36" s="1"/>
  <c r="T40" i="36"/>
  <c r="AH40" i="36" s="1"/>
  <c r="T39" i="36"/>
  <c r="AH39" i="36" s="1"/>
  <c r="H163" i="36"/>
  <c r="H164" i="36" s="1"/>
  <c r="T8" i="36"/>
  <c r="AH8" i="36" s="1"/>
  <c r="T371" i="36"/>
  <c r="AH371" i="36" s="1"/>
  <c r="T36" i="36"/>
  <c r="AH36" i="36" s="1"/>
  <c r="T49" i="36"/>
  <c r="AH49" i="36" s="1"/>
  <c r="H99" i="36"/>
  <c r="H100" i="36" s="1"/>
  <c r="AA23" i="36"/>
  <c r="AA24" i="36" s="1"/>
  <c r="AA25" i="36" s="1"/>
  <c r="AA26" i="36" s="1"/>
  <c r="AA27" i="36" s="1"/>
  <c r="AA28" i="36" s="1"/>
  <c r="AA29" i="36" s="1"/>
  <c r="AA30" i="36" s="1"/>
  <c r="AA31" i="36" s="1"/>
  <c r="AA32" i="36"/>
  <c r="AA33" i="36" s="1"/>
  <c r="AA34" i="36" s="1"/>
  <c r="AA35" i="36" s="1"/>
  <c r="AA36" i="36" s="1"/>
  <c r="AA37" i="36" s="1"/>
  <c r="AA38" i="36" s="1"/>
  <c r="AA39" i="36" s="1"/>
  <c r="AA40" i="36" s="1"/>
  <c r="AA41" i="36" s="1"/>
  <c r="AA42" i="36" s="1"/>
  <c r="AA43" i="36" s="1"/>
  <c r="AA44" i="36" s="1"/>
  <c r="AA45" i="36" s="1"/>
  <c r="AA46" i="36" s="1"/>
  <c r="AA47" i="36" s="1"/>
  <c r="Q17" i="36"/>
  <c r="Q18" i="36" s="1"/>
  <c r="Q19" i="36" s="1"/>
  <c r="Q20" i="36" s="1"/>
  <c r="C9" i="36"/>
  <c r="C10" i="36" s="1"/>
  <c r="C11" i="36" s="1"/>
  <c r="C12" i="36" s="1"/>
  <c r="C13" i="36" s="1"/>
  <c r="C14" i="36" s="1"/>
  <c r="C15" i="36" s="1"/>
  <c r="C16" i="36" s="1"/>
  <c r="C17" i="36" s="1"/>
  <c r="C18" i="36" s="1"/>
  <c r="C19" i="36" s="1"/>
  <c r="C20" i="36" s="1"/>
  <c r="C21" i="36" s="1"/>
  <c r="C22" i="36" s="1"/>
  <c r="T50" i="36"/>
  <c r="AH50" i="36" s="1"/>
  <c r="T51" i="36"/>
  <c r="AH51" i="36" s="1"/>
  <c r="H52" i="36"/>
  <c r="T90" i="36"/>
  <c r="AF90" i="36" s="1"/>
  <c r="H91" i="36"/>
  <c r="H42" i="36"/>
  <c r="T41" i="36"/>
  <c r="AH41" i="36" s="1"/>
  <c r="H10" i="36"/>
  <c r="T9" i="36"/>
  <c r="AH9" i="36" s="1"/>
  <c r="AB7" i="36"/>
  <c r="AB8" i="36" s="1"/>
  <c r="AB9" i="36" s="1"/>
  <c r="AB10" i="36" s="1"/>
  <c r="AB11" i="36" s="1"/>
  <c r="AB12" i="36" s="1"/>
  <c r="AB13" i="36" s="1"/>
  <c r="AB14" i="36" s="1"/>
  <c r="AB15" i="36" s="1"/>
  <c r="AB16" i="36" s="1"/>
  <c r="AB17" i="36" s="1"/>
  <c r="AB18" i="36" s="1"/>
  <c r="AB19" i="36" s="1"/>
  <c r="AB20" i="36" s="1"/>
  <c r="AB21" i="36" s="1"/>
  <c r="AB22" i="36" s="1"/>
  <c r="D9" i="36"/>
  <c r="H56" i="36"/>
  <c r="AB388" i="36"/>
  <c r="AB389" i="36" s="1"/>
  <c r="AB390" i="36" s="1"/>
  <c r="AB391" i="36" s="1"/>
  <c r="AB392" i="36" s="1"/>
  <c r="AB393" i="36" s="1"/>
  <c r="AB394" i="36" s="1"/>
  <c r="AB395" i="36" s="1"/>
  <c r="AB396" i="36" s="1"/>
  <c r="AB397" i="36" s="1"/>
  <c r="AB398" i="36" s="1"/>
  <c r="AB399" i="36" s="1"/>
  <c r="AB400" i="36" s="1"/>
  <c r="W418" i="36"/>
  <c r="W416" i="36"/>
  <c r="AA388" i="36"/>
  <c r="AA389" i="36" s="1"/>
  <c r="AA390" i="36" s="1"/>
  <c r="AA391" i="36" s="1"/>
  <c r="AA392" i="36" s="1"/>
  <c r="AA393" i="36" s="1"/>
  <c r="AA394" i="36" s="1"/>
  <c r="AA395" i="36" s="1"/>
  <c r="AA396" i="36" s="1"/>
  <c r="AA397" i="36" s="1"/>
  <c r="AA398" i="36" s="1"/>
  <c r="AA399" i="36" s="1"/>
  <c r="AA400" i="36" s="1"/>
  <c r="AB381" i="36"/>
  <c r="AB382" i="36" s="1"/>
  <c r="AB383" i="36" s="1"/>
  <c r="AB384" i="36" s="1"/>
  <c r="AB385" i="36" s="1"/>
  <c r="AB386" i="36" s="1"/>
  <c r="AB387" i="36" s="1"/>
  <c r="W415" i="36"/>
  <c r="W413" i="36"/>
  <c r="W411" i="36"/>
  <c r="W409" i="36"/>
  <c r="W407" i="36"/>
  <c r="W405" i="36"/>
  <c r="W403" i="36"/>
  <c r="AA416" i="36"/>
  <c r="AA417" i="36" s="1"/>
  <c r="AA418" i="36" s="1"/>
  <c r="W414" i="36"/>
  <c r="W412" i="36"/>
  <c r="W410" i="36"/>
  <c r="W408" i="36"/>
  <c r="W406" i="36"/>
  <c r="W404" i="36"/>
  <c r="AB403" i="36"/>
  <c r="AB404" i="36" s="1"/>
  <c r="AB405" i="36" s="1"/>
  <c r="AB406" i="36" s="1"/>
  <c r="AB407" i="36" s="1"/>
  <c r="AB408" i="36" s="1"/>
  <c r="AB409" i="36" s="1"/>
  <c r="AB410" i="36" s="1"/>
  <c r="AB411" i="36" s="1"/>
  <c r="AB412" i="36" s="1"/>
  <c r="AB413" i="36" s="1"/>
  <c r="AB414" i="36" s="1"/>
  <c r="AB415" i="36" s="1"/>
  <c r="AA403" i="36"/>
  <c r="AA404" i="36" s="1"/>
  <c r="AA405" i="36" s="1"/>
  <c r="AA406" i="36" s="1"/>
  <c r="AA407" i="36" s="1"/>
  <c r="AA408" i="36" s="1"/>
  <c r="AA409" i="36" s="1"/>
  <c r="AA410" i="36" s="1"/>
  <c r="AA411" i="36" s="1"/>
  <c r="AA412" i="36" s="1"/>
  <c r="AA413" i="36" s="1"/>
  <c r="AA414" i="36" s="1"/>
  <c r="AA415" i="36" s="1"/>
  <c r="AA381" i="36"/>
  <c r="AA382" i="36" s="1"/>
  <c r="AA383" i="36" s="1"/>
  <c r="AA384" i="36" s="1"/>
  <c r="AA385" i="36" s="1"/>
  <c r="AA386" i="36" s="1"/>
  <c r="AA387" i="36" s="1"/>
  <c r="AB364" i="36"/>
  <c r="AB365" i="36" s="1"/>
  <c r="AB366" i="36" s="1"/>
  <c r="AB367" i="36" s="1"/>
  <c r="AB368" i="36" s="1"/>
  <c r="AA359" i="36"/>
  <c r="AA360" i="36" s="1"/>
  <c r="AA361" i="36" s="1"/>
  <c r="AA362" i="36" s="1"/>
  <c r="AA363" i="36" s="1"/>
  <c r="AA369" i="36"/>
  <c r="AA370" i="36" s="1"/>
  <c r="AA371" i="36" s="1"/>
  <c r="AA372" i="36" s="1"/>
  <c r="AA373" i="36" s="1"/>
  <c r="AA364" i="36"/>
  <c r="AA365" i="36" s="1"/>
  <c r="AA366" i="36" s="1"/>
  <c r="AA367" i="36" s="1"/>
  <c r="AA368" i="36" s="1"/>
  <c r="AB374" i="36"/>
  <c r="AB375" i="36" s="1"/>
  <c r="AB376" i="36" s="1"/>
  <c r="AB377" i="36" s="1"/>
  <c r="AB378" i="36" s="1"/>
  <c r="AB379" i="36" s="1"/>
  <c r="AB380" i="36" s="1"/>
  <c r="AB330" i="36"/>
  <c r="AB331" i="36" s="1"/>
  <c r="AB332" i="36" s="1"/>
  <c r="AB333" i="36" s="1"/>
  <c r="AB334" i="36" s="1"/>
  <c r="AA374" i="36"/>
  <c r="AA375" i="36" s="1"/>
  <c r="AA376" i="36" s="1"/>
  <c r="AA377" i="36" s="1"/>
  <c r="AA378" i="36" s="1"/>
  <c r="AA379" i="36" s="1"/>
  <c r="AA380" i="36" s="1"/>
  <c r="AB335" i="36"/>
  <c r="AB336" i="36" s="1"/>
  <c r="AB337" i="36" s="1"/>
  <c r="AB338" i="36" s="1"/>
  <c r="AB339" i="36" s="1"/>
  <c r="AB350" i="36"/>
  <c r="AB351" i="36" s="1"/>
  <c r="AB352" i="36" s="1"/>
  <c r="AB353" i="36" s="1"/>
  <c r="AB354" i="36" s="1"/>
  <c r="AB355" i="36" s="1"/>
  <c r="AB356" i="36" s="1"/>
  <c r="AB357" i="36" s="1"/>
  <c r="AB358" i="36" s="1"/>
  <c r="AB340" i="36"/>
  <c r="AB341" i="36" s="1"/>
  <c r="AB342" i="36" s="1"/>
  <c r="AB343" i="36" s="1"/>
  <c r="AB344" i="36" s="1"/>
  <c r="AB345" i="36" s="1"/>
  <c r="AB346" i="36" s="1"/>
  <c r="AB347" i="36" s="1"/>
  <c r="AB348" i="36" s="1"/>
  <c r="AB349" i="36" s="1"/>
  <c r="AB359" i="36"/>
  <c r="AB360" i="36" s="1"/>
  <c r="AB361" i="36" s="1"/>
  <c r="AB362" i="36" s="1"/>
  <c r="AB363" i="36" s="1"/>
  <c r="AA350" i="36"/>
  <c r="AA351" i="36" s="1"/>
  <c r="AA352" i="36" s="1"/>
  <c r="AA353" i="36" s="1"/>
  <c r="AA354" i="36" s="1"/>
  <c r="AA355" i="36" s="1"/>
  <c r="AA356" i="36" s="1"/>
  <c r="AA357" i="36" s="1"/>
  <c r="AA358" i="36" s="1"/>
  <c r="AA340" i="36"/>
  <c r="AA341" i="36" s="1"/>
  <c r="AA342" i="36" s="1"/>
  <c r="AA343" i="36" s="1"/>
  <c r="AA344" i="36" s="1"/>
  <c r="AA345" i="36" s="1"/>
  <c r="AA346" i="36" s="1"/>
  <c r="AA347" i="36" s="1"/>
  <c r="AA348" i="36" s="1"/>
  <c r="AA349" i="36" s="1"/>
  <c r="AB369" i="36"/>
  <c r="AB370" i="36" s="1"/>
  <c r="AB371" i="36" s="1"/>
  <c r="AB372" i="36" s="1"/>
  <c r="AB373" i="36" s="1"/>
  <c r="AA330" i="36"/>
  <c r="AA331" i="36" s="1"/>
  <c r="AA332" i="36" s="1"/>
  <c r="AA333" i="36" s="1"/>
  <c r="AA334" i="36" s="1"/>
  <c r="AA335" i="36"/>
  <c r="AA336" i="36" s="1"/>
  <c r="AA337" i="36" s="1"/>
  <c r="AA338" i="36" s="1"/>
  <c r="AA339" i="36" s="1"/>
  <c r="AB256" i="36"/>
  <c r="AB257" i="36" s="1"/>
  <c r="AB258" i="36" s="1"/>
  <c r="AB259" i="36" s="1"/>
  <c r="AB260" i="36" s="1"/>
  <c r="AB261" i="36" s="1"/>
  <c r="AB262" i="36" s="1"/>
  <c r="AB263" i="36" s="1"/>
  <c r="AB264" i="36" s="1"/>
  <c r="AB265" i="36" s="1"/>
  <c r="AB266" i="36" s="1"/>
  <c r="AB267" i="36" s="1"/>
  <c r="AB268" i="36" s="1"/>
  <c r="AB269" i="36" s="1"/>
  <c r="AB270" i="36" s="1"/>
  <c r="AB271" i="36" s="1"/>
  <c r="AB272" i="36" s="1"/>
  <c r="AB273" i="36" s="1"/>
  <c r="AB274" i="36" s="1"/>
  <c r="AB275" i="36" s="1"/>
  <c r="AB276" i="36" s="1"/>
  <c r="AB277" i="36" s="1"/>
  <c r="AB278" i="36" s="1"/>
  <c r="AB279" i="36" s="1"/>
  <c r="AB280" i="36" s="1"/>
  <c r="AB281" i="36" s="1"/>
  <c r="AB282" i="36" s="1"/>
  <c r="AB283" i="36" s="1"/>
  <c r="AB284" i="36" s="1"/>
  <c r="AB285" i="36" s="1"/>
  <c r="AB286" i="36" s="1"/>
  <c r="AB287" i="36" s="1"/>
  <c r="AB288" i="36" s="1"/>
  <c r="AB289" i="36" s="1"/>
  <c r="AB290" i="36" s="1"/>
  <c r="AB291" i="36" s="1"/>
  <c r="AB292" i="36" s="1"/>
  <c r="W417" i="36"/>
  <c r="AB416" i="36"/>
  <c r="AB417" i="36" s="1"/>
  <c r="AB418" i="36" s="1"/>
  <c r="AA256" i="36"/>
  <c r="AA257" i="36" s="1"/>
  <c r="AA258" i="36" s="1"/>
  <c r="AA259" i="36" s="1"/>
  <c r="AA260" i="36" s="1"/>
  <c r="AA261" i="36" s="1"/>
  <c r="AA262" i="36" s="1"/>
  <c r="AA263" i="36" s="1"/>
  <c r="AA264" i="36" s="1"/>
  <c r="AA265" i="36" s="1"/>
  <c r="AA266" i="36" s="1"/>
  <c r="AA267" i="36" s="1"/>
  <c r="AA268" i="36" s="1"/>
  <c r="AA269" i="36" s="1"/>
  <c r="AA270" i="36" s="1"/>
  <c r="AA271" i="36" s="1"/>
  <c r="AA272" i="36" s="1"/>
  <c r="AA273" i="36" s="1"/>
  <c r="AA274" i="36" s="1"/>
  <c r="AA275" i="36" s="1"/>
  <c r="AA276" i="36" s="1"/>
  <c r="AA277" i="36" s="1"/>
  <c r="AA278" i="36" s="1"/>
  <c r="AA279" i="36" s="1"/>
  <c r="AA280" i="36" s="1"/>
  <c r="AA281" i="36" s="1"/>
  <c r="AA282" i="36" s="1"/>
  <c r="AA283" i="36" s="1"/>
  <c r="AA284" i="36" s="1"/>
  <c r="AA285" i="36" s="1"/>
  <c r="AA286" i="36" s="1"/>
  <c r="AA287" i="36" s="1"/>
  <c r="AA288" i="36" s="1"/>
  <c r="AA289" i="36" s="1"/>
  <c r="AA290" i="36" s="1"/>
  <c r="AA291" i="36" s="1"/>
  <c r="AA292" i="36" s="1"/>
  <c r="AA224" i="36"/>
  <c r="AA225" i="36" s="1"/>
  <c r="AA226" i="36" s="1"/>
  <c r="AA227" i="36" s="1"/>
  <c r="AA228" i="36" s="1"/>
  <c r="AA229" i="36" s="1"/>
  <c r="AA230" i="36" s="1"/>
  <c r="AA231" i="36" s="1"/>
  <c r="AA232" i="36" s="1"/>
  <c r="AA233" i="36" s="1"/>
  <c r="AA234" i="36" s="1"/>
  <c r="AA235" i="36" s="1"/>
  <c r="AB293" i="36"/>
  <c r="AB294" i="36" s="1"/>
  <c r="AB295" i="36" s="1"/>
  <c r="AB296" i="36" s="1"/>
  <c r="AB297" i="36" s="1"/>
  <c r="AB298" i="36" s="1"/>
  <c r="AB299" i="36" s="1"/>
  <c r="AB300" i="36" s="1"/>
  <c r="AB301" i="36" s="1"/>
  <c r="AB302" i="36" s="1"/>
  <c r="AB303" i="36" s="1"/>
  <c r="AB304" i="36" s="1"/>
  <c r="AB305" i="36" s="1"/>
  <c r="AB306" i="36" s="1"/>
  <c r="AB307" i="36" s="1"/>
  <c r="AB308" i="36" s="1"/>
  <c r="AB309" i="36" s="1"/>
  <c r="AB310" i="36" s="1"/>
  <c r="AB311" i="36" s="1"/>
  <c r="AB312" i="36" s="1"/>
  <c r="AB313" i="36" s="1"/>
  <c r="AB314" i="36" s="1"/>
  <c r="AB315" i="36" s="1"/>
  <c r="AB316" i="36" s="1"/>
  <c r="AB317" i="36" s="1"/>
  <c r="AB318" i="36" s="1"/>
  <c r="AB319" i="36" s="1"/>
  <c r="AB320" i="36" s="1"/>
  <c r="AB321" i="36" s="1"/>
  <c r="AB322" i="36" s="1"/>
  <c r="AB323" i="36" s="1"/>
  <c r="AB324" i="36" s="1"/>
  <c r="AB325" i="36" s="1"/>
  <c r="AB326" i="36" s="1"/>
  <c r="AB327" i="36" s="1"/>
  <c r="AB328" i="36" s="1"/>
  <c r="AB329" i="36" s="1"/>
  <c r="AA293" i="36"/>
  <c r="AA294" i="36" s="1"/>
  <c r="AA295" i="36" s="1"/>
  <c r="AA296" i="36" s="1"/>
  <c r="AA297" i="36" s="1"/>
  <c r="AA298" i="36" s="1"/>
  <c r="AA299" i="36" s="1"/>
  <c r="AA300" i="36" s="1"/>
  <c r="AA301" i="36" s="1"/>
  <c r="AA302" i="36" s="1"/>
  <c r="AA303" i="36" s="1"/>
  <c r="AA304" i="36" s="1"/>
  <c r="AA305" i="36" s="1"/>
  <c r="AA306" i="36" s="1"/>
  <c r="AA307" i="36" s="1"/>
  <c r="AA308" i="36" s="1"/>
  <c r="AA309" i="36" s="1"/>
  <c r="AA310" i="36" s="1"/>
  <c r="AA311" i="36" s="1"/>
  <c r="AA312" i="36" s="1"/>
  <c r="AA313" i="36" s="1"/>
  <c r="AA314" i="36" s="1"/>
  <c r="AA315" i="36" s="1"/>
  <c r="AA316" i="36" s="1"/>
  <c r="AA317" i="36" s="1"/>
  <c r="AA318" i="36" s="1"/>
  <c r="AA319" i="36" s="1"/>
  <c r="AA320" i="36" s="1"/>
  <c r="AA321" i="36" s="1"/>
  <c r="AA322" i="36" s="1"/>
  <c r="AA323" i="36" s="1"/>
  <c r="AA324" i="36" s="1"/>
  <c r="AA325" i="36" s="1"/>
  <c r="AA326" i="36" s="1"/>
  <c r="AA327" i="36" s="1"/>
  <c r="AA328" i="36" s="1"/>
  <c r="AA329" i="36" s="1"/>
  <c r="AB236" i="36"/>
  <c r="AB237" i="36" s="1"/>
  <c r="AB238" i="36" s="1"/>
  <c r="AB239" i="36" s="1"/>
  <c r="AB240" i="36" s="1"/>
  <c r="AB241" i="36" s="1"/>
  <c r="AB242" i="36" s="1"/>
  <c r="AB243" i="36" s="1"/>
  <c r="AB244" i="36" s="1"/>
  <c r="AB245" i="36" s="1"/>
  <c r="AB246" i="36" s="1"/>
  <c r="AB247" i="36" s="1"/>
  <c r="AB248" i="36" s="1"/>
  <c r="AB249" i="36" s="1"/>
  <c r="AB250" i="36" s="1"/>
  <c r="AB251" i="36" s="1"/>
  <c r="AB252" i="36" s="1"/>
  <c r="AB253" i="36" s="1"/>
  <c r="AB254" i="36" s="1"/>
  <c r="AB255" i="36" s="1"/>
  <c r="AB214" i="36"/>
  <c r="AB215" i="36" s="1"/>
  <c r="AB216" i="36" s="1"/>
  <c r="AB217" i="36" s="1"/>
  <c r="AB218" i="36" s="1"/>
  <c r="AB219" i="36" s="1"/>
  <c r="AB220" i="36" s="1"/>
  <c r="AB221" i="36" s="1"/>
  <c r="AB222" i="36" s="1"/>
  <c r="AB223" i="36" s="1"/>
  <c r="AA214" i="36"/>
  <c r="AA215" i="36" s="1"/>
  <c r="AA216" i="36" s="1"/>
  <c r="AA217" i="36" s="1"/>
  <c r="AA218" i="36" s="1"/>
  <c r="AA219" i="36" s="1"/>
  <c r="AA220" i="36" s="1"/>
  <c r="AA221" i="36" s="1"/>
  <c r="AA222" i="36" s="1"/>
  <c r="AA223" i="36" s="1"/>
  <c r="AB180" i="36"/>
  <c r="AB181" i="36" s="1"/>
  <c r="AB182" i="36" s="1"/>
  <c r="AB183" i="36" s="1"/>
  <c r="AB184" i="36" s="1"/>
  <c r="AB185" i="36" s="1"/>
  <c r="AB200" i="36"/>
  <c r="AB201" i="36" s="1"/>
  <c r="AB202" i="36" s="1"/>
  <c r="AB203" i="36" s="1"/>
  <c r="AB204" i="36" s="1"/>
  <c r="AB205" i="36" s="1"/>
  <c r="AB206" i="36" s="1"/>
  <c r="AB207" i="36" s="1"/>
  <c r="AB208" i="36" s="1"/>
  <c r="AB209" i="36" s="1"/>
  <c r="AB210" i="36" s="1"/>
  <c r="AB211" i="36" s="1"/>
  <c r="AB212" i="36" s="1"/>
  <c r="AB213" i="36" s="1"/>
  <c r="AA236" i="36"/>
  <c r="AA237" i="36" s="1"/>
  <c r="AA238" i="36" s="1"/>
  <c r="AA239" i="36" s="1"/>
  <c r="AA240" i="36" s="1"/>
  <c r="AA241" i="36" s="1"/>
  <c r="AA242" i="36" s="1"/>
  <c r="AA243" i="36" s="1"/>
  <c r="AA244" i="36" s="1"/>
  <c r="AA245" i="36" s="1"/>
  <c r="AA246" i="36" s="1"/>
  <c r="AA247" i="36" s="1"/>
  <c r="AA248" i="36" s="1"/>
  <c r="AA249" i="36" s="1"/>
  <c r="AA250" i="36" s="1"/>
  <c r="AA251" i="36" s="1"/>
  <c r="AA252" i="36" s="1"/>
  <c r="AA253" i="36" s="1"/>
  <c r="AA254" i="36" s="1"/>
  <c r="AA255" i="36" s="1"/>
  <c r="AA200" i="36"/>
  <c r="AA201" i="36" s="1"/>
  <c r="AA202" i="36" s="1"/>
  <c r="AA203" i="36" s="1"/>
  <c r="AA204" i="36" s="1"/>
  <c r="AA205" i="36" s="1"/>
  <c r="AA206" i="36" s="1"/>
  <c r="AA207" i="36" s="1"/>
  <c r="AA208" i="36" s="1"/>
  <c r="AA209" i="36" s="1"/>
  <c r="AA210" i="36" s="1"/>
  <c r="AA211" i="36" s="1"/>
  <c r="AA212" i="36" s="1"/>
  <c r="AA213" i="36" s="1"/>
  <c r="AA143" i="36"/>
  <c r="AA144" i="36" s="1"/>
  <c r="AA145" i="36" s="1"/>
  <c r="AA146" i="36" s="1"/>
  <c r="AA147" i="36" s="1"/>
  <c r="AA148" i="36" s="1"/>
  <c r="AA149" i="36" s="1"/>
  <c r="AA150" i="36" s="1"/>
  <c r="AA151" i="36" s="1"/>
  <c r="AB224" i="36"/>
  <c r="AB225" i="36" s="1"/>
  <c r="AB226" i="36" s="1"/>
  <c r="AB227" i="36" s="1"/>
  <c r="AB228" i="36" s="1"/>
  <c r="AB229" i="36" s="1"/>
  <c r="AB230" i="36" s="1"/>
  <c r="AB231" i="36" s="1"/>
  <c r="AB232" i="36" s="1"/>
  <c r="AB233" i="36" s="1"/>
  <c r="AB234" i="36" s="1"/>
  <c r="AB235" i="36" s="1"/>
  <c r="AB186" i="36"/>
  <c r="AB187" i="36" s="1"/>
  <c r="AB188" i="36" s="1"/>
  <c r="AB189" i="36" s="1"/>
  <c r="AB190" i="36" s="1"/>
  <c r="AB191" i="36" s="1"/>
  <c r="AB192" i="36" s="1"/>
  <c r="AB193" i="36" s="1"/>
  <c r="AB194" i="36" s="1"/>
  <c r="AB195" i="36" s="1"/>
  <c r="AB196" i="36" s="1"/>
  <c r="AB197" i="36" s="1"/>
  <c r="AB198" i="36" s="1"/>
  <c r="AB199" i="36" s="1"/>
  <c r="AA173" i="36"/>
  <c r="AA174" i="36" s="1"/>
  <c r="AA175" i="36" s="1"/>
  <c r="AA176" i="36" s="1"/>
  <c r="AA177" i="36" s="1"/>
  <c r="AA178" i="36" s="1"/>
  <c r="AA179" i="36" s="1"/>
  <c r="AB161" i="36"/>
  <c r="AB162" i="36" s="1"/>
  <c r="AB163" i="36" s="1"/>
  <c r="AB164" i="36" s="1"/>
  <c r="AB165" i="36" s="1"/>
  <c r="AB166" i="36" s="1"/>
  <c r="AB167" i="36" s="1"/>
  <c r="AB168" i="36" s="1"/>
  <c r="AB169" i="36" s="1"/>
  <c r="AB170" i="36" s="1"/>
  <c r="AB171" i="36" s="1"/>
  <c r="AB172" i="36" s="1"/>
  <c r="AA134" i="36"/>
  <c r="AA135" i="36" s="1"/>
  <c r="AA136" i="36" s="1"/>
  <c r="AA137" i="36" s="1"/>
  <c r="AA138" i="36" s="1"/>
  <c r="AA139" i="36" s="1"/>
  <c r="AA140" i="36" s="1"/>
  <c r="AA141" i="36" s="1"/>
  <c r="AA142" i="36" s="1"/>
  <c r="AB152" i="36"/>
  <c r="AB153" i="36" s="1"/>
  <c r="AB154" i="36" s="1"/>
  <c r="AB155" i="36" s="1"/>
  <c r="AB156" i="36" s="1"/>
  <c r="AB157" i="36" s="1"/>
  <c r="AB158" i="36" s="1"/>
  <c r="AB159" i="36" s="1"/>
  <c r="AB160" i="36" s="1"/>
  <c r="AB125" i="36"/>
  <c r="AB126" i="36" s="1"/>
  <c r="AB127" i="36" s="1"/>
  <c r="AB128" i="36" s="1"/>
  <c r="AB129" i="36" s="1"/>
  <c r="AB130" i="36" s="1"/>
  <c r="AB131" i="36" s="1"/>
  <c r="AB132" i="36" s="1"/>
  <c r="AB133" i="36" s="1"/>
  <c r="AA152" i="36"/>
  <c r="AA153" i="36" s="1"/>
  <c r="AA154" i="36" s="1"/>
  <c r="AA155" i="36" s="1"/>
  <c r="AA156" i="36" s="1"/>
  <c r="AA157" i="36" s="1"/>
  <c r="AA158" i="36" s="1"/>
  <c r="AA159" i="36" s="1"/>
  <c r="AA160" i="36" s="1"/>
  <c r="AB143" i="36"/>
  <c r="AB144" i="36" s="1"/>
  <c r="AB145" i="36" s="1"/>
  <c r="AB146" i="36" s="1"/>
  <c r="AB147" i="36" s="1"/>
  <c r="AB148" i="36" s="1"/>
  <c r="AB149" i="36" s="1"/>
  <c r="AB150" i="36" s="1"/>
  <c r="AB151" i="36" s="1"/>
  <c r="AA186" i="36"/>
  <c r="AA187" i="36" s="1"/>
  <c r="AA188" i="36" s="1"/>
  <c r="AA189" i="36" s="1"/>
  <c r="AA190" i="36" s="1"/>
  <c r="AA191" i="36" s="1"/>
  <c r="AA192" i="36" s="1"/>
  <c r="AA193" i="36" s="1"/>
  <c r="AA194" i="36" s="1"/>
  <c r="AA195" i="36" s="1"/>
  <c r="AA196" i="36" s="1"/>
  <c r="AA197" i="36" s="1"/>
  <c r="AA198" i="36" s="1"/>
  <c r="AA199" i="36" s="1"/>
  <c r="AB134" i="36"/>
  <c r="AB135" i="36" s="1"/>
  <c r="AB136" i="36" s="1"/>
  <c r="AB137" i="36" s="1"/>
  <c r="AB138" i="36" s="1"/>
  <c r="AB139" i="36" s="1"/>
  <c r="AB140" i="36" s="1"/>
  <c r="AB141" i="36" s="1"/>
  <c r="AB142" i="36" s="1"/>
  <c r="AA118" i="36"/>
  <c r="AA119" i="36" s="1"/>
  <c r="AA120" i="36" s="1"/>
  <c r="AA121" i="36" s="1"/>
  <c r="AA122" i="36" s="1"/>
  <c r="AA123" i="36" s="1"/>
  <c r="AA124" i="36" s="1"/>
  <c r="AB97" i="36"/>
  <c r="AB98" i="36" s="1"/>
  <c r="AB99" i="36" s="1"/>
  <c r="AB100" i="36" s="1"/>
  <c r="AB101" i="36" s="1"/>
  <c r="AB102" i="36" s="1"/>
  <c r="AB103" i="36" s="1"/>
  <c r="AB173" i="36"/>
  <c r="AB174" i="36" s="1"/>
  <c r="AB175" i="36" s="1"/>
  <c r="AB176" i="36" s="1"/>
  <c r="AB177" i="36" s="1"/>
  <c r="AB178" i="36" s="1"/>
  <c r="AB179" i="36" s="1"/>
  <c r="AA161" i="36"/>
  <c r="AA162" i="36" s="1"/>
  <c r="AA163" i="36" s="1"/>
  <c r="AA164" i="36" s="1"/>
  <c r="AA165" i="36" s="1"/>
  <c r="AA166" i="36" s="1"/>
  <c r="AA167" i="36" s="1"/>
  <c r="AA168" i="36" s="1"/>
  <c r="AA169" i="36" s="1"/>
  <c r="AA170" i="36" s="1"/>
  <c r="AA171" i="36" s="1"/>
  <c r="AA172" i="36" s="1"/>
  <c r="AA97" i="36"/>
  <c r="AA98" i="36" s="1"/>
  <c r="AA99" i="36" s="1"/>
  <c r="AA100" i="36" s="1"/>
  <c r="AA101" i="36" s="1"/>
  <c r="AA102" i="36" s="1"/>
  <c r="AA103" i="36" s="1"/>
  <c r="AB77" i="36"/>
  <c r="AB78" i="36" s="1"/>
  <c r="AA180" i="36"/>
  <c r="AA181" i="36" s="1"/>
  <c r="AA182" i="36" s="1"/>
  <c r="AA183" i="36" s="1"/>
  <c r="AA184" i="36" s="1"/>
  <c r="AA185" i="36" s="1"/>
  <c r="AA77" i="36"/>
  <c r="AA78" i="36" s="1"/>
  <c r="AB70" i="36"/>
  <c r="AB71" i="36" s="1"/>
  <c r="AB72" i="36" s="1"/>
  <c r="AB73" i="36" s="1"/>
  <c r="AB74" i="36" s="1"/>
  <c r="AB75" i="36" s="1"/>
  <c r="AB76" i="36" s="1"/>
  <c r="AB90" i="36"/>
  <c r="AB91" i="36" s="1"/>
  <c r="AB92" i="36" s="1"/>
  <c r="AB93" i="36" s="1"/>
  <c r="AB94" i="36" s="1"/>
  <c r="AB95" i="36" s="1"/>
  <c r="AB96" i="36" s="1"/>
  <c r="AB85" i="36"/>
  <c r="AB86" i="36" s="1"/>
  <c r="AB87" i="36" s="1"/>
  <c r="AB88" i="36" s="1"/>
  <c r="AB89" i="36" s="1"/>
  <c r="AA70" i="36"/>
  <c r="AA71" i="36" s="1"/>
  <c r="AA72" i="36" s="1"/>
  <c r="AA73" i="36" s="1"/>
  <c r="AA74" i="36" s="1"/>
  <c r="AA75" i="36" s="1"/>
  <c r="AA76" i="36" s="1"/>
  <c r="AB104" i="36"/>
  <c r="AB105" i="36" s="1"/>
  <c r="AB106" i="36" s="1"/>
  <c r="AB107" i="36" s="1"/>
  <c r="AB108" i="36" s="1"/>
  <c r="AB109" i="36" s="1"/>
  <c r="AB110" i="36" s="1"/>
  <c r="AA90" i="36"/>
  <c r="AA91" i="36" s="1"/>
  <c r="AA92" i="36" s="1"/>
  <c r="AA93" i="36" s="1"/>
  <c r="AA94" i="36" s="1"/>
  <c r="AA95" i="36" s="1"/>
  <c r="AA96" i="36" s="1"/>
  <c r="AA85" i="36"/>
  <c r="AA86" i="36" s="1"/>
  <c r="AA87" i="36" s="1"/>
  <c r="AA88" i="36" s="1"/>
  <c r="AA89" i="36" s="1"/>
  <c r="AB111" i="36"/>
  <c r="AB112" i="36" s="1"/>
  <c r="AB113" i="36" s="1"/>
  <c r="AB114" i="36" s="1"/>
  <c r="AB115" i="36" s="1"/>
  <c r="AB116" i="36" s="1"/>
  <c r="AB117" i="36" s="1"/>
  <c r="AB118" i="36"/>
  <c r="AB119" i="36" s="1"/>
  <c r="AB120" i="36" s="1"/>
  <c r="AB121" i="36" s="1"/>
  <c r="AB122" i="36" s="1"/>
  <c r="AB123" i="36" s="1"/>
  <c r="AB124" i="36" s="1"/>
  <c r="AA111" i="36"/>
  <c r="AA112" i="36" s="1"/>
  <c r="AA113" i="36" s="1"/>
  <c r="AA114" i="36" s="1"/>
  <c r="AA115" i="36" s="1"/>
  <c r="AA116" i="36" s="1"/>
  <c r="AA117" i="36" s="1"/>
  <c r="AA125" i="36"/>
  <c r="AA126" i="36" s="1"/>
  <c r="AA127" i="36" s="1"/>
  <c r="AA128" i="36" s="1"/>
  <c r="AA129" i="36" s="1"/>
  <c r="AA130" i="36" s="1"/>
  <c r="AA131" i="36" s="1"/>
  <c r="AA132" i="36" s="1"/>
  <c r="AA133" i="36" s="1"/>
  <c r="AB23" i="36"/>
  <c r="AB24" i="36" s="1"/>
  <c r="AB25" i="36" s="1"/>
  <c r="AB26" i="36" s="1"/>
  <c r="AB27" i="36" s="1"/>
  <c r="AB28" i="36" s="1"/>
  <c r="AB29" i="36" s="1"/>
  <c r="AB30" i="36" s="1"/>
  <c r="AB31" i="36" s="1"/>
  <c r="AB79" i="36"/>
  <c r="AB80" i="36" s="1"/>
  <c r="AB81" i="36" s="1"/>
  <c r="AB82" i="36" s="1"/>
  <c r="AB83" i="36" s="1"/>
  <c r="AB84" i="36" s="1"/>
  <c r="AA79" i="36"/>
  <c r="AA80" i="36" s="1"/>
  <c r="AA81" i="36" s="1"/>
  <c r="AA82" i="36" s="1"/>
  <c r="AA83" i="36" s="1"/>
  <c r="AA84" i="36" s="1"/>
  <c r="AA48" i="36"/>
  <c r="AA49" i="36" s="1"/>
  <c r="AA50" i="36" s="1"/>
  <c r="AA51" i="36" s="1"/>
  <c r="AA52" i="36" s="1"/>
  <c r="AA53" i="36" s="1"/>
  <c r="T37" i="36"/>
  <c r="AH37" i="36" s="1"/>
  <c r="H25" i="36"/>
  <c r="U5" i="36"/>
  <c r="T35" i="36"/>
  <c r="AH35" i="36" s="1"/>
  <c r="T38" i="36"/>
  <c r="AH38" i="36" s="1"/>
  <c r="AB48" i="36"/>
  <c r="AB49" i="36" s="1"/>
  <c r="AB50" i="36" s="1"/>
  <c r="AB51" i="36" s="1"/>
  <c r="AB52" i="36" s="1"/>
  <c r="AB53" i="36" s="1"/>
  <c r="T72" i="36"/>
  <c r="AH72" i="36" s="1"/>
  <c r="H73" i="36"/>
  <c r="H128" i="36"/>
  <c r="T136" i="36"/>
  <c r="AH136" i="36" s="1"/>
  <c r="H137" i="36"/>
  <c r="T68" i="36"/>
  <c r="AH68" i="36" s="1"/>
  <c r="H155" i="36"/>
  <c r="T163" i="36"/>
  <c r="AH163" i="36" s="1"/>
  <c r="T86" i="36"/>
  <c r="AH86" i="36" s="1"/>
  <c r="H87" i="36"/>
  <c r="T105" i="36"/>
  <c r="AH105" i="36" s="1"/>
  <c r="H106" i="36"/>
  <c r="T204" i="36"/>
  <c r="AH204" i="36" s="1"/>
  <c r="H205" i="36"/>
  <c r="T126" i="36"/>
  <c r="AH126" i="36" s="1"/>
  <c r="H115" i="36"/>
  <c r="T113" i="36"/>
  <c r="AH113" i="36" s="1"/>
  <c r="H187" i="36"/>
  <c r="T186" i="36"/>
  <c r="AF186" i="36" s="1"/>
  <c r="H226" i="36"/>
  <c r="T225" i="36"/>
  <c r="AH225" i="36" s="1"/>
  <c r="H216" i="36"/>
  <c r="T215" i="36"/>
  <c r="AH215" i="36" s="1"/>
  <c r="H353" i="36"/>
  <c r="T352" i="36"/>
  <c r="AH352" i="36" s="1"/>
  <c r="T362" i="36"/>
  <c r="AH362" i="36" s="1"/>
  <c r="H363" i="36"/>
  <c r="T363" i="36" s="1"/>
  <c r="AH363" i="36" s="1"/>
  <c r="H339" i="36"/>
  <c r="T339" i="36" s="1"/>
  <c r="AH339" i="36" s="1"/>
  <c r="H332" i="36"/>
  <c r="H378" i="36"/>
  <c r="T377" i="36"/>
  <c r="AH377" i="36" s="1"/>
  <c r="H367" i="36"/>
  <c r="H392" i="36"/>
  <c r="T391" i="36"/>
  <c r="AH391" i="36" s="1"/>
  <c r="H405" i="36"/>
  <c r="T404" i="36"/>
  <c r="AH404" i="36" s="1"/>
  <c r="T390" i="36"/>
  <c r="AH390" i="36" s="1"/>
  <c r="T417" i="36"/>
  <c r="AH417" i="36" s="1"/>
  <c r="AH549" i="38" l="1"/>
  <c r="V549" i="38"/>
  <c r="U549" i="38"/>
  <c r="AI549" i="38"/>
  <c r="H551" i="38"/>
  <c r="T550" i="38"/>
  <c r="V536" i="38"/>
  <c r="AH536" i="38"/>
  <c r="U536" i="38"/>
  <c r="AI536" i="38"/>
  <c r="T537" i="38"/>
  <c r="H538" i="38"/>
  <c r="T521" i="38"/>
  <c r="H522" i="38"/>
  <c r="V520" i="38"/>
  <c r="AH520" i="38"/>
  <c r="U520" i="38"/>
  <c r="W520" i="38" s="1"/>
  <c r="AI520" i="38"/>
  <c r="AH504" i="38"/>
  <c r="V504" i="38"/>
  <c r="U504" i="38"/>
  <c r="W504" i="38" s="1"/>
  <c r="AI504" i="38"/>
  <c r="T505" i="38"/>
  <c r="H506" i="38"/>
  <c r="H497" i="38"/>
  <c r="T496" i="38"/>
  <c r="V495" i="38"/>
  <c r="U495" i="38"/>
  <c r="W495" i="38" s="1"/>
  <c r="AH495" i="38"/>
  <c r="AI495" i="38"/>
  <c r="T481" i="38"/>
  <c r="H482" i="38"/>
  <c r="U480" i="38"/>
  <c r="AH480" i="38"/>
  <c r="V480" i="38"/>
  <c r="AI480" i="38"/>
  <c r="U468" i="38"/>
  <c r="AH468" i="38"/>
  <c r="V468" i="38"/>
  <c r="AI468" i="38"/>
  <c r="T469" i="38"/>
  <c r="H470" i="38"/>
  <c r="H459" i="38"/>
  <c r="T458" i="38"/>
  <c r="AH457" i="38"/>
  <c r="V457" i="38"/>
  <c r="U457" i="38"/>
  <c r="W457" i="38" s="1"/>
  <c r="AI457" i="38"/>
  <c r="V450" i="38"/>
  <c r="U450" i="38"/>
  <c r="W450" i="38" s="1"/>
  <c r="AH450" i="38"/>
  <c r="AI450" i="38"/>
  <c r="U451" i="38"/>
  <c r="V451" i="38"/>
  <c r="AH451" i="38"/>
  <c r="AI451" i="38"/>
  <c r="AH437" i="38"/>
  <c r="V437" i="38"/>
  <c r="U437" i="38"/>
  <c r="W437" i="38" s="1"/>
  <c r="AI437" i="38"/>
  <c r="H439" i="38"/>
  <c r="T438" i="38"/>
  <c r="T426" i="38"/>
  <c r="H427" i="38"/>
  <c r="AH425" i="38"/>
  <c r="V425" i="38"/>
  <c r="U425" i="38"/>
  <c r="W425" i="38" s="1"/>
  <c r="AI425" i="38"/>
  <c r="U414" i="38"/>
  <c r="V414" i="38"/>
  <c r="AH414" i="38"/>
  <c r="AI414" i="38"/>
  <c r="H416" i="38"/>
  <c r="T415" i="38"/>
  <c r="V401" i="38"/>
  <c r="AH401" i="38"/>
  <c r="U401" i="38"/>
  <c r="W401" i="38" s="1"/>
  <c r="AI401" i="38"/>
  <c r="T402" i="38"/>
  <c r="H403" i="38"/>
  <c r="V394" i="38"/>
  <c r="U394" i="38"/>
  <c r="W394" i="38" s="1"/>
  <c r="AH394" i="38"/>
  <c r="AI394" i="38"/>
  <c r="T395" i="38"/>
  <c r="H396" i="38"/>
  <c r="T396" i="38" s="1"/>
  <c r="U387" i="38"/>
  <c r="AH387" i="38"/>
  <c r="V387" i="38"/>
  <c r="AI387" i="38"/>
  <c r="T388" i="38"/>
  <c r="H389" i="38"/>
  <c r="T389" i="38" s="1"/>
  <c r="H382" i="38"/>
  <c r="T382" i="38" s="1"/>
  <c r="T381" i="38"/>
  <c r="U380" i="38"/>
  <c r="V380" i="38"/>
  <c r="AH380" i="38"/>
  <c r="AI380" i="38"/>
  <c r="H366" i="38"/>
  <c r="T365" i="38"/>
  <c r="AH364" i="38"/>
  <c r="U364" i="38"/>
  <c r="V364" i="38"/>
  <c r="AI364" i="38"/>
  <c r="T352" i="38"/>
  <c r="H353" i="38"/>
  <c r="V351" i="38"/>
  <c r="AH351" i="38"/>
  <c r="U351" i="38"/>
  <c r="W351" i="38" s="1"/>
  <c r="AI351" i="38"/>
  <c r="V344" i="38"/>
  <c r="U344" i="38"/>
  <c r="W344" i="38" s="1"/>
  <c r="AH344" i="38"/>
  <c r="AI344" i="38"/>
  <c r="T345" i="38"/>
  <c r="AI345" i="38" s="1"/>
  <c r="H346" i="38"/>
  <c r="T346" i="38" s="1"/>
  <c r="AI346" i="38" s="1"/>
  <c r="V337" i="38"/>
  <c r="U337" i="38"/>
  <c r="W337" i="38" s="1"/>
  <c r="AH337" i="38"/>
  <c r="AI337" i="38"/>
  <c r="T338" i="38"/>
  <c r="AI338" i="38" s="1"/>
  <c r="H339" i="38"/>
  <c r="T339" i="38" s="1"/>
  <c r="AI339" i="38" s="1"/>
  <c r="U313" i="38"/>
  <c r="V313" i="38"/>
  <c r="AH313" i="38"/>
  <c r="AI313" i="38"/>
  <c r="T314" i="38"/>
  <c r="H315" i="38"/>
  <c r="V304" i="38"/>
  <c r="U304" i="38"/>
  <c r="W304" i="38" s="1"/>
  <c r="AH304" i="38"/>
  <c r="AI304" i="38"/>
  <c r="H306" i="38"/>
  <c r="T305" i="38"/>
  <c r="W257" i="38"/>
  <c r="Q258" i="38"/>
  <c r="Q250" i="38"/>
  <c r="W249" i="38"/>
  <c r="V187" i="38"/>
  <c r="U187" i="38"/>
  <c r="W187" i="38" s="1"/>
  <c r="AH187" i="38"/>
  <c r="AI187" i="38"/>
  <c r="T188" i="38"/>
  <c r="H189" i="38"/>
  <c r="V177" i="38"/>
  <c r="U177" i="38"/>
  <c r="W177" i="38" s="1"/>
  <c r="AH177" i="38"/>
  <c r="AI177" i="38"/>
  <c r="T178" i="38"/>
  <c r="H179" i="38"/>
  <c r="U163" i="38"/>
  <c r="AH163" i="38"/>
  <c r="V163" i="38"/>
  <c r="AI163" i="38"/>
  <c r="T164" i="38"/>
  <c r="H165" i="38"/>
  <c r="AH148" i="38"/>
  <c r="U148" i="38"/>
  <c r="V148" i="38"/>
  <c r="AI148" i="38"/>
  <c r="T149" i="38"/>
  <c r="H150" i="38"/>
  <c r="V124" i="38"/>
  <c r="U124" i="38"/>
  <c r="W124" i="38" s="1"/>
  <c r="AH124" i="38"/>
  <c r="AI124" i="38"/>
  <c r="T125" i="38"/>
  <c r="H126" i="38"/>
  <c r="AH115" i="38"/>
  <c r="V115" i="38"/>
  <c r="U115" i="38"/>
  <c r="W115" i="38" s="1"/>
  <c r="AI115" i="38"/>
  <c r="T116" i="38"/>
  <c r="H117" i="38"/>
  <c r="V106" i="38"/>
  <c r="U106" i="38"/>
  <c r="W106" i="38" s="1"/>
  <c r="AH106" i="38"/>
  <c r="AI106" i="38"/>
  <c r="T107" i="38"/>
  <c r="H108" i="38"/>
  <c r="U92" i="38"/>
  <c r="AH92" i="38"/>
  <c r="V92" i="38"/>
  <c r="AI92" i="38"/>
  <c r="T93" i="38"/>
  <c r="AI93" i="38" s="1"/>
  <c r="H94" i="38"/>
  <c r="T94" i="38" s="1"/>
  <c r="AI94" i="38" s="1"/>
  <c r="U85" i="38"/>
  <c r="AH85" i="38"/>
  <c r="V85" i="38"/>
  <c r="AI85" i="38"/>
  <c r="T86" i="38"/>
  <c r="AI86" i="38" s="1"/>
  <c r="H87" i="38"/>
  <c r="T87" i="38" s="1"/>
  <c r="AI87" i="38" s="1"/>
  <c r="V77" i="38"/>
  <c r="AH77" i="38"/>
  <c r="U77" i="38"/>
  <c r="W77" i="38" s="1"/>
  <c r="AI77" i="38"/>
  <c r="T78" i="38"/>
  <c r="H79" i="38"/>
  <c r="T59" i="38"/>
  <c r="AI59" i="38" s="1"/>
  <c r="H60" i="38"/>
  <c r="T60" i="38" s="1"/>
  <c r="AI60" i="38" s="1"/>
  <c r="Q38" i="38"/>
  <c r="AH36" i="38"/>
  <c r="V36" i="38"/>
  <c r="U36" i="38"/>
  <c r="W36" i="38" s="1"/>
  <c r="AI36" i="38"/>
  <c r="T37" i="38"/>
  <c r="H38" i="38"/>
  <c r="AH27" i="38"/>
  <c r="U27" i="38"/>
  <c r="V27" i="38"/>
  <c r="AI27" i="38"/>
  <c r="T28" i="38"/>
  <c r="H29" i="38"/>
  <c r="V11" i="38"/>
  <c r="U11" i="38"/>
  <c r="AH11" i="38"/>
  <c r="AI11" i="38"/>
  <c r="T12" i="38"/>
  <c r="H13" i="38"/>
  <c r="D13" i="38"/>
  <c r="C13" i="38"/>
  <c r="H343" i="36"/>
  <c r="H384" i="36"/>
  <c r="T99" i="36"/>
  <c r="AH99" i="36" s="1"/>
  <c r="T175" i="36"/>
  <c r="AH175" i="36" s="1"/>
  <c r="H176" i="36"/>
  <c r="T145" i="36"/>
  <c r="AH145" i="36" s="1"/>
  <c r="H146" i="36"/>
  <c r="H393" i="36"/>
  <c r="T392" i="36"/>
  <c r="AH392" i="36" s="1"/>
  <c r="T164" i="36"/>
  <c r="AH164" i="36" s="1"/>
  <c r="H165" i="36"/>
  <c r="T73" i="36"/>
  <c r="AH73" i="36" s="1"/>
  <c r="H74" i="36"/>
  <c r="T367" i="36"/>
  <c r="AH367" i="36" s="1"/>
  <c r="H368" i="36"/>
  <c r="T368" i="36" s="1"/>
  <c r="AH368" i="36" s="1"/>
  <c r="H354" i="36"/>
  <c r="T353" i="36"/>
  <c r="AH353" i="36" s="1"/>
  <c r="H188" i="36"/>
  <c r="T187" i="36"/>
  <c r="AH187" i="36" s="1"/>
  <c r="T25" i="36"/>
  <c r="AH25" i="36" s="1"/>
  <c r="H26" i="36"/>
  <c r="H11" i="36"/>
  <c r="T10" i="36"/>
  <c r="AH10" i="36" s="1"/>
  <c r="T52" i="36"/>
  <c r="AH52" i="36" s="1"/>
  <c r="H53" i="36"/>
  <c r="T53" i="36" s="1"/>
  <c r="AH53" i="36" s="1"/>
  <c r="H156" i="36"/>
  <c r="T155" i="36"/>
  <c r="AH155" i="36" s="1"/>
  <c r="T100" i="36"/>
  <c r="AH100" i="36" s="1"/>
  <c r="H101" i="36"/>
  <c r="T56" i="36"/>
  <c r="AH56" i="36" s="1"/>
  <c r="H57" i="36"/>
  <c r="D10" i="36"/>
  <c r="T378" i="36"/>
  <c r="AH378" i="36" s="1"/>
  <c r="H379" i="36"/>
  <c r="T42" i="36"/>
  <c r="AH42" i="36" s="1"/>
  <c r="H43" i="36"/>
  <c r="T384" i="36"/>
  <c r="AH384" i="36" s="1"/>
  <c r="H385" i="36"/>
  <c r="H333" i="36"/>
  <c r="T332" i="36"/>
  <c r="AH332" i="36" s="1"/>
  <c r="T106" i="36"/>
  <c r="AH106" i="36" s="1"/>
  <c r="H107" i="36"/>
  <c r="H227" i="36"/>
  <c r="T226" i="36"/>
  <c r="AH226" i="36" s="1"/>
  <c r="T205" i="36"/>
  <c r="AH205" i="36" s="1"/>
  <c r="H206" i="36"/>
  <c r="T128" i="36"/>
  <c r="AH128" i="36" s="1"/>
  <c r="H129" i="36"/>
  <c r="H217" i="36"/>
  <c r="T216" i="36"/>
  <c r="AH216" i="36" s="1"/>
  <c r="H116" i="36"/>
  <c r="T115" i="36"/>
  <c r="AH115" i="36" s="1"/>
  <c r="T137" i="36"/>
  <c r="AH137" i="36" s="1"/>
  <c r="H138" i="36"/>
  <c r="T91" i="36"/>
  <c r="AH91" i="36" s="1"/>
  <c r="H92" i="36"/>
  <c r="Q21" i="36"/>
  <c r="T405" i="36"/>
  <c r="AH405" i="36" s="1"/>
  <c r="H406" i="36"/>
  <c r="T87" i="36"/>
  <c r="AH87" i="36" s="1"/>
  <c r="H88" i="36"/>
  <c r="X418" i="36"/>
  <c r="X416" i="36"/>
  <c r="Z415" i="36"/>
  <c r="Z413" i="36"/>
  <c r="Z411" i="36"/>
  <c r="Z409" i="36"/>
  <c r="Z407" i="36"/>
  <c r="Z405" i="36"/>
  <c r="Z403" i="36"/>
  <c r="L403" i="36"/>
  <c r="X415" i="36"/>
  <c r="X413" i="36"/>
  <c r="X411" i="36"/>
  <c r="X409" i="36"/>
  <c r="X407" i="36"/>
  <c r="X405" i="36"/>
  <c r="X403" i="36"/>
  <c r="Z401" i="36"/>
  <c r="X401" i="36"/>
  <c r="Z400" i="36"/>
  <c r="Z398" i="36"/>
  <c r="Z417" i="36"/>
  <c r="X400" i="36"/>
  <c r="X398" i="36"/>
  <c r="X396" i="36"/>
  <c r="X394" i="36"/>
  <c r="X392" i="36"/>
  <c r="X390" i="36"/>
  <c r="X388" i="36"/>
  <c r="Z381" i="36"/>
  <c r="Z377" i="36"/>
  <c r="X417" i="36"/>
  <c r="Z414" i="36"/>
  <c r="Z412" i="36"/>
  <c r="Z410" i="36"/>
  <c r="Z408" i="36"/>
  <c r="Z406" i="36"/>
  <c r="Z404" i="36"/>
  <c r="Z402" i="36"/>
  <c r="Z387" i="36"/>
  <c r="Z386" i="36"/>
  <c r="Z385" i="36"/>
  <c r="Z384" i="36"/>
  <c r="Z383" i="36"/>
  <c r="Z382" i="36"/>
  <c r="X381" i="36"/>
  <c r="Z399" i="36"/>
  <c r="Z397" i="36"/>
  <c r="Z395" i="36"/>
  <c r="Z393" i="36"/>
  <c r="Z391" i="36"/>
  <c r="Z389" i="36"/>
  <c r="Z418" i="36"/>
  <c r="Z416" i="36"/>
  <c r="L416" i="36"/>
  <c r="X399" i="36"/>
  <c r="X397" i="36"/>
  <c r="X395" i="36"/>
  <c r="X393" i="36"/>
  <c r="X391" i="36"/>
  <c r="X389" i="36"/>
  <c r="X380" i="36"/>
  <c r="X404" i="36"/>
  <c r="Z380" i="36"/>
  <c r="X414" i="36"/>
  <c r="X386" i="36"/>
  <c r="X412" i="36"/>
  <c r="L388" i="36"/>
  <c r="X382" i="36"/>
  <c r="X379" i="36"/>
  <c r="Z378" i="36"/>
  <c r="X374" i="36"/>
  <c r="X410" i="36"/>
  <c r="X402" i="36"/>
  <c r="Z396" i="36"/>
  <c r="Z394" i="36"/>
  <c r="Z392" i="36"/>
  <c r="Z390" i="36"/>
  <c r="X385" i="36"/>
  <c r="X378" i="36"/>
  <c r="Z375" i="36"/>
  <c r="Z369" i="36"/>
  <c r="X347" i="36"/>
  <c r="Z344" i="36"/>
  <c r="X408" i="36"/>
  <c r="Z376" i="36"/>
  <c r="X375" i="36"/>
  <c r="X406" i="36"/>
  <c r="X384" i="36"/>
  <c r="X376" i="36"/>
  <c r="X373" i="36"/>
  <c r="X372" i="36"/>
  <c r="X371" i="36"/>
  <c r="X370" i="36"/>
  <c r="Z364" i="36"/>
  <c r="L364" i="36"/>
  <c r="Z357" i="36"/>
  <c r="Z355" i="36"/>
  <c r="Z353" i="36"/>
  <c r="Z351" i="36"/>
  <c r="X377" i="36"/>
  <c r="Z368" i="36"/>
  <c r="Z367" i="36"/>
  <c r="Z366" i="36"/>
  <c r="Z365" i="36"/>
  <c r="X364" i="36"/>
  <c r="Z359" i="36"/>
  <c r="X357" i="36"/>
  <c r="X355" i="36"/>
  <c r="X353" i="36"/>
  <c r="X351" i="36"/>
  <c r="X387" i="36"/>
  <c r="X383" i="36"/>
  <c r="X369" i="36"/>
  <c r="Z342" i="36"/>
  <c r="Z339" i="36"/>
  <c r="X331" i="36"/>
  <c r="Z356" i="36"/>
  <c r="Z352" i="36"/>
  <c r="X342" i="36"/>
  <c r="X339" i="36"/>
  <c r="Z388" i="36"/>
  <c r="Z379" i="36"/>
  <c r="Z374" i="36"/>
  <c r="X356" i="36"/>
  <c r="X352" i="36"/>
  <c r="X336" i="36"/>
  <c r="X333" i="36"/>
  <c r="Z330" i="36"/>
  <c r="Z327" i="36"/>
  <c r="X322" i="36"/>
  <c r="Z319" i="36"/>
  <c r="X314" i="36"/>
  <c r="Z311" i="36"/>
  <c r="X306" i="36"/>
  <c r="Z303" i="36"/>
  <c r="Z363" i="36"/>
  <c r="Z362" i="36"/>
  <c r="Z361" i="36"/>
  <c r="Z360" i="36"/>
  <c r="X368" i="36"/>
  <c r="X367" i="36"/>
  <c r="X366" i="36"/>
  <c r="X363" i="36"/>
  <c r="X362" i="36"/>
  <c r="X361" i="36"/>
  <c r="X360" i="36"/>
  <c r="X348" i="36"/>
  <c r="X346" i="36"/>
  <c r="Z345" i="36"/>
  <c r="X341" i="36"/>
  <c r="X338" i="36"/>
  <c r="Z335" i="36"/>
  <c r="Z332" i="36"/>
  <c r="Z329" i="36"/>
  <c r="X324" i="36"/>
  <c r="Z321" i="36"/>
  <c r="Z373" i="36"/>
  <c r="Z372" i="36"/>
  <c r="Z371" i="36"/>
  <c r="Z370" i="36"/>
  <c r="X365" i="36"/>
  <c r="Z358" i="36"/>
  <c r="Z354" i="36"/>
  <c r="Z349" i="36"/>
  <c r="X345" i="36"/>
  <c r="X344" i="36"/>
  <c r="X335" i="36"/>
  <c r="X332" i="36"/>
  <c r="X329" i="36"/>
  <c r="Z326" i="36"/>
  <c r="X350" i="36"/>
  <c r="X349" i="36"/>
  <c r="Z336" i="36"/>
  <c r="X323" i="36"/>
  <c r="Z317" i="36"/>
  <c r="Z316" i="36"/>
  <c r="X327" i="36"/>
  <c r="X315" i="36"/>
  <c r="X309" i="36"/>
  <c r="X308" i="36"/>
  <c r="Z307" i="36"/>
  <c r="Z301" i="36"/>
  <c r="X296" i="36"/>
  <c r="Z293" i="36"/>
  <c r="Z290" i="36"/>
  <c r="Z338" i="36"/>
  <c r="Z328" i="36"/>
  <c r="Z320" i="36"/>
  <c r="Z314" i="36"/>
  <c r="Z313" i="36"/>
  <c r="X307" i="36"/>
  <c r="X301" i="36"/>
  <c r="Z298" i="36"/>
  <c r="X293" i="36"/>
  <c r="X290" i="36"/>
  <c r="Z287" i="36"/>
  <c r="X282" i="36"/>
  <c r="Z279" i="36"/>
  <c r="X274" i="36"/>
  <c r="Z271" i="36"/>
  <c r="X266" i="36"/>
  <c r="Z263" i="36"/>
  <c r="X258" i="36"/>
  <c r="Z343" i="36"/>
  <c r="X330" i="36"/>
  <c r="X328" i="36"/>
  <c r="Z324" i="36"/>
  <c r="X321" i="36"/>
  <c r="X320" i="36"/>
  <c r="X319" i="36"/>
  <c r="X313" i="36"/>
  <c r="Z312" i="36"/>
  <c r="Z306" i="36"/>
  <c r="Z305" i="36"/>
  <c r="X298" i="36"/>
  <c r="Z295" i="36"/>
  <c r="Z292" i="36"/>
  <c r="X343" i="36"/>
  <c r="Z340" i="36"/>
  <c r="Z337" i="36"/>
  <c r="Z325" i="36"/>
  <c r="Z318" i="36"/>
  <c r="X312" i="36"/>
  <c r="X311" i="36"/>
  <c r="X305" i="36"/>
  <c r="Z304" i="36"/>
  <c r="Z300" i="36"/>
  <c r="X295" i="36"/>
  <c r="X292" i="36"/>
  <c r="Z289" i="36"/>
  <c r="X284" i="36"/>
  <c r="Z281" i="36"/>
  <c r="X276" i="36"/>
  <c r="Z273" i="36"/>
  <c r="X268" i="36"/>
  <c r="Z265" i="36"/>
  <c r="X260" i="36"/>
  <c r="Z257" i="36"/>
  <c r="X354" i="36"/>
  <c r="Z348" i="36"/>
  <c r="Z347" i="36"/>
  <c r="Z346" i="36"/>
  <c r="X340" i="36"/>
  <c r="X337" i="36"/>
  <c r="Z334" i="36"/>
  <c r="X326" i="36"/>
  <c r="X325" i="36"/>
  <c r="Z322" i="36"/>
  <c r="X318" i="36"/>
  <c r="Z310" i="36"/>
  <c r="X304" i="36"/>
  <c r="X303" i="36"/>
  <c r="X300" i="36"/>
  <c r="Z297" i="36"/>
  <c r="X289" i="36"/>
  <c r="Z286" i="36"/>
  <c r="X281" i="36"/>
  <c r="Z278" i="36"/>
  <c r="X273" i="36"/>
  <c r="Z270" i="36"/>
  <c r="X265" i="36"/>
  <c r="Z262" i="36"/>
  <c r="X257" i="36"/>
  <c r="X359" i="36"/>
  <c r="X358" i="36"/>
  <c r="Z350" i="36"/>
  <c r="X334" i="36"/>
  <c r="Z331" i="36"/>
  <c r="Z323" i="36"/>
  <c r="Z341" i="36"/>
  <c r="Z333" i="36"/>
  <c r="Z315" i="36"/>
  <c r="X310" i="36"/>
  <c r="Z299" i="36"/>
  <c r="Z302" i="36"/>
  <c r="X299" i="36"/>
  <c r="Z294" i="36"/>
  <c r="Z288" i="36"/>
  <c r="X275" i="36"/>
  <c r="Z269" i="36"/>
  <c r="Z266" i="36"/>
  <c r="X263" i="36"/>
  <c r="X255" i="36"/>
  <c r="Z252" i="36"/>
  <c r="X316" i="36"/>
  <c r="Z309" i="36"/>
  <c r="Z308" i="36"/>
  <c r="X302" i="36"/>
  <c r="X297" i="36"/>
  <c r="X294" i="36"/>
  <c r="X288" i="36"/>
  <c r="Z284" i="36"/>
  <c r="X270" i="36"/>
  <c r="X269" i="36"/>
  <c r="Z264" i="36"/>
  <c r="X252" i="36"/>
  <c r="Z249" i="36"/>
  <c r="X317" i="36"/>
  <c r="Z285" i="36"/>
  <c r="Z282" i="36"/>
  <c r="X279" i="36"/>
  <c r="Z267" i="36"/>
  <c r="X264" i="36"/>
  <c r="Z260" i="36"/>
  <c r="Z254" i="36"/>
  <c r="X249" i="36"/>
  <c r="Z246" i="36"/>
  <c r="X241" i="36"/>
  <c r="Z238" i="36"/>
  <c r="Z291" i="36"/>
  <c r="X283" i="36"/>
  <c r="Z277" i="36"/>
  <c r="Z274" i="36"/>
  <c r="X271" i="36"/>
  <c r="Z259" i="36"/>
  <c r="Z253" i="36"/>
  <c r="X248" i="36"/>
  <c r="Z245" i="36"/>
  <c r="X240" i="36"/>
  <c r="Z237" i="36"/>
  <c r="Z296" i="36"/>
  <c r="X291" i="36"/>
  <c r="Z275" i="36"/>
  <c r="X261" i="36"/>
  <c r="X251" i="36"/>
  <c r="X239" i="36"/>
  <c r="X287" i="36"/>
  <c r="X286" i="36"/>
  <c r="X285" i="36"/>
  <c r="Z283" i="36"/>
  <c r="X277" i="36"/>
  <c r="X267" i="36"/>
  <c r="Z255" i="36"/>
  <c r="Z240" i="36"/>
  <c r="Z235" i="36"/>
  <c r="X230" i="36"/>
  <c r="Z227" i="36"/>
  <c r="X222" i="36"/>
  <c r="X220" i="36"/>
  <c r="X218" i="36"/>
  <c r="X216" i="36"/>
  <c r="X214" i="36"/>
  <c r="Z276" i="36"/>
  <c r="Z268" i="36"/>
  <c r="X259" i="36"/>
  <c r="Z258" i="36"/>
  <c r="X254" i="36"/>
  <c r="Z242" i="36"/>
  <c r="Z241" i="36"/>
  <c r="X235" i="36"/>
  <c r="Z280" i="36"/>
  <c r="Z272" i="36"/>
  <c r="Z250" i="36"/>
  <c r="Z247" i="36"/>
  <c r="X242" i="36"/>
  <c r="X232" i="36"/>
  <c r="Z229" i="36"/>
  <c r="X224" i="36"/>
  <c r="X213" i="36"/>
  <c r="Z210" i="36"/>
  <c r="X205" i="36"/>
  <c r="Z202" i="36"/>
  <c r="X280" i="36"/>
  <c r="X272" i="36"/>
  <c r="X250" i="36"/>
  <c r="X247" i="36"/>
  <c r="X245" i="36"/>
  <c r="Z244" i="36"/>
  <c r="Z243" i="36"/>
  <c r="Z234" i="36"/>
  <c r="X229" i="36"/>
  <c r="Z226" i="36"/>
  <c r="Z223" i="36"/>
  <c r="Z221" i="36"/>
  <c r="Z219" i="36"/>
  <c r="Z217" i="36"/>
  <c r="Z215" i="36"/>
  <c r="Z256" i="36"/>
  <c r="X253" i="36"/>
  <c r="X238" i="36"/>
  <c r="Z236" i="36"/>
  <c r="X231" i="36"/>
  <c r="Z228" i="36"/>
  <c r="X212" i="36"/>
  <c r="Z209" i="36"/>
  <c r="X204" i="36"/>
  <c r="Z201" i="36"/>
  <c r="X246" i="36"/>
  <c r="Z233" i="36"/>
  <c r="X223" i="36"/>
  <c r="Z216" i="36"/>
  <c r="Z212" i="36"/>
  <c r="Z206" i="36"/>
  <c r="Z205" i="36"/>
  <c r="Z192" i="36"/>
  <c r="X189" i="36"/>
  <c r="Z188" i="36"/>
  <c r="Z261" i="36"/>
  <c r="Z251" i="36"/>
  <c r="X233" i="36"/>
  <c r="Z230" i="36"/>
  <c r="Z225" i="36"/>
  <c r="Z218" i="36"/>
  <c r="Z214" i="36"/>
  <c r="X206" i="36"/>
  <c r="Z194" i="36"/>
  <c r="Z193" i="36"/>
  <c r="X192" i="36"/>
  <c r="X188" i="36"/>
  <c r="Z185" i="36"/>
  <c r="Z181" i="36"/>
  <c r="X178" i="36"/>
  <c r="Z175" i="36"/>
  <c r="Z172" i="36"/>
  <c r="X169" i="36"/>
  <c r="Z164" i="36"/>
  <c r="X161" i="36"/>
  <c r="X262" i="36"/>
  <c r="X256" i="36"/>
  <c r="X227" i="36"/>
  <c r="X225" i="36"/>
  <c r="Z220" i="36"/>
  <c r="Z207" i="36"/>
  <c r="Z196" i="36"/>
  <c r="Z195" i="36"/>
  <c r="X194" i="36"/>
  <c r="X193" i="36"/>
  <c r="X185" i="36"/>
  <c r="Z248" i="36"/>
  <c r="X237" i="36"/>
  <c r="Z222" i="36"/>
  <c r="X209" i="36"/>
  <c r="Z208" i="36"/>
  <c r="X207" i="36"/>
  <c r="Z198" i="36"/>
  <c r="Z197" i="36"/>
  <c r="X196" i="36"/>
  <c r="X195" i="36"/>
  <c r="Z191" i="36"/>
  <c r="Z187" i="36"/>
  <c r="Z184" i="36"/>
  <c r="Z180" i="36"/>
  <c r="Z177" i="36"/>
  <c r="Z170" i="36"/>
  <c r="X167" i="36"/>
  <c r="Z162" i="36"/>
  <c r="X160" i="36"/>
  <c r="X156" i="36"/>
  <c r="X152" i="36"/>
  <c r="X148" i="36"/>
  <c r="X144" i="36"/>
  <c r="X243" i="36"/>
  <c r="Z239" i="36"/>
  <c r="X236" i="36"/>
  <c r="Z232" i="36"/>
  <c r="X215" i="36"/>
  <c r="Z213" i="36"/>
  <c r="X210" i="36"/>
  <c r="X208" i="36"/>
  <c r="X202" i="36"/>
  <c r="X201" i="36"/>
  <c r="Z200" i="36"/>
  <c r="Z199" i="36"/>
  <c r="X198" i="36"/>
  <c r="X197" i="36"/>
  <c r="X191" i="36"/>
  <c r="Z190" i="36"/>
  <c r="X187" i="36"/>
  <c r="X184" i="36"/>
  <c r="X180" i="36"/>
  <c r="X278" i="36"/>
  <c r="Z231" i="36"/>
  <c r="X228" i="36"/>
  <c r="X219" i="36"/>
  <c r="X211" i="36"/>
  <c r="X203" i="36"/>
  <c r="Z186" i="36"/>
  <c r="X183" i="36"/>
  <c r="X179" i="36"/>
  <c r="Z176" i="36"/>
  <c r="Z171" i="36"/>
  <c r="X168" i="36"/>
  <c r="Z163" i="36"/>
  <c r="Z158" i="36"/>
  <c r="Z154" i="36"/>
  <c r="Z150" i="36"/>
  <c r="Z146" i="36"/>
  <c r="Z142" i="36"/>
  <c r="Z138" i="36"/>
  <c r="X234" i="36"/>
  <c r="Z173" i="36"/>
  <c r="Z165" i="36"/>
  <c r="X164" i="36"/>
  <c r="X159" i="36"/>
  <c r="Z155" i="36"/>
  <c r="X150" i="36"/>
  <c r="X141" i="36"/>
  <c r="X140" i="36"/>
  <c r="Z139" i="36"/>
  <c r="X138" i="36"/>
  <c r="X137" i="36"/>
  <c r="X136" i="36"/>
  <c r="Z135" i="36"/>
  <c r="X131" i="36"/>
  <c r="Z224" i="36"/>
  <c r="X221" i="36"/>
  <c r="X190" i="36"/>
  <c r="Z189" i="36"/>
  <c r="Z183" i="36"/>
  <c r="Z179" i="36"/>
  <c r="X173" i="36"/>
  <c r="X170" i="36"/>
  <c r="Z166" i="36"/>
  <c r="X165" i="36"/>
  <c r="X155" i="36"/>
  <c r="Z151" i="36"/>
  <c r="X146" i="36"/>
  <c r="X139" i="36"/>
  <c r="X135" i="36"/>
  <c r="Z134" i="36"/>
  <c r="Z130" i="36"/>
  <c r="Z126" i="36"/>
  <c r="Z123" i="36"/>
  <c r="Z121" i="36"/>
  <c r="Z119" i="36"/>
  <c r="X114" i="36"/>
  <c r="Z111" i="36"/>
  <c r="Z108" i="36"/>
  <c r="X177" i="36"/>
  <c r="Z174" i="36"/>
  <c r="X166" i="36"/>
  <c r="Z160" i="36"/>
  <c r="Z156" i="36"/>
  <c r="X151" i="36"/>
  <c r="Z147" i="36"/>
  <c r="X142" i="36"/>
  <c r="X134" i="36"/>
  <c r="Z211" i="36"/>
  <c r="Z203" i="36"/>
  <c r="X200" i="36"/>
  <c r="X199" i="36"/>
  <c r="X181" i="36"/>
  <c r="X174" i="36"/>
  <c r="Z167" i="36"/>
  <c r="Z157" i="36"/>
  <c r="Z152" i="36"/>
  <c r="X147" i="36"/>
  <c r="Z143" i="36"/>
  <c r="X226" i="36"/>
  <c r="Z182" i="36"/>
  <c r="X171" i="36"/>
  <c r="X157" i="36"/>
  <c r="Z153" i="36"/>
  <c r="Z148" i="36"/>
  <c r="X143" i="36"/>
  <c r="X217" i="36"/>
  <c r="X182" i="36"/>
  <c r="Z178" i="36"/>
  <c r="Z159" i="36"/>
  <c r="X130" i="36"/>
  <c r="X129" i="36"/>
  <c r="X128" i="36"/>
  <c r="Z127" i="36"/>
  <c r="X126" i="36"/>
  <c r="Z125" i="36"/>
  <c r="Z124" i="36"/>
  <c r="X120" i="36"/>
  <c r="X111" i="36"/>
  <c r="X110" i="36"/>
  <c r="Z109" i="36"/>
  <c r="Z103" i="36"/>
  <c r="X98" i="36"/>
  <c r="X172" i="36"/>
  <c r="Z137" i="36"/>
  <c r="X127" i="36"/>
  <c r="X125" i="36"/>
  <c r="X119" i="36"/>
  <c r="Z118" i="36"/>
  <c r="L118" i="36"/>
  <c r="X109" i="36"/>
  <c r="X108" i="36"/>
  <c r="X103" i="36"/>
  <c r="Z100" i="36"/>
  <c r="Z83" i="36"/>
  <c r="Z79" i="36"/>
  <c r="X69" i="36"/>
  <c r="X68" i="36"/>
  <c r="X67" i="36"/>
  <c r="X66" i="36"/>
  <c r="X65" i="36"/>
  <c r="X64" i="36"/>
  <c r="X63" i="36"/>
  <c r="Z161" i="36"/>
  <c r="Z145" i="36"/>
  <c r="X124" i="36"/>
  <c r="X118" i="36"/>
  <c r="Z117" i="36"/>
  <c r="Z116" i="36"/>
  <c r="Z107" i="36"/>
  <c r="X100" i="36"/>
  <c r="Z97" i="36"/>
  <c r="Z89" i="36"/>
  <c r="X83" i="36"/>
  <c r="X79" i="36"/>
  <c r="X145" i="36"/>
  <c r="Z144" i="36"/>
  <c r="Z136" i="36"/>
  <c r="Z132" i="36"/>
  <c r="Z131" i="36"/>
  <c r="X123" i="36"/>
  <c r="Z122" i="36"/>
  <c r="X117" i="36"/>
  <c r="X116" i="36"/>
  <c r="Z115" i="36"/>
  <c r="X107" i="36"/>
  <c r="Z102" i="36"/>
  <c r="X97" i="36"/>
  <c r="X89" i="36"/>
  <c r="Z88" i="36"/>
  <c r="Z82" i="36"/>
  <c r="Z77" i="36"/>
  <c r="L77" i="36"/>
  <c r="X244" i="36"/>
  <c r="Z204" i="36"/>
  <c r="Z168" i="36"/>
  <c r="X163" i="36"/>
  <c r="X154" i="36"/>
  <c r="X153" i="36"/>
  <c r="Z149" i="36"/>
  <c r="X132" i="36"/>
  <c r="X115" i="36"/>
  <c r="Z106" i="36"/>
  <c r="Z105" i="36"/>
  <c r="X102" i="36"/>
  <c r="Z99" i="36"/>
  <c r="X88" i="36"/>
  <c r="Z87" i="36"/>
  <c r="X82" i="36"/>
  <c r="X186" i="36"/>
  <c r="Z169" i="36"/>
  <c r="X149" i="36"/>
  <c r="Z141" i="36"/>
  <c r="Z133" i="36"/>
  <c r="X122" i="36"/>
  <c r="Z114" i="36"/>
  <c r="Z113" i="36"/>
  <c r="X176" i="36"/>
  <c r="X175" i="36"/>
  <c r="X162" i="36"/>
  <c r="Z140" i="36"/>
  <c r="X133" i="36"/>
  <c r="X121" i="36"/>
  <c r="Z120" i="36"/>
  <c r="X113" i="36"/>
  <c r="Z112" i="36"/>
  <c r="Z104" i="36"/>
  <c r="Z101" i="36"/>
  <c r="Z96" i="36"/>
  <c r="Z95" i="36"/>
  <c r="Z94" i="36"/>
  <c r="Z93" i="36"/>
  <c r="Z92" i="36"/>
  <c r="Z91" i="36"/>
  <c r="X90" i="36"/>
  <c r="X86" i="36"/>
  <c r="X85" i="36"/>
  <c r="X81" i="36"/>
  <c r="X76" i="36"/>
  <c r="X75" i="36"/>
  <c r="X74" i="36"/>
  <c r="X73" i="36"/>
  <c r="X72" i="36"/>
  <c r="X71" i="36"/>
  <c r="X112" i="36"/>
  <c r="Z110" i="36"/>
  <c r="X99" i="36"/>
  <c r="Z81" i="36"/>
  <c r="X78" i="36"/>
  <c r="Z128" i="36"/>
  <c r="X101" i="36"/>
  <c r="Z98" i="36"/>
  <c r="X94" i="36"/>
  <c r="Z90" i="36"/>
  <c r="Z86" i="36"/>
  <c r="Z85" i="36"/>
  <c r="X77" i="36"/>
  <c r="Z75" i="36"/>
  <c r="Z69" i="36"/>
  <c r="Z60" i="36"/>
  <c r="X47" i="36"/>
  <c r="X46" i="36"/>
  <c r="Z41" i="36"/>
  <c r="X40" i="36"/>
  <c r="X39" i="36"/>
  <c r="X38" i="36"/>
  <c r="X37" i="36"/>
  <c r="X36" i="36"/>
  <c r="X35" i="36"/>
  <c r="Z33" i="36"/>
  <c r="Z25" i="36"/>
  <c r="X15" i="36"/>
  <c r="X158" i="36"/>
  <c r="Z129" i="36"/>
  <c r="X104" i="36"/>
  <c r="X93" i="36"/>
  <c r="X84" i="36"/>
  <c r="X80" i="36"/>
  <c r="Z76" i="36"/>
  <c r="Z72" i="36"/>
  <c r="Z70" i="36"/>
  <c r="Z67" i="36"/>
  <c r="Z66" i="36"/>
  <c r="Z65" i="36"/>
  <c r="Z64" i="36"/>
  <c r="Z63" i="36"/>
  <c r="X87" i="36"/>
  <c r="X70" i="36"/>
  <c r="Z58" i="36"/>
  <c r="Z57" i="36"/>
  <c r="Z56" i="36"/>
  <c r="Z55" i="36"/>
  <c r="X54" i="36"/>
  <c r="Z26" i="36"/>
  <c r="X23" i="36"/>
  <c r="X106" i="36"/>
  <c r="X96" i="36"/>
  <c r="Z84" i="36"/>
  <c r="X62" i="36"/>
  <c r="Z59" i="36"/>
  <c r="X56" i="36"/>
  <c r="X52" i="36"/>
  <c r="X45" i="36"/>
  <c r="X43" i="36"/>
  <c r="Z35" i="36"/>
  <c r="X91" i="36"/>
  <c r="Z74" i="36"/>
  <c r="Z73" i="36"/>
  <c r="X60" i="36"/>
  <c r="X59" i="36"/>
  <c r="Z51" i="36"/>
  <c r="Z48" i="36"/>
  <c r="Z47" i="36"/>
  <c r="Z40" i="36"/>
  <c r="Z32" i="36"/>
  <c r="Z31" i="36"/>
  <c r="Z18" i="36"/>
  <c r="Z13" i="36"/>
  <c r="Z11" i="36"/>
  <c r="Z10" i="36"/>
  <c r="Z9" i="36"/>
  <c r="X7" i="36"/>
  <c r="X92" i="36"/>
  <c r="Z68" i="36"/>
  <c r="Z61" i="36"/>
  <c r="X58" i="36"/>
  <c r="X51" i="36"/>
  <c r="X48" i="36"/>
  <c r="Z37" i="36"/>
  <c r="X32" i="36"/>
  <c r="X31" i="36"/>
  <c r="Z22" i="36"/>
  <c r="X18" i="36"/>
  <c r="Z15" i="36"/>
  <c r="X13" i="36"/>
  <c r="X11" i="36"/>
  <c r="X10" i="36"/>
  <c r="X9" i="36"/>
  <c r="V5" i="36"/>
  <c r="Z30" i="36"/>
  <c r="Z21" i="36"/>
  <c r="Z17" i="36"/>
  <c r="Z8" i="36"/>
  <c r="Z78" i="36"/>
  <c r="X61" i="36"/>
  <c r="Z50" i="36"/>
  <c r="Z44" i="36"/>
  <c r="Z42" i="36"/>
  <c r="X22" i="36"/>
  <c r="Z71" i="36"/>
  <c r="X55" i="36"/>
  <c r="X50" i="36"/>
  <c r="Z46" i="36"/>
  <c r="X44" i="36"/>
  <c r="X42" i="36"/>
  <c r="Z39" i="36"/>
  <c r="Z34" i="36"/>
  <c r="X30" i="36"/>
  <c r="Z29" i="36"/>
  <c r="Z28" i="36"/>
  <c r="X21" i="36"/>
  <c r="X17" i="36"/>
  <c r="Z80" i="36"/>
  <c r="X57" i="36"/>
  <c r="Z53" i="36"/>
  <c r="Z49" i="36"/>
  <c r="Z36" i="36"/>
  <c r="X34" i="36"/>
  <c r="X29" i="36"/>
  <c r="X28" i="36"/>
  <c r="Z20" i="36"/>
  <c r="Z16" i="36"/>
  <c r="Z14" i="36"/>
  <c r="Z12" i="36"/>
  <c r="X53" i="36"/>
  <c r="X49" i="36"/>
  <c r="Z27" i="36"/>
  <c r="Z24" i="36"/>
  <c r="X20" i="36"/>
  <c r="X16" i="36"/>
  <c r="X14" i="36"/>
  <c r="X12" i="36"/>
  <c r="Z54" i="36"/>
  <c r="Z45" i="36"/>
  <c r="Z19" i="36"/>
  <c r="Z7" i="36"/>
  <c r="Z43" i="36"/>
  <c r="X33" i="36"/>
  <c r="Z23" i="36"/>
  <c r="X105" i="36"/>
  <c r="X25" i="36"/>
  <c r="X19" i="36"/>
  <c r="X27" i="36"/>
  <c r="X8" i="36"/>
  <c r="Z52" i="36"/>
  <c r="X26" i="36"/>
  <c r="X24" i="36"/>
  <c r="Z62" i="36"/>
  <c r="X95" i="36"/>
  <c r="X41" i="36"/>
  <c r="Z38" i="36"/>
  <c r="AF5" i="36"/>
  <c r="W313" i="38" l="1"/>
  <c r="W92" i="38"/>
  <c r="W85" i="38"/>
  <c r="W27" i="38"/>
  <c r="W480" i="38"/>
  <c r="W468" i="38"/>
  <c r="W451" i="38"/>
  <c r="W414" i="38"/>
  <c r="W387" i="38"/>
  <c r="W380" i="38"/>
  <c r="W364" i="38"/>
  <c r="W163" i="38"/>
  <c r="W148" i="38"/>
  <c r="T551" i="38"/>
  <c r="H552" i="38"/>
  <c r="U550" i="38"/>
  <c r="V550" i="38"/>
  <c r="AH550" i="38"/>
  <c r="AI550" i="38"/>
  <c r="U537" i="38"/>
  <c r="V537" i="38"/>
  <c r="AH537" i="38"/>
  <c r="AI537" i="38"/>
  <c r="T538" i="38"/>
  <c r="H539" i="38"/>
  <c r="U521" i="38"/>
  <c r="V521" i="38"/>
  <c r="AH521" i="38"/>
  <c r="AI521" i="38"/>
  <c r="H523" i="38"/>
  <c r="T522" i="38"/>
  <c r="U505" i="38"/>
  <c r="V505" i="38"/>
  <c r="AH505" i="38"/>
  <c r="AI505" i="38"/>
  <c r="H507" i="38"/>
  <c r="T506" i="38"/>
  <c r="T497" i="38"/>
  <c r="H498" i="38"/>
  <c r="U496" i="38"/>
  <c r="AH496" i="38"/>
  <c r="V496" i="38"/>
  <c r="AI496" i="38"/>
  <c r="V481" i="38"/>
  <c r="AH481" i="38"/>
  <c r="U481" i="38"/>
  <c r="W481" i="38" s="1"/>
  <c r="AI481" i="38"/>
  <c r="T482" i="38"/>
  <c r="H483" i="38"/>
  <c r="U469" i="38"/>
  <c r="W469" i="38" s="1"/>
  <c r="V469" i="38"/>
  <c r="AH469" i="38"/>
  <c r="AI469" i="38"/>
  <c r="T470" i="38"/>
  <c r="H471" i="38"/>
  <c r="H460" i="38"/>
  <c r="T459" i="38"/>
  <c r="U458" i="38"/>
  <c r="AH458" i="38"/>
  <c r="V458" i="38"/>
  <c r="AI458" i="38"/>
  <c r="H440" i="38"/>
  <c r="T439" i="38"/>
  <c r="V438" i="38"/>
  <c r="U438" i="38"/>
  <c r="W438" i="38" s="1"/>
  <c r="AH438" i="38"/>
  <c r="AI438" i="38"/>
  <c r="U426" i="38"/>
  <c r="V426" i="38"/>
  <c r="AH426" i="38"/>
  <c r="AI426" i="38"/>
  <c r="T427" i="38"/>
  <c r="H428" i="38"/>
  <c r="T416" i="38"/>
  <c r="H417" i="38"/>
  <c r="V415" i="38"/>
  <c r="AH415" i="38"/>
  <c r="U415" i="38"/>
  <c r="W415" i="38" s="1"/>
  <c r="AI415" i="38"/>
  <c r="U402" i="38"/>
  <c r="AH402" i="38"/>
  <c r="V402" i="38"/>
  <c r="AI402" i="38"/>
  <c r="T403" i="38"/>
  <c r="H404" i="38"/>
  <c r="U395" i="38"/>
  <c r="W395" i="38" s="1"/>
  <c r="AH395" i="38"/>
  <c r="V395" i="38"/>
  <c r="AI395" i="38"/>
  <c r="AH396" i="38"/>
  <c r="U396" i="38"/>
  <c r="W396" i="38" s="1"/>
  <c r="V396" i="38"/>
  <c r="AI396" i="38"/>
  <c r="U388" i="38"/>
  <c r="V388" i="38"/>
  <c r="AH388" i="38"/>
  <c r="AI388" i="38"/>
  <c r="V389" i="38"/>
  <c r="U389" i="38"/>
  <c r="AH389" i="38"/>
  <c r="AI389" i="38"/>
  <c r="V382" i="38"/>
  <c r="U382" i="38"/>
  <c r="W382" i="38" s="1"/>
  <c r="AH382" i="38"/>
  <c r="AI382" i="38"/>
  <c r="AH381" i="38"/>
  <c r="V381" i="38"/>
  <c r="U381" i="38"/>
  <c r="W381" i="38" s="1"/>
  <c r="AI381" i="38"/>
  <c r="T366" i="38"/>
  <c r="H367" i="38"/>
  <c r="V365" i="38"/>
  <c r="AH365" i="38"/>
  <c r="U365" i="38"/>
  <c r="W365" i="38" s="1"/>
  <c r="AI365" i="38"/>
  <c r="U352" i="38"/>
  <c r="AH352" i="38"/>
  <c r="V352" i="38"/>
  <c r="AI352" i="38"/>
  <c r="T353" i="38"/>
  <c r="H354" i="38"/>
  <c r="U314" i="38"/>
  <c r="AH314" i="38"/>
  <c r="V314" i="38"/>
  <c r="AI314" i="38"/>
  <c r="T315" i="38"/>
  <c r="H316" i="38"/>
  <c r="H307" i="38"/>
  <c r="T306" i="38"/>
  <c r="U305" i="38"/>
  <c r="V305" i="38"/>
  <c r="AH305" i="38"/>
  <c r="AI305" i="38"/>
  <c r="W258" i="38"/>
  <c r="Q259" i="38"/>
  <c r="Q251" i="38"/>
  <c r="W251" i="38" s="1"/>
  <c r="W250" i="38"/>
  <c r="V188" i="38"/>
  <c r="U188" i="38"/>
  <c r="W188" i="38" s="1"/>
  <c r="AH188" i="38"/>
  <c r="AI188" i="38"/>
  <c r="T189" i="38"/>
  <c r="AI189" i="38" s="1"/>
  <c r="H190" i="38"/>
  <c r="V178" i="38"/>
  <c r="U178" i="38"/>
  <c r="W178" i="38" s="1"/>
  <c r="AH178" i="38"/>
  <c r="AI178" i="38"/>
  <c r="T179" i="38"/>
  <c r="H180" i="38"/>
  <c r="V164" i="38"/>
  <c r="U164" i="38"/>
  <c r="W164" i="38" s="1"/>
  <c r="AH164" i="38"/>
  <c r="AI164" i="38"/>
  <c r="T165" i="38"/>
  <c r="H166" i="38"/>
  <c r="U149" i="38"/>
  <c r="V149" i="38"/>
  <c r="AH149" i="38"/>
  <c r="AI149" i="38"/>
  <c r="T150" i="38"/>
  <c r="H151" i="38"/>
  <c r="AH125" i="38"/>
  <c r="U125" i="38"/>
  <c r="W125" i="38" s="1"/>
  <c r="V125" i="38"/>
  <c r="AI125" i="38"/>
  <c r="T126" i="38"/>
  <c r="H127" i="38"/>
  <c r="AH116" i="38"/>
  <c r="V116" i="38"/>
  <c r="U116" i="38"/>
  <c r="W116" i="38" s="1"/>
  <c r="AI116" i="38"/>
  <c r="T117" i="38"/>
  <c r="H118" i="38"/>
  <c r="V107" i="38"/>
  <c r="U107" i="38"/>
  <c r="W107" i="38" s="1"/>
  <c r="AH107" i="38"/>
  <c r="AI107" i="38"/>
  <c r="T108" i="38"/>
  <c r="H109" i="38"/>
  <c r="U78" i="38"/>
  <c r="V78" i="38"/>
  <c r="AH78" i="38"/>
  <c r="AI78" i="38"/>
  <c r="T79" i="38"/>
  <c r="AI79" i="38" s="1"/>
  <c r="H80" i="38"/>
  <c r="T80" i="38" s="1"/>
  <c r="AI80" i="38" s="1"/>
  <c r="Q39" i="38"/>
  <c r="AH37" i="38"/>
  <c r="V37" i="38"/>
  <c r="U37" i="38"/>
  <c r="W37" i="38" s="1"/>
  <c r="AI37" i="38"/>
  <c r="T38" i="38"/>
  <c r="H39" i="38"/>
  <c r="AH28" i="38"/>
  <c r="V28" i="38"/>
  <c r="U28" i="38"/>
  <c r="W28" i="38" s="1"/>
  <c r="AI28" i="38"/>
  <c r="T29" i="38"/>
  <c r="AI29" i="38" s="1"/>
  <c r="H30" i="38"/>
  <c r="W11" i="38"/>
  <c r="V12" i="38"/>
  <c r="U12" i="38"/>
  <c r="AH12" i="38"/>
  <c r="AI12" i="38"/>
  <c r="T13" i="38"/>
  <c r="H14" i="38"/>
  <c r="D14" i="38"/>
  <c r="C14" i="38"/>
  <c r="T343" i="36"/>
  <c r="AH343" i="36" s="1"/>
  <c r="H344" i="36"/>
  <c r="T176" i="36"/>
  <c r="AH176" i="36" s="1"/>
  <c r="H177" i="36"/>
  <c r="T146" i="36"/>
  <c r="AH146" i="36" s="1"/>
  <c r="H147" i="36"/>
  <c r="V22" i="36"/>
  <c r="U22" i="36"/>
  <c r="AG22" i="36"/>
  <c r="V58" i="36"/>
  <c r="U58" i="36"/>
  <c r="AG58" i="36"/>
  <c r="AG40" i="36"/>
  <c r="U40" i="36"/>
  <c r="V40" i="36"/>
  <c r="U75" i="36"/>
  <c r="V75" i="36"/>
  <c r="AG75" i="36"/>
  <c r="V176" i="36"/>
  <c r="U176" i="36"/>
  <c r="AG176" i="36"/>
  <c r="AG115" i="36"/>
  <c r="U115" i="36"/>
  <c r="V115" i="36"/>
  <c r="AG128" i="36"/>
  <c r="U128" i="36"/>
  <c r="V128" i="36"/>
  <c r="AG200" i="36"/>
  <c r="V200" i="36"/>
  <c r="U200" i="36"/>
  <c r="V250" i="36"/>
  <c r="AG250" i="36"/>
  <c r="U250" i="36"/>
  <c r="V216" i="36"/>
  <c r="AG216" i="36"/>
  <c r="U216" i="36"/>
  <c r="V251" i="36"/>
  <c r="U251" i="36"/>
  <c r="AG251" i="36"/>
  <c r="V326" i="36"/>
  <c r="AG326" i="36"/>
  <c r="U326" i="36"/>
  <c r="V328" i="36"/>
  <c r="AG328" i="36"/>
  <c r="U328" i="36"/>
  <c r="V274" i="36"/>
  <c r="AG274" i="36"/>
  <c r="U274" i="36"/>
  <c r="AG307" i="36"/>
  <c r="U307" i="36"/>
  <c r="V307" i="36"/>
  <c r="V329" i="36"/>
  <c r="AG329" i="36"/>
  <c r="U329" i="36"/>
  <c r="U368" i="36"/>
  <c r="AG368" i="36"/>
  <c r="V368" i="36"/>
  <c r="V314" i="36"/>
  <c r="U314" i="36"/>
  <c r="AG314" i="36"/>
  <c r="AG352" i="36"/>
  <c r="U352" i="36"/>
  <c r="V352" i="36"/>
  <c r="AG353" i="36"/>
  <c r="V353" i="36"/>
  <c r="U353" i="36"/>
  <c r="U370" i="36"/>
  <c r="AG370" i="36"/>
  <c r="V370" i="36"/>
  <c r="V405" i="36"/>
  <c r="AG405" i="36"/>
  <c r="U405" i="36"/>
  <c r="H89" i="36"/>
  <c r="T89" i="36" s="1"/>
  <c r="AH89" i="36" s="1"/>
  <c r="T88" i="36"/>
  <c r="AH88" i="36" s="1"/>
  <c r="AG37" i="36"/>
  <c r="U37" i="36"/>
  <c r="V37" i="36"/>
  <c r="U72" i="36"/>
  <c r="AG72" i="36"/>
  <c r="V72" i="36"/>
  <c r="V123" i="36"/>
  <c r="AG123" i="36"/>
  <c r="U123" i="36"/>
  <c r="AG118" i="36"/>
  <c r="U118" i="36"/>
  <c r="V118" i="36"/>
  <c r="AG182" i="36"/>
  <c r="U182" i="36"/>
  <c r="V182" i="36"/>
  <c r="V174" i="36"/>
  <c r="U174" i="36"/>
  <c r="AG174" i="36"/>
  <c r="AG201" i="36"/>
  <c r="V201" i="36"/>
  <c r="U201" i="36"/>
  <c r="U237" i="36"/>
  <c r="AG237" i="36"/>
  <c r="V237" i="36"/>
  <c r="AG286" i="36"/>
  <c r="V286" i="36"/>
  <c r="U286" i="36"/>
  <c r="AG297" i="36"/>
  <c r="U297" i="36"/>
  <c r="V297" i="36"/>
  <c r="AG310" i="36"/>
  <c r="U310" i="36"/>
  <c r="V310" i="36"/>
  <c r="AG358" i="36"/>
  <c r="U358" i="36"/>
  <c r="V358" i="36"/>
  <c r="V318" i="36"/>
  <c r="U318" i="36"/>
  <c r="AG318" i="36"/>
  <c r="AG276" i="36"/>
  <c r="V276" i="36"/>
  <c r="U276" i="36"/>
  <c r="AG305" i="36"/>
  <c r="V305" i="36"/>
  <c r="U305" i="36"/>
  <c r="W305" i="36" s="1"/>
  <c r="V320" i="36"/>
  <c r="U320" i="36"/>
  <c r="AG320" i="36"/>
  <c r="V293" i="36"/>
  <c r="AG293" i="36"/>
  <c r="U293" i="36"/>
  <c r="V309" i="36"/>
  <c r="U309" i="36"/>
  <c r="W309" i="36" s="1"/>
  <c r="AG309" i="36"/>
  <c r="U349" i="36"/>
  <c r="AG349" i="36"/>
  <c r="V349" i="36"/>
  <c r="V341" i="36"/>
  <c r="U341" i="36"/>
  <c r="AG341" i="36"/>
  <c r="U363" i="36"/>
  <c r="W363" i="36" s="1"/>
  <c r="AG363" i="36"/>
  <c r="V363" i="36"/>
  <c r="AG383" i="36"/>
  <c r="V383" i="36"/>
  <c r="U383" i="36"/>
  <c r="AG384" i="36"/>
  <c r="V384" i="36"/>
  <c r="U384" i="36"/>
  <c r="W384" i="36" s="1"/>
  <c r="U402" i="36"/>
  <c r="V402" i="36"/>
  <c r="AG392" i="36"/>
  <c r="U392" i="36"/>
  <c r="V392" i="36"/>
  <c r="V401" i="36"/>
  <c r="AG401" i="36"/>
  <c r="AH401" i="36" s="1"/>
  <c r="U401" i="36"/>
  <c r="Q22" i="36"/>
  <c r="W22" i="36" s="1"/>
  <c r="T129" i="36"/>
  <c r="AH129" i="36" s="1"/>
  <c r="H130" i="36"/>
  <c r="V33" i="36"/>
  <c r="U33" i="36"/>
  <c r="AG33" i="36"/>
  <c r="V55" i="36"/>
  <c r="AG55" i="36"/>
  <c r="U55" i="36"/>
  <c r="AG48" i="36"/>
  <c r="U48" i="36"/>
  <c r="V48" i="36"/>
  <c r="AG106" i="36"/>
  <c r="V106" i="36"/>
  <c r="U106" i="36"/>
  <c r="AG70" i="36"/>
  <c r="V70" i="36"/>
  <c r="U70" i="36"/>
  <c r="AG38" i="36"/>
  <c r="U38" i="36"/>
  <c r="V38" i="36"/>
  <c r="U73" i="36"/>
  <c r="V73" i="36"/>
  <c r="AG73" i="36"/>
  <c r="AG90" i="36"/>
  <c r="U90" i="36"/>
  <c r="V90" i="36"/>
  <c r="V162" i="36"/>
  <c r="U162" i="36"/>
  <c r="AG162" i="36"/>
  <c r="AG97" i="36"/>
  <c r="U97" i="36"/>
  <c r="V97" i="36"/>
  <c r="AG124" i="36"/>
  <c r="V124" i="36"/>
  <c r="U124" i="36"/>
  <c r="AG68" i="36"/>
  <c r="V68" i="36"/>
  <c r="U68" i="36"/>
  <c r="V98" i="36"/>
  <c r="AG98" i="36"/>
  <c r="U98" i="36"/>
  <c r="V126" i="36"/>
  <c r="U126" i="36"/>
  <c r="AG126" i="36"/>
  <c r="AG226" i="36"/>
  <c r="V226" i="36"/>
  <c r="U226" i="36"/>
  <c r="V181" i="36"/>
  <c r="U181" i="36"/>
  <c r="AG181" i="36"/>
  <c r="V151" i="36"/>
  <c r="U151" i="36"/>
  <c r="AG151" i="36"/>
  <c r="V234" i="36"/>
  <c r="U234" i="36"/>
  <c r="AG234" i="36"/>
  <c r="V202" i="36"/>
  <c r="AG202" i="36"/>
  <c r="U202" i="36"/>
  <c r="AG243" i="36"/>
  <c r="V243" i="36"/>
  <c r="U243" i="36"/>
  <c r="AG225" i="36"/>
  <c r="U225" i="36"/>
  <c r="W225" i="36" s="1"/>
  <c r="V225" i="36"/>
  <c r="V223" i="36"/>
  <c r="U223" i="36"/>
  <c r="AG223" i="36"/>
  <c r="AG245" i="36"/>
  <c r="U245" i="36"/>
  <c r="V245" i="36"/>
  <c r="AG213" i="36"/>
  <c r="U213" i="36"/>
  <c r="V213" i="36"/>
  <c r="V287" i="36"/>
  <c r="U287" i="36"/>
  <c r="AG287" i="36"/>
  <c r="V240" i="36"/>
  <c r="U240" i="36"/>
  <c r="AG240" i="36"/>
  <c r="AG252" i="36"/>
  <c r="V252" i="36"/>
  <c r="U252" i="36"/>
  <c r="V302" i="36"/>
  <c r="AG302" i="36"/>
  <c r="U302" i="36"/>
  <c r="V359" i="36"/>
  <c r="U359" i="36"/>
  <c r="AG359" i="36"/>
  <c r="U311" i="36"/>
  <c r="AG311" i="36"/>
  <c r="V311" i="36"/>
  <c r="V321" i="36"/>
  <c r="U321" i="36"/>
  <c r="AG321" i="36"/>
  <c r="V266" i="36"/>
  <c r="AG266" i="36"/>
  <c r="U266" i="36"/>
  <c r="AG315" i="36"/>
  <c r="U315" i="36"/>
  <c r="V315" i="36"/>
  <c r="AG350" i="36"/>
  <c r="U350" i="36"/>
  <c r="V350" i="36"/>
  <c r="U366" i="36"/>
  <c r="AG366" i="36"/>
  <c r="V366" i="36"/>
  <c r="V306" i="36"/>
  <c r="AG306" i="36"/>
  <c r="U306" i="36"/>
  <c r="AG342" i="36"/>
  <c r="U342" i="36"/>
  <c r="V342" i="36"/>
  <c r="AG387" i="36"/>
  <c r="V387" i="36"/>
  <c r="U387" i="36"/>
  <c r="V416" i="36"/>
  <c r="AG416" i="36"/>
  <c r="U416" i="36"/>
  <c r="H157" i="36"/>
  <c r="T156" i="36"/>
  <c r="AH156" i="36" s="1"/>
  <c r="T379" i="36"/>
  <c r="AH379" i="36" s="1"/>
  <c r="H380" i="36"/>
  <c r="T380" i="36" s="1"/>
  <c r="AH380" i="36" s="1"/>
  <c r="AG10" i="36"/>
  <c r="U10" i="36"/>
  <c r="V10" i="36"/>
  <c r="U89" i="36"/>
  <c r="AG89" i="36"/>
  <c r="V89" i="36"/>
  <c r="V83" i="36"/>
  <c r="U83" i="36"/>
  <c r="AG83" i="36"/>
  <c r="U172" i="36"/>
  <c r="AG172" i="36"/>
  <c r="V172" i="36"/>
  <c r="U187" i="36"/>
  <c r="AG187" i="36"/>
  <c r="V187" i="36"/>
  <c r="V8" i="36"/>
  <c r="AG8" i="36"/>
  <c r="U8" i="36"/>
  <c r="W8" i="36" s="1"/>
  <c r="V30" i="36"/>
  <c r="U30" i="36"/>
  <c r="AG30" i="36"/>
  <c r="AG51" i="36"/>
  <c r="V51" i="36"/>
  <c r="U51" i="36"/>
  <c r="V23" i="36"/>
  <c r="U23" i="36"/>
  <c r="AG23" i="36"/>
  <c r="AG39" i="36"/>
  <c r="U39" i="36"/>
  <c r="V39" i="36"/>
  <c r="V77" i="36"/>
  <c r="U77" i="36"/>
  <c r="AG77" i="36"/>
  <c r="V78" i="36"/>
  <c r="U78" i="36"/>
  <c r="AG78" i="36"/>
  <c r="AG175" i="36"/>
  <c r="U175" i="36"/>
  <c r="V175" i="36"/>
  <c r="AG69" i="36"/>
  <c r="V69" i="36"/>
  <c r="U69" i="36"/>
  <c r="AG143" i="36"/>
  <c r="V143" i="36"/>
  <c r="U143" i="36"/>
  <c r="W143" i="36" s="1"/>
  <c r="AG199" i="36"/>
  <c r="V199" i="36"/>
  <c r="U199" i="36"/>
  <c r="U114" i="36"/>
  <c r="AG114" i="36"/>
  <c r="V114" i="36"/>
  <c r="V135" i="36"/>
  <c r="U135" i="36"/>
  <c r="W135" i="36" s="1"/>
  <c r="AG135" i="36"/>
  <c r="AG144" i="36"/>
  <c r="U144" i="36"/>
  <c r="V144" i="36"/>
  <c r="V185" i="36"/>
  <c r="U185" i="36"/>
  <c r="AG185" i="36"/>
  <c r="V247" i="36"/>
  <c r="AG247" i="36"/>
  <c r="U247" i="36"/>
  <c r="AG224" i="36"/>
  <c r="U224" i="36"/>
  <c r="V224" i="36"/>
  <c r="V235" i="36"/>
  <c r="AG235" i="36"/>
  <c r="U235" i="36"/>
  <c r="V214" i="36"/>
  <c r="AG214" i="36"/>
  <c r="U214" i="36"/>
  <c r="V239" i="36"/>
  <c r="U239" i="36"/>
  <c r="AG239" i="36"/>
  <c r="AG283" i="36"/>
  <c r="U283" i="36"/>
  <c r="V283" i="36"/>
  <c r="V264" i="36"/>
  <c r="AG264" i="36"/>
  <c r="U264" i="36"/>
  <c r="AG275" i="36"/>
  <c r="U275" i="36"/>
  <c r="V275" i="36"/>
  <c r="V257" i="36"/>
  <c r="U257" i="36"/>
  <c r="AG257" i="36"/>
  <c r="AG289" i="36"/>
  <c r="V289" i="36"/>
  <c r="U289" i="36"/>
  <c r="AG325" i="36"/>
  <c r="U325" i="36"/>
  <c r="V325" i="36"/>
  <c r="V284" i="36"/>
  <c r="AG284" i="36"/>
  <c r="U284" i="36"/>
  <c r="W284" i="36" s="1"/>
  <c r="V312" i="36"/>
  <c r="AG312" i="36"/>
  <c r="U312" i="36"/>
  <c r="V298" i="36"/>
  <c r="AG298" i="36"/>
  <c r="U298" i="36"/>
  <c r="V301" i="36"/>
  <c r="AG301" i="36"/>
  <c r="U301" i="36"/>
  <c r="V327" i="36"/>
  <c r="U327" i="36"/>
  <c r="AG327" i="36"/>
  <c r="V324" i="36"/>
  <c r="U324" i="36"/>
  <c r="AG324" i="36"/>
  <c r="U367" i="36"/>
  <c r="AG367" i="36"/>
  <c r="V367" i="36"/>
  <c r="V336" i="36"/>
  <c r="AG336" i="36"/>
  <c r="U336" i="36"/>
  <c r="V351" i="36"/>
  <c r="U351" i="36"/>
  <c r="AG351" i="36"/>
  <c r="AG375" i="36"/>
  <c r="V375" i="36"/>
  <c r="U375" i="36"/>
  <c r="AG378" i="36"/>
  <c r="V378" i="36"/>
  <c r="U378" i="36"/>
  <c r="V374" i="36"/>
  <c r="AG374" i="36"/>
  <c r="U374" i="36"/>
  <c r="V417" i="36"/>
  <c r="AG417" i="36"/>
  <c r="U417" i="36"/>
  <c r="V403" i="36"/>
  <c r="AG403" i="36"/>
  <c r="U403" i="36"/>
  <c r="V418" i="36"/>
  <c r="AG418" i="36"/>
  <c r="U418" i="36"/>
  <c r="H139" i="36"/>
  <c r="T138" i="36"/>
  <c r="AH138" i="36" s="1"/>
  <c r="H207" i="36"/>
  <c r="T206" i="36"/>
  <c r="AH206" i="36" s="1"/>
  <c r="H12" i="36"/>
  <c r="T11" i="36"/>
  <c r="AH11" i="36" s="1"/>
  <c r="H355" i="36"/>
  <c r="T354" i="36"/>
  <c r="AH354" i="36" s="1"/>
  <c r="T74" i="36"/>
  <c r="AH74" i="36" s="1"/>
  <c r="H75" i="36"/>
  <c r="T26" i="36"/>
  <c r="AH26" i="36" s="1"/>
  <c r="H27" i="36"/>
  <c r="AG95" i="36"/>
  <c r="V95" i="36"/>
  <c r="U95" i="36"/>
  <c r="V60" i="36"/>
  <c r="U60" i="36"/>
  <c r="AG60" i="36"/>
  <c r="V56" i="36"/>
  <c r="U56" i="36"/>
  <c r="AG56" i="36"/>
  <c r="V54" i="36"/>
  <c r="U54" i="36"/>
  <c r="AG54" i="36"/>
  <c r="V80" i="36"/>
  <c r="AG80" i="36"/>
  <c r="U80" i="36"/>
  <c r="AG99" i="36"/>
  <c r="U99" i="36"/>
  <c r="V99" i="36"/>
  <c r="U76" i="36"/>
  <c r="AG76" i="36"/>
  <c r="V76" i="36"/>
  <c r="V113" i="36"/>
  <c r="U113" i="36"/>
  <c r="AG113" i="36"/>
  <c r="V82" i="36"/>
  <c r="U82" i="36"/>
  <c r="AG82" i="36"/>
  <c r="V132" i="36"/>
  <c r="AG132" i="36"/>
  <c r="U132" i="36"/>
  <c r="V100" i="36"/>
  <c r="U100" i="36"/>
  <c r="AG100" i="36"/>
  <c r="U63" i="36"/>
  <c r="AG63" i="36"/>
  <c r="V63" i="36"/>
  <c r="V119" i="36"/>
  <c r="AG119" i="36"/>
  <c r="U119" i="36"/>
  <c r="V110" i="36"/>
  <c r="U110" i="36"/>
  <c r="AG110" i="36"/>
  <c r="V129" i="36"/>
  <c r="U129" i="36"/>
  <c r="AG129" i="36"/>
  <c r="AG173" i="36"/>
  <c r="U173" i="36"/>
  <c r="V173" i="36"/>
  <c r="AG179" i="36"/>
  <c r="U179" i="36"/>
  <c r="V179" i="36"/>
  <c r="AG152" i="36"/>
  <c r="U152" i="36"/>
  <c r="V152" i="36"/>
  <c r="AG262" i="36"/>
  <c r="V262" i="36"/>
  <c r="U262" i="36"/>
  <c r="V246" i="36"/>
  <c r="U246" i="36"/>
  <c r="AG246" i="36"/>
  <c r="V238" i="36"/>
  <c r="U238" i="36"/>
  <c r="AG238" i="36"/>
  <c r="V272" i="36"/>
  <c r="U272" i="36"/>
  <c r="AG272" i="36"/>
  <c r="AG267" i="36"/>
  <c r="U267" i="36"/>
  <c r="V267" i="36"/>
  <c r="AG261" i="36"/>
  <c r="U261" i="36"/>
  <c r="V261" i="36"/>
  <c r="V279" i="36"/>
  <c r="AG279" i="36"/>
  <c r="U279" i="36"/>
  <c r="AG270" i="36"/>
  <c r="U270" i="36"/>
  <c r="V270" i="36"/>
  <c r="V316" i="36"/>
  <c r="U316" i="36"/>
  <c r="AG316" i="36"/>
  <c r="AG265" i="36"/>
  <c r="V265" i="36"/>
  <c r="U265" i="36"/>
  <c r="AG300" i="36"/>
  <c r="V300" i="36"/>
  <c r="U300" i="36"/>
  <c r="V260" i="36"/>
  <c r="U260" i="36"/>
  <c r="AG260" i="36"/>
  <c r="V292" i="36"/>
  <c r="U292" i="36"/>
  <c r="AG292" i="36"/>
  <c r="V330" i="36"/>
  <c r="U330" i="36"/>
  <c r="AG330" i="36"/>
  <c r="V296" i="36"/>
  <c r="AG296" i="36"/>
  <c r="U296" i="36"/>
  <c r="AG332" i="36"/>
  <c r="U332" i="36"/>
  <c r="V332" i="36"/>
  <c r="V365" i="36"/>
  <c r="U365" i="36"/>
  <c r="AG365" i="36"/>
  <c r="V331" i="36"/>
  <c r="AG331" i="36"/>
  <c r="U331" i="36"/>
  <c r="V377" i="36"/>
  <c r="U377" i="36"/>
  <c r="AG377" i="36"/>
  <c r="U371" i="36"/>
  <c r="AG371" i="36"/>
  <c r="V371" i="36"/>
  <c r="V379" i="36"/>
  <c r="U379" i="36"/>
  <c r="AG379" i="36"/>
  <c r="V380" i="36"/>
  <c r="U380" i="36"/>
  <c r="AG380" i="36"/>
  <c r="AG381" i="36"/>
  <c r="U381" i="36"/>
  <c r="V381" i="36"/>
  <c r="T107" i="36"/>
  <c r="AH107" i="36" s="1"/>
  <c r="H108" i="36"/>
  <c r="T57" i="36"/>
  <c r="AH57" i="36" s="1"/>
  <c r="H58" i="36"/>
  <c r="T165" i="36"/>
  <c r="AH165" i="36" s="1"/>
  <c r="H166" i="36"/>
  <c r="V41" i="36"/>
  <c r="U41" i="36"/>
  <c r="AG41" i="36"/>
  <c r="U57" i="36"/>
  <c r="AG57" i="36"/>
  <c r="V59" i="36"/>
  <c r="U59" i="36"/>
  <c r="AG59" i="36"/>
  <c r="AG87" i="36"/>
  <c r="V87" i="36"/>
  <c r="U87" i="36"/>
  <c r="V186" i="36"/>
  <c r="AG186" i="36"/>
  <c r="U186" i="36"/>
  <c r="AG269" i="36"/>
  <c r="U269" i="36"/>
  <c r="V269" i="36"/>
  <c r="AA62" i="36"/>
  <c r="AA63" i="36" s="1"/>
  <c r="AA64" i="36" s="1"/>
  <c r="AA65" i="36" s="1"/>
  <c r="AA66" i="36" s="1"/>
  <c r="AA67" i="36" s="1"/>
  <c r="AA68" i="36" s="1"/>
  <c r="AA69" i="36" s="1"/>
  <c r="AB62" i="36"/>
  <c r="AB63" i="36" s="1"/>
  <c r="AB64" i="36" s="1"/>
  <c r="AB65" i="36" s="1"/>
  <c r="AB66" i="36" s="1"/>
  <c r="AB67" i="36" s="1"/>
  <c r="AB68" i="36" s="1"/>
  <c r="AB69" i="36" s="1"/>
  <c r="V25" i="36"/>
  <c r="U25" i="36"/>
  <c r="AG25" i="36"/>
  <c r="V42" i="36"/>
  <c r="U42" i="36"/>
  <c r="AG42" i="36"/>
  <c r="V84" i="36"/>
  <c r="AG84" i="36"/>
  <c r="U84" i="36"/>
  <c r="AG81" i="36"/>
  <c r="U81" i="36"/>
  <c r="V81" i="36"/>
  <c r="U116" i="36"/>
  <c r="V145" i="36"/>
  <c r="U145" i="36"/>
  <c r="AG145" i="36"/>
  <c r="V64" i="36"/>
  <c r="AG64" i="36"/>
  <c r="U64" i="36"/>
  <c r="V125" i="36"/>
  <c r="U125" i="36"/>
  <c r="AG125" i="36"/>
  <c r="V111" i="36"/>
  <c r="U111" i="36"/>
  <c r="AG111" i="36"/>
  <c r="V146" i="36"/>
  <c r="U146" i="36"/>
  <c r="AG146" i="36"/>
  <c r="AG136" i="36"/>
  <c r="U136" i="36"/>
  <c r="V136" i="36"/>
  <c r="AG183" i="36"/>
  <c r="U183" i="36"/>
  <c r="V183" i="36"/>
  <c r="V278" i="36"/>
  <c r="U278" i="36"/>
  <c r="AG278" i="36"/>
  <c r="AG215" i="36"/>
  <c r="U215" i="36"/>
  <c r="V215" i="36"/>
  <c r="AG156" i="36"/>
  <c r="V161" i="36"/>
  <c r="U161" i="36"/>
  <c r="AG161" i="36"/>
  <c r="V253" i="36"/>
  <c r="AG253" i="36"/>
  <c r="U253" i="36"/>
  <c r="V280" i="36"/>
  <c r="AG280" i="36"/>
  <c r="U280" i="36"/>
  <c r="AG242" i="36"/>
  <c r="U242" i="36"/>
  <c r="V242" i="36"/>
  <c r="V254" i="36"/>
  <c r="AG254" i="36"/>
  <c r="U254" i="36"/>
  <c r="AG277" i="36"/>
  <c r="U277" i="36"/>
  <c r="V277" i="36"/>
  <c r="AG241" i="36"/>
  <c r="U241" i="36"/>
  <c r="V241" i="36"/>
  <c r="V299" i="36"/>
  <c r="AG299" i="36"/>
  <c r="U299" i="36"/>
  <c r="AG303" i="36"/>
  <c r="V303" i="36"/>
  <c r="U303" i="36"/>
  <c r="AG337" i="36"/>
  <c r="U337" i="36"/>
  <c r="V337" i="36"/>
  <c r="V295" i="36"/>
  <c r="U295" i="36"/>
  <c r="AG295" i="36"/>
  <c r="V282" i="36"/>
  <c r="AG282" i="36"/>
  <c r="U282" i="36"/>
  <c r="AG323" i="36"/>
  <c r="U323" i="36"/>
  <c r="V323" i="36"/>
  <c r="AG335" i="36"/>
  <c r="U335" i="36"/>
  <c r="V335" i="36"/>
  <c r="U360" i="36"/>
  <c r="AG360" i="36"/>
  <c r="V360" i="36"/>
  <c r="V322" i="36"/>
  <c r="U322" i="36"/>
  <c r="AG322" i="36"/>
  <c r="U372" i="36"/>
  <c r="AG372" i="36"/>
  <c r="V372" i="36"/>
  <c r="AG382" i="36"/>
  <c r="V382" i="36"/>
  <c r="U382" i="36"/>
  <c r="V389" i="36"/>
  <c r="AG389" i="36"/>
  <c r="U389" i="36"/>
  <c r="W389" i="36" s="1"/>
  <c r="H407" i="36"/>
  <c r="T406" i="36"/>
  <c r="AH406" i="36" s="1"/>
  <c r="H117" i="36"/>
  <c r="T117" i="36" s="1"/>
  <c r="AH117" i="36" s="1"/>
  <c r="T116" i="36"/>
  <c r="AH116" i="36" s="1"/>
  <c r="H228" i="36"/>
  <c r="T227" i="36"/>
  <c r="AH227" i="36" s="1"/>
  <c r="V24" i="36"/>
  <c r="U24" i="36"/>
  <c r="AG24" i="36"/>
  <c r="U105" i="36"/>
  <c r="AG105" i="36"/>
  <c r="V105" i="36"/>
  <c r="AG49" i="36"/>
  <c r="V49" i="36"/>
  <c r="U49" i="36"/>
  <c r="AG34" i="36"/>
  <c r="V34" i="36"/>
  <c r="U34" i="36"/>
  <c r="V31" i="36"/>
  <c r="U31" i="36"/>
  <c r="AG31" i="36"/>
  <c r="AG92" i="36"/>
  <c r="U92" i="36"/>
  <c r="V62" i="36"/>
  <c r="AG62" i="36"/>
  <c r="U62" i="36"/>
  <c r="AG35" i="36"/>
  <c r="U35" i="36"/>
  <c r="V35" i="36"/>
  <c r="AG47" i="36"/>
  <c r="U47" i="36"/>
  <c r="V47" i="36"/>
  <c r="V112" i="36"/>
  <c r="U112" i="36"/>
  <c r="AG112" i="36"/>
  <c r="AG85" i="36"/>
  <c r="U85" i="36"/>
  <c r="V85" i="36"/>
  <c r="V121" i="36"/>
  <c r="AG121" i="36"/>
  <c r="U121" i="36"/>
  <c r="AG122" i="36"/>
  <c r="V122" i="36"/>
  <c r="U122" i="36"/>
  <c r="V153" i="36"/>
  <c r="AG153" i="36"/>
  <c r="U153" i="36"/>
  <c r="W153" i="36" s="1"/>
  <c r="V117" i="36"/>
  <c r="U117" i="36"/>
  <c r="AG117" i="36"/>
  <c r="V65" i="36"/>
  <c r="AG65" i="36"/>
  <c r="U65" i="36"/>
  <c r="V127" i="36"/>
  <c r="U127" i="36"/>
  <c r="AG127" i="36"/>
  <c r="AG120" i="36"/>
  <c r="V120" i="36"/>
  <c r="U120" i="36"/>
  <c r="V134" i="36"/>
  <c r="U134" i="36"/>
  <c r="AG134" i="36"/>
  <c r="V137" i="36"/>
  <c r="U137" i="36"/>
  <c r="AG137" i="36"/>
  <c r="V164" i="36"/>
  <c r="U164" i="36"/>
  <c r="AG164" i="36"/>
  <c r="V180" i="36"/>
  <c r="U180" i="36"/>
  <c r="AG180" i="36"/>
  <c r="AG160" i="36"/>
  <c r="U160" i="36"/>
  <c r="W160" i="36" s="1"/>
  <c r="V160" i="36"/>
  <c r="V204" i="36"/>
  <c r="U204" i="36"/>
  <c r="AG204" i="36"/>
  <c r="V291" i="36"/>
  <c r="AG291" i="36"/>
  <c r="U291" i="36"/>
  <c r="V288" i="36"/>
  <c r="AG288" i="36"/>
  <c r="U288" i="36"/>
  <c r="V255" i="36"/>
  <c r="U255" i="36"/>
  <c r="AG255" i="36"/>
  <c r="AG273" i="36"/>
  <c r="V273" i="36"/>
  <c r="U273" i="36"/>
  <c r="V304" i="36"/>
  <c r="U304" i="36"/>
  <c r="AG304" i="36"/>
  <c r="V340" i="36"/>
  <c r="AG340" i="36"/>
  <c r="U340" i="36"/>
  <c r="W340" i="36" s="1"/>
  <c r="V268" i="36"/>
  <c r="U268" i="36"/>
  <c r="AG268" i="36"/>
  <c r="AG313" i="36"/>
  <c r="V313" i="36"/>
  <c r="U313" i="36"/>
  <c r="U361" i="36"/>
  <c r="AG361" i="36"/>
  <c r="V361" i="36"/>
  <c r="U373" i="36"/>
  <c r="AG373" i="36"/>
  <c r="V373" i="36"/>
  <c r="V391" i="36"/>
  <c r="AG391" i="36"/>
  <c r="U391" i="36"/>
  <c r="AG388" i="36"/>
  <c r="U388" i="36"/>
  <c r="V388" i="36"/>
  <c r="T92" i="36"/>
  <c r="AH92" i="36" s="1"/>
  <c r="H93" i="36"/>
  <c r="D11" i="36"/>
  <c r="T101" i="36"/>
  <c r="AH101" i="36" s="1"/>
  <c r="H102" i="36"/>
  <c r="AG52" i="36"/>
  <c r="V52" i="36"/>
  <c r="U52" i="36"/>
  <c r="AG244" i="36"/>
  <c r="V244" i="36"/>
  <c r="U244" i="36"/>
  <c r="V256" i="36"/>
  <c r="U256" i="36"/>
  <c r="AG256" i="36"/>
  <c r="U248" i="36"/>
  <c r="AG248" i="36"/>
  <c r="V248" i="36"/>
  <c r="AG404" i="36"/>
  <c r="U404" i="36"/>
  <c r="V404" i="36"/>
  <c r="U26" i="36"/>
  <c r="AG26" i="36"/>
  <c r="AA54" i="36"/>
  <c r="AA55" i="36" s="1"/>
  <c r="AA56" i="36" s="1"/>
  <c r="AA57" i="36" s="1"/>
  <c r="AA58" i="36" s="1"/>
  <c r="AA59" i="36" s="1"/>
  <c r="AA60" i="36" s="1"/>
  <c r="AA61" i="36" s="1"/>
  <c r="AB54" i="36"/>
  <c r="AB55" i="36" s="1"/>
  <c r="AB56" i="36" s="1"/>
  <c r="AB57" i="36" s="1"/>
  <c r="AB58" i="36" s="1"/>
  <c r="AB59" i="36" s="1"/>
  <c r="AB60" i="36" s="1"/>
  <c r="AB61" i="36" s="1"/>
  <c r="AG53" i="36"/>
  <c r="V53" i="36"/>
  <c r="U53" i="36"/>
  <c r="U61" i="36"/>
  <c r="V61" i="36"/>
  <c r="AG61" i="36"/>
  <c r="AG9" i="36"/>
  <c r="U9" i="36"/>
  <c r="V9" i="36"/>
  <c r="V32" i="36"/>
  <c r="U32" i="36"/>
  <c r="AG32" i="36"/>
  <c r="V7" i="36"/>
  <c r="U7" i="36"/>
  <c r="AG7" i="36"/>
  <c r="AG91" i="36"/>
  <c r="V91" i="36"/>
  <c r="U91" i="36"/>
  <c r="AG104" i="36"/>
  <c r="V104" i="36"/>
  <c r="U104" i="36"/>
  <c r="AG36" i="36"/>
  <c r="U36" i="36"/>
  <c r="V36" i="36"/>
  <c r="U71" i="36"/>
  <c r="V71" i="36"/>
  <c r="AG71" i="36"/>
  <c r="U86" i="36"/>
  <c r="AG86" i="36"/>
  <c r="V86" i="36"/>
  <c r="V133" i="36"/>
  <c r="U133" i="36"/>
  <c r="AG133" i="36"/>
  <c r="V154" i="36"/>
  <c r="U154" i="36"/>
  <c r="AG154" i="36"/>
  <c r="V79" i="36"/>
  <c r="AG79" i="36"/>
  <c r="U79" i="36"/>
  <c r="V66" i="36"/>
  <c r="AG66" i="36"/>
  <c r="U66" i="36"/>
  <c r="W66" i="36" s="1"/>
  <c r="V103" i="36"/>
  <c r="AG103" i="36"/>
  <c r="U103" i="36"/>
  <c r="V142" i="36"/>
  <c r="AG142" i="36"/>
  <c r="U142" i="36"/>
  <c r="U138" i="36"/>
  <c r="AG138" i="36"/>
  <c r="V184" i="36"/>
  <c r="U184" i="36"/>
  <c r="AG184" i="36"/>
  <c r="V236" i="36"/>
  <c r="U236" i="36"/>
  <c r="AG236" i="36"/>
  <c r="AG233" i="36"/>
  <c r="U233" i="36"/>
  <c r="V233" i="36"/>
  <c r="AG205" i="36"/>
  <c r="U205" i="36"/>
  <c r="V205" i="36"/>
  <c r="AG259" i="36"/>
  <c r="U259" i="36"/>
  <c r="V259" i="36"/>
  <c r="AG285" i="36"/>
  <c r="U285" i="36"/>
  <c r="V285" i="36"/>
  <c r="V271" i="36"/>
  <c r="AG271" i="36"/>
  <c r="U271" i="36"/>
  <c r="AG249" i="36"/>
  <c r="U249" i="36"/>
  <c r="V249" i="36"/>
  <c r="V317" i="36"/>
  <c r="U317" i="36"/>
  <c r="AG317" i="36"/>
  <c r="V294" i="36"/>
  <c r="AG294" i="36"/>
  <c r="U294" i="36"/>
  <c r="V263" i="36"/>
  <c r="U263" i="36"/>
  <c r="AG263" i="36"/>
  <c r="V343" i="36"/>
  <c r="AG343" i="36"/>
  <c r="U343" i="36"/>
  <c r="AG319" i="36"/>
  <c r="V319" i="36"/>
  <c r="U319" i="36"/>
  <c r="W319" i="36" s="1"/>
  <c r="V258" i="36"/>
  <c r="AG258" i="36"/>
  <c r="U258" i="36"/>
  <c r="V290" i="36"/>
  <c r="AG290" i="36"/>
  <c r="U290" i="36"/>
  <c r="V308" i="36"/>
  <c r="U308" i="36"/>
  <c r="W308" i="36" s="1"/>
  <c r="AG308" i="36"/>
  <c r="AG338" i="36"/>
  <c r="V338" i="36"/>
  <c r="U338" i="36"/>
  <c r="U362" i="36"/>
  <c r="AG362" i="36"/>
  <c r="V362" i="36"/>
  <c r="V369" i="36"/>
  <c r="U369" i="36"/>
  <c r="AG369" i="36"/>
  <c r="V364" i="36"/>
  <c r="U364" i="36"/>
  <c r="AG364" i="36"/>
  <c r="V376" i="36"/>
  <c r="U376" i="36"/>
  <c r="AG376" i="36"/>
  <c r="AG393" i="36"/>
  <c r="U393" i="36"/>
  <c r="AG390" i="36"/>
  <c r="U390" i="36"/>
  <c r="V390" i="36"/>
  <c r="H218" i="36"/>
  <c r="T217" i="36"/>
  <c r="AH217" i="36" s="1"/>
  <c r="H334" i="36"/>
  <c r="T334" i="36" s="1"/>
  <c r="AH334" i="36" s="1"/>
  <c r="T333" i="36"/>
  <c r="AH333" i="36" s="1"/>
  <c r="H394" i="36"/>
  <c r="T393" i="36"/>
  <c r="AH393" i="36" s="1"/>
  <c r="AG50" i="36"/>
  <c r="V50" i="36"/>
  <c r="U50" i="36"/>
  <c r="W50" i="36" s="1"/>
  <c r="AG96" i="36"/>
  <c r="V96" i="36"/>
  <c r="U96" i="36"/>
  <c r="V163" i="36"/>
  <c r="U163" i="36"/>
  <c r="AG163" i="36"/>
  <c r="AG67" i="36"/>
  <c r="V67" i="36"/>
  <c r="U67" i="36"/>
  <c r="V155" i="36"/>
  <c r="U155" i="36"/>
  <c r="AG155" i="36"/>
  <c r="V203" i="36"/>
  <c r="U203" i="36"/>
  <c r="AG203" i="36"/>
  <c r="V281" i="36"/>
  <c r="U281" i="36"/>
  <c r="AG281" i="36"/>
  <c r="AG339" i="36"/>
  <c r="U339" i="36"/>
  <c r="V339" i="36"/>
  <c r="T385" i="36"/>
  <c r="AH385" i="36" s="1"/>
  <c r="H386" i="36"/>
  <c r="T43" i="36"/>
  <c r="AH43" i="36" s="1"/>
  <c r="H44" i="36"/>
  <c r="T188" i="36"/>
  <c r="AH188" i="36" s="1"/>
  <c r="H189" i="36"/>
  <c r="W149" i="38" l="1"/>
  <c r="W314" i="38"/>
  <c r="W305" i="38"/>
  <c r="W505" i="38"/>
  <c r="W496" i="38"/>
  <c r="W426" i="38"/>
  <c r="W389" i="38"/>
  <c r="W521" i="38"/>
  <c r="W78" i="38"/>
  <c r="W458" i="38"/>
  <c r="W402" i="38"/>
  <c r="V551" i="38"/>
  <c r="U551" i="38"/>
  <c r="AH551" i="38"/>
  <c r="AI551" i="38"/>
  <c r="T552" i="38"/>
  <c r="H553" i="38"/>
  <c r="U538" i="38"/>
  <c r="V538" i="38"/>
  <c r="AH538" i="38"/>
  <c r="AI538" i="38"/>
  <c r="T539" i="38"/>
  <c r="H540" i="38"/>
  <c r="H524" i="38"/>
  <c r="T523" i="38"/>
  <c r="U522" i="38"/>
  <c r="W522" i="38" s="1"/>
  <c r="V522" i="38"/>
  <c r="AH522" i="38"/>
  <c r="AI522" i="38"/>
  <c r="H508" i="38"/>
  <c r="T507" i="38"/>
  <c r="AH506" i="38"/>
  <c r="V506" i="38"/>
  <c r="U506" i="38"/>
  <c r="W506" i="38" s="1"/>
  <c r="AI506" i="38"/>
  <c r="U497" i="38"/>
  <c r="AH497" i="38"/>
  <c r="V497" i="38"/>
  <c r="AI497" i="38"/>
  <c r="T498" i="38"/>
  <c r="H499" i="38"/>
  <c r="T499" i="38" s="1"/>
  <c r="V482" i="38"/>
  <c r="U482" i="38"/>
  <c r="W482" i="38" s="1"/>
  <c r="AH482" i="38"/>
  <c r="AI482" i="38"/>
  <c r="T483" i="38"/>
  <c r="H484" i="38"/>
  <c r="U470" i="38"/>
  <c r="W470" i="38" s="1"/>
  <c r="V470" i="38"/>
  <c r="AH470" i="38"/>
  <c r="AI470" i="38"/>
  <c r="T471" i="38"/>
  <c r="H472" i="38"/>
  <c r="H461" i="38"/>
  <c r="T460" i="38"/>
  <c r="V459" i="38"/>
  <c r="AH459" i="38"/>
  <c r="U459" i="38"/>
  <c r="W459" i="38" s="1"/>
  <c r="AI459" i="38"/>
  <c r="H441" i="38"/>
  <c r="T440" i="38"/>
  <c r="V439" i="38"/>
  <c r="U439" i="38"/>
  <c r="W439" i="38" s="1"/>
  <c r="AH439" i="38"/>
  <c r="AI439" i="38"/>
  <c r="AH427" i="38"/>
  <c r="V427" i="38"/>
  <c r="U427" i="38"/>
  <c r="W427" i="38" s="1"/>
  <c r="AI427" i="38"/>
  <c r="H429" i="38"/>
  <c r="T428" i="38"/>
  <c r="U416" i="38"/>
  <c r="AH416" i="38"/>
  <c r="V416" i="38"/>
  <c r="AI416" i="38"/>
  <c r="T417" i="38"/>
  <c r="H418" i="38"/>
  <c r="V403" i="38"/>
  <c r="AH403" i="38"/>
  <c r="U403" i="38"/>
  <c r="W403" i="38" s="1"/>
  <c r="AI403" i="38"/>
  <c r="H405" i="38"/>
  <c r="T404" i="38"/>
  <c r="V366" i="38"/>
  <c r="AH366" i="38"/>
  <c r="U366" i="38"/>
  <c r="W366" i="38" s="1"/>
  <c r="AI366" i="38"/>
  <c r="T367" i="38"/>
  <c r="H368" i="38"/>
  <c r="V353" i="38"/>
  <c r="U353" i="38"/>
  <c r="W353" i="38" s="1"/>
  <c r="AH353" i="38"/>
  <c r="AI353" i="38"/>
  <c r="H355" i="38"/>
  <c r="T354" i="38"/>
  <c r="AH315" i="38"/>
  <c r="U315" i="38"/>
  <c r="V315" i="38"/>
  <c r="AI315" i="38"/>
  <c r="T316" i="38"/>
  <c r="AI316" i="38" s="1"/>
  <c r="H317" i="38"/>
  <c r="T317" i="38" s="1"/>
  <c r="AI317" i="38" s="1"/>
  <c r="H308" i="38"/>
  <c r="T308" i="38" s="1"/>
  <c r="AI308" i="38" s="1"/>
  <c r="T307" i="38"/>
  <c r="AI307" i="38" s="1"/>
  <c r="V306" i="38"/>
  <c r="AH306" i="38"/>
  <c r="U306" i="38"/>
  <c r="AI306" i="38"/>
  <c r="W259" i="38"/>
  <c r="Q260" i="38"/>
  <c r="T190" i="38"/>
  <c r="AI190" i="38" s="1"/>
  <c r="H191" i="38"/>
  <c r="V179" i="38"/>
  <c r="U179" i="38"/>
  <c r="W179" i="38" s="1"/>
  <c r="AH179" i="38"/>
  <c r="AI179" i="38"/>
  <c r="T180" i="38"/>
  <c r="H181" i="38"/>
  <c r="V165" i="38"/>
  <c r="U165" i="38"/>
  <c r="W165" i="38" s="1"/>
  <c r="AH165" i="38"/>
  <c r="AI165" i="38"/>
  <c r="T166" i="38"/>
  <c r="H167" i="38"/>
  <c r="U150" i="38"/>
  <c r="AH150" i="38"/>
  <c r="V150" i="38"/>
  <c r="AI150" i="38"/>
  <c r="T151" i="38"/>
  <c r="H152" i="38"/>
  <c r="AH126" i="38"/>
  <c r="U126" i="38"/>
  <c r="V126" i="38"/>
  <c r="AI126" i="38"/>
  <c r="T127" i="38"/>
  <c r="H128" i="38"/>
  <c r="U117" i="38"/>
  <c r="AH117" i="38"/>
  <c r="V117" i="38"/>
  <c r="AI117" i="38"/>
  <c r="T118" i="38"/>
  <c r="AI118" i="38" s="1"/>
  <c r="H119" i="38"/>
  <c r="T119" i="38" s="1"/>
  <c r="AI119" i="38" s="1"/>
  <c r="V108" i="38"/>
  <c r="U108" i="38"/>
  <c r="W108" i="38" s="1"/>
  <c r="AH108" i="38"/>
  <c r="AI108" i="38"/>
  <c r="T109" i="38"/>
  <c r="AI109" i="38" s="1"/>
  <c r="H110" i="38"/>
  <c r="T110" i="38" s="1"/>
  <c r="AI110" i="38" s="1"/>
  <c r="Q40" i="38"/>
  <c r="V38" i="38"/>
  <c r="U38" i="38"/>
  <c r="W38" i="38" s="1"/>
  <c r="AH38" i="38"/>
  <c r="AI38" i="38"/>
  <c r="T39" i="38"/>
  <c r="H40" i="38"/>
  <c r="T30" i="38"/>
  <c r="AI30" i="38" s="1"/>
  <c r="H31" i="38"/>
  <c r="T31" i="38" s="1"/>
  <c r="AI31" i="38" s="1"/>
  <c r="AH13" i="38"/>
  <c r="V13" i="38"/>
  <c r="U13" i="38"/>
  <c r="AI13" i="38"/>
  <c r="T14" i="38"/>
  <c r="H15" i="38"/>
  <c r="AP30" i="38"/>
  <c r="D15" i="38"/>
  <c r="D16" i="38" s="1"/>
  <c r="D17" i="38" s="1"/>
  <c r="D18" i="38" s="1"/>
  <c r="D19" i="38" s="1"/>
  <c r="D20" i="38" s="1"/>
  <c r="D21" i="38" s="1"/>
  <c r="D22" i="38" s="1"/>
  <c r="C15" i="38"/>
  <c r="C16" i="38" s="1"/>
  <c r="C17" i="38" s="1"/>
  <c r="C18" i="38" s="1"/>
  <c r="C19" i="38" s="1"/>
  <c r="C20" i="38" s="1"/>
  <c r="C21" i="38" s="1"/>
  <c r="W12" i="38"/>
  <c r="W352" i="38"/>
  <c r="W388" i="38"/>
  <c r="W128" i="36"/>
  <c r="W368" i="36"/>
  <c r="W342" i="36"/>
  <c r="V107" i="36"/>
  <c r="AG107" i="36"/>
  <c r="W110" i="36"/>
  <c r="W47" i="36"/>
  <c r="AH364" i="36"/>
  <c r="W164" i="36"/>
  <c r="V57" i="36"/>
  <c r="W261" i="36"/>
  <c r="V354" i="36"/>
  <c r="W202" i="36"/>
  <c r="U107" i="36"/>
  <c r="W107" i="36" s="1"/>
  <c r="W343" i="36"/>
  <c r="W62" i="36"/>
  <c r="U354" i="36"/>
  <c r="W354" i="36" s="1"/>
  <c r="W247" i="36"/>
  <c r="W266" i="36"/>
  <c r="W353" i="36"/>
  <c r="W326" i="36"/>
  <c r="T344" i="36"/>
  <c r="H345" i="36"/>
  <c r="W81" i="36"/>
  <c r="W372" i="36"/>
  <c r="W155" i="36"/>
  <c r="W96" i="36"/>
  <c r="W104" i="36"/>
  <c r="W87" i="36"/>
  <c r="W327" i="36"/>
  <c r="AG354" i="36"/>
  <c r="W257" i="36"/>
  <c r="V26" i="36"/>
  <c r="W26" i="36" s="1"/>
  <c r="AG188" i="36"/>
  <c r="U88" i="36"/>
  <c r="U188" i="36"/>
  <c r="AG101" i="36"/>
  <c r="W263" i="36"/>
  <c r="W233" i="36"/>
  <c r="W91" i="36"/>
  <c r="W137" i="36"/>
  <c r="W120" i="36"/>
  <c r="V88" i="36"/>
  <c r="W136" i="36"/>
  <c r="W350" i="36"/>
  <c r="W297" i="36"/>
  <c r="W115" i="36"/>
  <c r="W200" i="36"/>
  <c r="H148" i="36"/>
  <c r="T147" i="36"/>
  <c r="AG334" i="36"/>
  <c r="V406" i="36"/>
  <c r="W362" i="36"/>
  <c r="AG88" i="36"/>
  <c r="W290" i="36"/>
  <c r="W271" i="36"/>
  <c r="W236" i="36"/>
  <c r="W373" i="36"/>
  <c r="V156" i="36"/>
  <c r="W146" i="36"/>
  <c r="W246" i="36"/>
  <c r="W76" i="36"/>
  <c r="W54" i="36"/>
  <c r="W374" i="36"/>
  <c r="W301" i="36"/>
  <c r="W325" i="36"/>
  <c r="W151" i="36"/>
  <c r="W33" i="36"/>
  <c r="W383" i="36"/>
  <c r="W37" i="36"/>
  <c r="H178" i="36"/>
  <c r="T177" i="36"/>
  <c r="U156" i="36"/>
  <c r="W156" i="36" s="1"/>
  <c r="W332" i="36"/>
  <c r="W312" i="36"/>
  <c r="W10" i="36"/>
  <c r="W306" i="36"/>
  <c r="W352" i="36"/>
  <c r="W40" i="36"/>
  <c r="W269" i="36"/>
  <c r="W270" i="36"/>
  <c r="W203" i="36"/>
  <c r="W390" i="36"/>
  <c r="W133" i="36"/>
  <c r="W9" i="36"/>
  <c r="W117" i="36"/>
  <c r="W122" i="36"/>
  <c r="W35" i="36"/>
  <c r="W322" i="36"/>
  <c r="W254" i="36"/>
  <c r="W379" i="36"/>
  <c r="W331" i="36"/>
  <c r="W129" i="36"/>
  <c r="W199" i="36"/>
  <c r="W77" i="36"/>
  <c r="W73" i="36"/>
  <c r="W286" i="36"/>
  <c r="W337" i="36"/>
  <c r="W381" i="36"/>
  <c r="W179" i="36"/>
  <c r="W275" i="36"/>
  <c r="W175" i="36"/>
  <c r="W38" i="36"/>
  <c r="W392" i="36"/>
  <c r="W174" i="36"/>
  <c r="W288" i="36"/>
  <c r="W121" i="36"/>
  <c r="W282" i="36"/>
  <c r="W241" i="36"/>
  <c r="W183" i="36"/>
  <c r="W84" i="36"/>
  <c r="W99" i="36"/>
  <c r="W311" i="36"/>
  <c r="W103" i="36"/>
  <c r="W317" i="36"/>
  <c r="W184" i="36"/>
  <c r="W244" i="36"/>
  <c r="W391" i="36"/>
  <c r="W361" i="36"/>
  <c r="W268" i="36"/>
  <c r="W273" i="36"/>
  <c r="W242" i="36"/>
  <c r="W186" i="36"/>
  <c r="W224" i="36"/>
  <c r="W30" i="36"/>
  <c r="W89" i="36"/>
  <c r="W366" i="36"/>
  <c r="W98" i="36"/>
  <c r="W349" i="36"/>
  <c r="W320" i="36"/>
  <c r="W250" i="36"/>
  <c r="W67" i="36"/>
  <c r="W154" i="36"/>
  <c r="W53" i="36"/>
  <c r="W145" i="36"/>
  <c r="W330" i="36"/>
  <c r="W300" i="36"/>
  <c r="W119" i="36"/>
  <c r="W113" i="36"/>
  <c r="W80" i="36"/>
  <c r="W336" i="36"/>
  <c r="W214" i="36"/>
  <c r="W78" i="36"/>
  <c r="W237" i="36"/>
  <c r="W274" i="36"/>
  <c r="AH416" i="36"/>
  <c r="W240" i="36"/>
  <c r="W226" i="36"/>
  <c r="T93" i="36"/>
  <c r="H94" i="36"/>
  <c r="H158" i="36"/>
  <c r="T157" i="36"/>
  <c r="AG217" i="36"/>
  <c r="AG43" i="36"/>
  <c r="V11" i="36"/>
  <c r="AG385" i="36"/>
  <c r="T44" i="36"/>
  <c r="H45" i="36"/>
  <c r="W281" i="36"/>
  <c r="V393" i="36"/>
  <c r="W393" i="36" s="1"/>
  <c r="W364" i="36"/>
  <c r="W338" i="36"/>
  <c r="W294" i="36"/>
  <c r="W259" i="36"/>
  <c r="W86" i="36"/>
  <c r="W61" i="36"/>
  <c r="W304" i="36"/>
  <c r="W65" i="36"/>
  <c r="V92" i="36"/>
  <c r="W92" i="36" s="1"/>
  <c r="W323" i="36"/>
  <c r="W280" i="36"/>
  <c r="W64" i="36"/>
  <c r="V116" i="36"/>
  <c r="W116" i="36" s="1"/>
  <c r="W59" i="36"/>
  <c r="H167" i="36"/>
  <c r="T166" i="36"/>
  <c r="W260" i="36"/>
  <c r="W152" i="36"/>
  <c r="W289" i="36"/>
  <c r="W239" i="36"/>
  <c r="W185" i="36"/>
  <c r="W51" i="36"/>
  <c r="V101" i="36"/>
  <c r="W315" i="36"/>
  <c r="W287" i="36"/>
  <c r="W181" i="36"/>
  <c r="W97" i="36"/>
  <c r="U43" i="36"/>
  <c r="W55" i="36"/>
  <c r="W32" i="36"/>
  <c r="W248" i="36"/>
  <c r="W255" i="36"/>
  <c r="W180" i="36"/>
  <c r="W88" i="36"/>
  <c r="W25" i="36"/>
  <c r="W380" i="36"/>
  <c r="W365" i="36"/>
  <c r="W316" i="36"/>
  <c r="W238" i="36"/>
  <c r="W173" i="36"/>
  <c r="W63" i="36"/>
  <c r="W82" i="36"/>
  <c r="W95" i="36"/>
  <c r="H356" i="36"/>
  <c r="T355" i="36"/>
  <c r="H208" i="36"/>
  <c r="T207" i="36"/>
  <c r="W375" i="36"/>
  <c r="W324" i="36"/>
  <c r="W298" i="36"/>
  <c r="W264" i="36"/>
  <c r="AH77" i="36"/>
  <c r="W187" i="36"/>
  <c r="W252" i="36"/>
  <c r="W223" i="36"/>
  <c r="W234" i="36"/>
  <c r="AG165" i="36"/>
  <c r="W126" i="36"/>
  <c r="W68" i="36"/>
  <c r="W90" i="36"/>
  <c r="W70" i="36"/>
  <c r="V43" i="36"/>
  <c r="M401" i="36"/>
  <c r="N401" i="36"/>
  <c r="W401" i="36"/>
  <c r="W341" i="36"/>
  <c r="W293" i="36"/>
  <c r="W358" i="36"/>
  <c r="W72" i="36"/>
  <c r="W75" i="36"/>
  <c r="U165" i="36"/>
  <c r="H131" i="36"/>
  <c r="T130" i="36"/>
  <c r="W276" i="36"/>
  <c r="W201" i="36"/>
  <c r="W118" i="36"/>
  <c r="W370" i="36"/>
  <c r="W314" i="36"/>
  <c r="W329" i="36"/>
  <c r="W251" i="36"/>
  <c r="H219" i="36"/>
  <c r="T218" i="36"/>
  <c r="W249" i="36"/>
  <c r="H395" i="36"/>
  <c r="T394" i="36"/>
  <c r="T386" i="36"/>
  <c r="H387" i="36"/>
  <c r="T387" i="36" s="1"/>
  <c r="AH387" i="36" s="1"/>
  <c r="W369" i="36"/>
  <c r="W205" i="36"/>
  <c r="V138" i="36"/>
  <c r="W138" i="36" s="1"/>
  <c r="W71" i="36"/>
  <c r="W85" i="36"/>
  <c r="W31" i="36"/>
  <c r="W34" i="36"/>
  <c r="W105" i="36"/>
  <c r="W360" i="36"/>
  <c r="W303" i="36"/>
  <c r="V188" i="36"/>
  <c r="W215" i="36"/>
  <c r="W111" i="36"/>
  <c r="W42" i="36"/>
  <c r="W371" i="36"/>
  <c r="W100" i="36"/>
  <c r="W56" i="36"/>
  <c r="T12" i="36"/>
  <c r="H13" i="36"/>
  <c r="T139" i="36"/>
  <c r="H140" i="36"/>
  <c r="W144" i="36"/>
  <c r="AG74" i="36"/>
  <c r="W23" i="36"/>
  <c r="U406" i="36"/>
  <c r="U333" i="36"/>
  <c r="W213" i="36"/>
  <c r="V206" i="36"/>
  <c r="V165" i="36"/>
  <c r="W48" i="36"/>
  <c r="AH118" i="36"/>
  <c r="W328" i="36"/>
  <c r="H229" i="36"/>
  <c r="T228" i="36"/>
  <c r="T189" i="36"/>
  <c r="H190" i="36"/>
  <c r="W57" i="36"/>
  <c r="H28" i="36"/>
  <c r="T27" i="36"/>
  <c r="W367" i="36"/>
  <c r="AG227" i="36"/>
  <c r="V74" i="36"/>
  <c r="W172" i="36"/>
  <c r="AG406" i="36"/>
  <c r="AG333" i="36"/>
  <c r="W359" i="36"/>
  <c r="U206" i="36"/>
  <c r="W243" i="36"/>
  <c r="W124" i="36"/>
  <c r="W106" i="36"/>
  <c r="W310" i="36"/>
  <c r="W182" i="36"/>
  <c r="W123" i="36"/>
  <c r="W216" i="36"/>
  <c r="T58" i="36"/>
  <c r="AH58" i="36" s="1"/>
  <c r="H59" i="36"/>
  <c r="W258" i="36"/>
  <c r="W142" i="36"/>
  <c r="W339" i="36"/>
  <c r="W163" i="36"/>
  <c r="W376" i="36"/>
  <c r="W285" i="36"/>
  <c r="W79" i="36"/>
  <c r="W36" i="36"/>
  <c r="W52" i="36"/>
  <c r="T102" i="36"/>
  <c r="H103" i="36"/>
  <c r="T103" i="36" s="1"/>
  <c r="AH103" i="36" s="1"/>
  <c r="W388" i="36"/>
  <c r="V334" i="36"/>
  <c r="W204" i="36"/>
  <c r="W134" i="36"/>
  <c r="W24" i="36"/>
  <c r="W382" i="36"/>
  <c r="W335" i="36"/>
  <c r="W277" i="36"/>
  <c r="W161" i="36"/>
  <c r="H109" i="36"/>
  <c r="T108" i="36"/>
  <c r="W377" i="36"/>
  <c r="W292" i="36"/>
  <c r="W265" i="36"/>
  <c r="W267" i="36"/>
  <c r="W132" i="36"/>
  <c r="W351" i="36"/>
  <c r="W283" i="36"/>
  <c r="W235" i="36"/>
  <c r="U227" i="36"/>
  <c r="W69" i="36"/>
  <c r="U74" i="36"/>
  <c r="W39" i="36"/>
  <c r="W387" i="36"/>
  <c r="V333" i="36"/>
  <c r="AG206" i="36"/>
  <c r="U217" i="36"/>
  <c r="U11" i="36"/>
  <c r="U385" i="36"/>
  <c r="W176" i="36"/>
  <c r="W7" i="36"/>
  <c r="W256" i="36"/>
  <c r="D12" i="36"/>
  <c r="W313" i="36"/>
  <c r="U334" i="36"/>
  <c r="W291" i="36"/>
  <c r="W127" i="36"/>
  <c r="W112" i="36"/>
  <c r="W49" i="36"/>
  <c r="T407" i="36"/>
  <c r="H408" i="36"/>
  <c r="W295" i="36"/>
  <c r="W299" i="36"/>
  <c r="W253" i="36"/>
  <c r="W278" i="36"/>
  <c r="W125" i="36"/>
  <c r="AG116" i="36"/>
  <c r="W41" i="36"/>
  <c r="W296" i="36"/>
  <c r="W279" i="36"/>
  <c r="W272" i="36"/>
  <c r="W262" i="36"/>
  <c r="W60" i="36"/>
  <c r="T75" i="36"/>
  <c r="AH75" i="36" s="1"/>
  <c r="H76" i="36"/>
  <c r="T76" i="36" s="1"/>
  <c r="AH76" i="36" s="1"/>
  <c r="W378" i="36"/>
  <c r="V227" i="36"/>
  <c r="W114" i="36"/>
  <c r="W83" i="36"/>
  <c r="U101" i="36"/>
  <c r="W321" i="36"/>
  <c r="W302" i="36"/>
  <c r="W245" i="36"/>
  <c r="V217" i="36"/>
  <c r="W162" i="36"/>
  <c r="AG11" i="36"/>
  <c r="N402" i="36"/>
  <c r="M402" i="36"/>
  <c r="AI402" i="36" s="1"/>
  <c r="W402" i="36"/>
  <c r="W318" i="36"/>
  <c r="V385" i="36"/>
  <c r="W307" i="36"/>
  <c r="W58" i="36"/>
  <c r="W416" i="38" l="1"/>
  <c r="W306" i="38"/>
  <c r="W497" i="38"/>
  <c r="W188" i="36"/>
  <c r="W315" i="38"/>
  <c r="V552" i="38"/>
  <c r="U552" i="38"/>
  <c r="AH552" i="38"/>
  <c r="AI552" i="38"/>
  <c r="T553" i="38"/>
  <c r="H554" i="38"/>
  <c r="AH539" i="38"/>
  <c r="V539" i="38"/>
  <c r="U539" i="38"/>
  <c r="AI539" i="38"/>
  <c r="T540" i="38"/>
  <c r="H541" i="38"/>
  <c r="T524" i="38"/>
  <c r="H525" i="38"/>
  <c r="U523" i="38"/>
  <c r="V523" i="38"/>
  <c r="AH523" i="38"/>
  <c r="AI523" i="38"/>
  <c r="H509" i="38"/>
  <c r="T508" i="38"/>
  <c r="V507" i="38"/>
  <c r="AH507" i="38"/>
  <c r="U507" i="38"/>
  <c r="W507" i="38" s="1"/>
  <c r="AI507" i="38"/>
  <c r="U498" i="38"/>
  <c r="AH498" i="38"/>
  <c r="V498" i="38"/>
  <c r="AI498" i="38"/>
  <c r="V499" i="38"/>
  <c r="U499" i="38"/>
  <c r="W499" i="38" s="1"/>
  <c r="AH499" i="38"/>
  <c r="AI499" i="38"/>
  <c r="AH483" i="38"/>
  <c r="U483" i="38"/>
  <c r="V483" i="38"/>
  <c r="AI483" i="38"/>
  <c r="T484" i="38"/>
  <c r="H485" i="38"/>
  <c r="V471" i="38"/>
  <c r="AH471" i="38"/>
  <c r="U471" i="38"/>
  <c r="W471" i="38" s="1"/>
  <c r="AI471" i="38"/>
  <c r="H473" i="38"/>
  <c r="T472" i="38"/>
  <c r="T461" i="38"/>
  <c r="H462" i="38"/>
  <c r="V460" i="38"/>
  <c r="AH460" i="38"/>
  <c r="U460" i="38"/>
  <c r="W460" i="38" s="1"/>
  <c r="AI460" i="38"/>
  <c r="H442" i="38"/>
  <c r="T441" i="38"/>
  <c r="AH440" i="38"/>
  <c r="V440" i="38"/>
  <c r="U440" i="38"/>
  <c r="W440" i="38" s="1"/>
  <c r="AI440" i="38"/>
  <c r="T429" i="38"/>
  <c r="H430" i="38"/>
  <c r="V428" i="38"/>
  <c r="AH428" i="38"/>
  <c r="U428" i="38"/>
  <c r="W428" i="38" s="1"/>
  <c r="AI428" i="38"/>
  <c r="U417" i="38"/>
  <c r="V417" i="38"/>
  <c r="AH417" i="38"/>
  <c r="AI417" i="38"/>
  <c r="T418" i="38"/>
  <c r="H419" i="38"/>
  <c r="H406" i="38"/>
  <c r="T405" i="38"/>
  <c r="U404" i="38"/>
  <c r="W404" i="38" s="1"/>
  <c r="V404" i="38"/>
  <c r="AH404" i="38"/>
  <c r="AI404" i="38"/>
  <c r="V367" i="38"/>
  <c r="AH367" i="38"/>
  <c r="U367" i="38"/>
  <c r="W367" i="38" s="1"/>
  <c r="AI367" i="38"/>
  <c r="T368" i="38"/>
  <c r="H369" i="38"/>
  <c r="H356" i="38"/>
  <c r="T355" i="38"/>
  <c r="V354" i="38"/>
  <c r="U354" i="38"/>
  <c r="W354" i="38" s="1"/>
  <c r="AH354" i="38"/>
  <c r="AI354" i="38"/>
  <c r="W260" i="38"/>
  <c r="Q261" i="38"/>
  <c r="T191" i="38"/>
  <c r="AI191" i="38" s="1"/>
  <c r="H192" i="38"/>
  <c r="V180" i="38"/>
  <c r="U180" i="38"/>
  <c r="AH180" i="38"/>
  <c r="AI180" i="38"/>
  <c r="T181" i="38"/>
  <c r="H182" i="38"/>
  <c r="T182" i="38" s="1"/>
  <c r="AI182" i="38" s="1"/>
  <c r="AH166" i="38"/>
  <c r="U166" i="38"/>
  <c r="V166" i="38"/>
  <c r="AI166" i="38"/>
  <c r="T167" i="38"/>
  <c r="H168" i="38"/>
  <c r="U151" i="38"/>
  <c r="V151" i="38"/>
  <c r="AH151" i="38"/>
  <c r="AI151" i="38"/>
  <c r="T152" i="38"/>
  <c r="H153" i="38"/>
  <c r="AH127" i="38"/>
  <c r="V127" i="38"/>
  <c r="U127" i="38"/>
  <c r="W127" i="38" s="1"/>
  <c r="AI127" i="38"/>
  <c r="T128" i="38"/>
  <c r="H129" i="38"/>
  <c r="Q41" i="38"/>
  <c r="AH39" i="38"/>
  <c r="V39" i="38"/>
  <c r="U39" i="38"/>
  <c r="AI39" i="38"/>
  <c r="T40" i="38"/>
  <c r="H41" i="38"/>
  <c r="W13" i="38"/>
  <c r="AH14" i="38"/>
  <c r="V14" i="38"/>
  <c r="U14" i="38"/>
  <c r="AI14" i="38"/>
  <c r="T15" i="38"/>
  <c r="H16" i="38"/>
  <c r="AP23" i="38"/>
  <c r="AP9" i="38"/>
  <c r="K328" i="38"/>
  <c r="L328" i="38" s="1"/>
  <c r="K95" i="38"/>
  <c r="L95" i="38" s="1"/>
  <c r="K183" i="38"/>
  <c r="L183" i="38" s="1"/>
  <c r="K532" i="38"/>
  <c r="L532" i="38" s="1"/>
  <c r="C22" i="38"/>
  <c r="W150" i="38"/>
  <c r="W117" i="38"/>
  <c r="W126" i="38"/>
  <c r="AP16" i="38"/>
  <c r="AP37" i="38"/>
  <c r="W101" i="36"/>
  <c r="T345" i="36"/>
  <c r="H346" i="36"/>
  <c r="AH344" i="36"/>
  <c r="U344" i="36"/>
  <c r="AG344" i="36"/>
  <c r="V344" i="36"/>
  <c r="T178" i="36"/>
  <c r="H179" i="36"/>
  <c r="T179" i="36" s="1"/>
  <c r="AH179" i="36" s="1"/>
  <c r="W11" i="36"/>
  <c r="AH147" i="36"/>
  <c r="AG147" i="36"/>
  <c r="U147" i="36"/>
  <c r="V147" i="36"/>
  <c r="W43" i="36"/>
  <c r="T148" i="36"/>
  <c r="H149" i="36"/>
  <c r="AH177" i="36"/>
  <c r="V177" i="36"/>
  <c r="U177" i="36"/>
  <c r="W177" i="36" s="1"/>
  <c r="AG177" i="36"/>
  <c r="W227" i="36"/>
  <c r="W217" i="36"/>
  <c r="W206" i="36"/>
  <c r="AH228" i="36"/>
  <c r="V228" i="36"/>
  <c r="U228" i="36"/>
  <c r="AG228" i="36"/>
  <c r="AH394" i="36"/>
  <c r="V394" i="36"/>
  <c r="AG394" i="36"/>
  <c r="U394" i="36"/>
  <c r="H132" i="36"/>
  <c r="T131" i="36"/>
  <c r="AJ401" i="36"/>
  <c r="AI401" i="36"/>
  <c r="H29" i="36"/>
  <c r="T28" i="36"/>
  <c r="AH189" i="36"/>
  <c r="V189" i="36"/>
  <c r="AG189" i="36"/>
  <c r="U189" i="36"/>
  <c r="W189" i="36" s="1"/>
  <c r="AH12" i="36"/>
  <c r="U12" i="36"/>
  <c r="AG12" i="36"/>
  <c r="V12" i="36"/>
  <c r="AH386" i="36"/>
  <c r="AG386" i="36"/>
  <c r="V386" i="36"/>
  <c r="U386" i="36"/>
  <c r="AH130" i="36"/>
  <c r="V130" i="36"/>
  <c r="U130" i="36"/>
  <c r="AG130" i="36"/>
  <c r="H168" i="36"/>
  <c r="T167" i="36"/>
  <c r="W74" i="36"/>
  <c r="W334" i="36"/>
  <c r="W385" i="36"/>
  <c r="T229" i="36"/>
  <c r="H230" i="36"/>
  <c r="H396" i="36"/>
  <c r="T395" i="36"/>
  <c r="AH157" i="36"/>
  <c r="V157" i="36"/>
  <c r="AG157" i="36"/>
  <c r="U157" i="36"/>
  <c r="W165" i="36"/>
  <c r="AH207" i="36"/>
  <c r="V207" i="36"/>
  <c r="AG207" i="36"/>
  <c r="U207" i="36"/>
  <c r="W207" i="36" s="1"/>
  <c r="T158" i="36"/>
  <c r="H159" i="36"/>
  <c r="D13" i="36"/>
  <c r="H46" i="36"/>
  <c r="T45" i="36"/>
  <c r="H409" i="36"/>
  <c r="T408" i="36"/>
  <c r="AH108" i="36"/>
  <c r="AG108" i="36"/>
  <c r="V108" i="36"/>
  <c r="U108" i="36"/>
  <c r="W333" i="36"/>
  <c r="H209" i="36"/>
  <c r="T208" i="36"/>
  <c r="AH407" i="36"/>
  <c r="U407" i="36"/>
  <c r="V407" i="36"/>
  <c r="AG407" i="36"/>
  <c r="T109" i="36"/>
  <c r="H110" i="36"/>
  <c r="T110" i="36" s="1"/>
  <c r="AH110" i="36" s="1"/>
  <c r="AH102" i="36"/>
  <c r="V102" i="36"/>
  <c r="AG102" i="36"/>
  <c r="U102" i="36"/>
  <c r="T140" i="36"/>
  <c r="H141" i="36"/>
  <c r="AH355" i="36"/>
  <c r="V355" i="36"/>
  <c r="U355" i="36"/>
  <c r="AG355" i="36"/>
  <c r="AH44" i="36"/>
  <c r="U44" i="36"/>
  <c r="AG44" i="36"/>
  <c r="V44" i="36"/>
  <c r="T94" i="36"/>
  <c r="H95" i="36"/>
  <c r="H60" i="36"/>
  <c r="T59" i="36"/>
  <c r="AH59" i="36" s="1"/>
  <c r="AH27" i="36"/>
  <c r="U27" i="36"/>
  <c r="AG27" i="36"/>
  <c r="V27" i="36"/>
  <c r="T190" i="36"/>
  <c r="H191" i="36"/>
  <c r="AH139" i="36"/>
  <c r="U139" i="36"/>
  <c r="V139" i="36"/>
  <c r="AG139" i="36"/>
  <c r="AH218" i="36"/>
  <c r="V218" i="36"/>
  <c r="AG218" i="36"/>
  <c r="U218" i="36"/>
  <c r="H357" i="36"/>
  <c r="T356" i="36"/>
  <c r="AH93" i="36"/>
  <c r="V93" i="36"/>
  <c r="AG93" i="36"/>
  <c r="U93" i="36"/>
  <c r="W93" i="36" s="1"/>
  <c r="T13" i="36"/>
  <c r="H14" i="36"/>
  <c r="H220" i="36"/>
  <c r="T219" i="36"/>
  <c r="AH166" i="36"/>
  <c r="AG166" i="36"/>
  <c r="U166" i="36"/>
  <c r="V166" i="36"/>
  <c r="W523" i="38" l="1"/>
  <c r="W166" i="38"/>
  <c r="W417" i="38"/>
  <c r="W39" i="38"/>
  <c r="K69" i="38"/>
  <c r="L69" i="38" s="1"/>
  <c r="K360" i="38"/>
  <c r="L360" i="38" s="1"/>
  <c r="U553" i="38"/>
  <c r="AH553" i="38"/>
  <c r="V553" i="38"/>
  <c r="AI553" i="38"/>
  <c r="T554" i="38"/>
  <c r="H555" i="38"/>
  <c r="U540" i="38"/>
  <c r="AH540" i="38"/>
  <c r="V540" i="38"/>
  <c r="AI540" i="38"/>
  <c r="H542" i="38"/>
  <c r="T541" i="38"/>
  <c r="U524" i="38"/>
  <c r="V524" i="38"/>
  <c r="AH524" i="38"/>
  <c r="AI524" i="38"/>
  <c r="H526" i="38"/>
  <c r="T525" i="38"/>
  <c r="T509" i="38"/>
  <c r="H510" i="38"/>
  <c r="V508" i="38"/>
  <c r="AH508" i="38"/>
  <c r="U508" i="38"/>
  <c r="AI508" i="38"/>
  <c r="V484" i="38"/>
  <c r="U484" i="38"/>
  <c r="W484" i="38" s="1"/>
  <c r="AH484" i="38"/>
  <c r="AI484" i="38"/>
  <c r="T485" i="38"/>
  <c r="H486" i="38"/>
  <c r="T473" i="38"/>
  <c r="H474" i="38"/>
  <c r="V472" i="38"/>
  <c r="U472" i="38"/>
  <c r="W472" i="38" s="1"/>
  <c r="AH472" i="38"/>
  <c r="AI472" i="38"/>
  <c r="V461" i="38"/>
  <c r="AH461" i="38"/>
  <c r="U461" i="38"/>
  <c r="W461" i="38" s="1"/>
  <c r="AI461" i="38"/>
  <c r="T462" i="38"/>
  <c r="H463" i="38"/>
  <c r="T463" i="38" s="1"/>
  <c r="T442" i="38"/>
  <c r="H443" i="38"/>
  <c r="V441" i="38"/>
  <c r="U441" i="38"/>
  <c r="W441" i="38" s="1"/>
  <c r="AH441" i="38"/>
  <c r="AI441" i="38"/>
  <c r="U429" i="38"/>
  <c r="V429" i="38"/>
  <c r="AH429" i="38"/>
  <c r="AI429" i="38"/>
  <c r="T430" i="38"/>
  <c r="H431" i="38"/>
  <c r="V418" i="38"/>
  <c r="AH418" i="38"/>
  <c r="U418" i="38"/>
  <c r="W418" i="38" s="1"/>
  <c r="AI418" i="38"/>
  <c r="T419" i="38"/>
  <c r="H420" i="38"/>
  <c r="T420" i="38" s="1"/>
  <c r="T406" i="38"/>
  <c r="H407" i="38"/>
  <c r="U405" i="38"/>
  <c r="V405" i="38"/>
  <c r="AH405" i="38"/>
  <c r="AI405" i="38"/>
  <c r="V368" i="38"/>
  <c r="AH368" i="38"/>
  <c r="U368" i="38"/>
  <c r="W368" i="38" s="1"/>
  <c r="AI368" i="38"/>
  <c r="H370" i="38"/>
  <c r="T369" i="38"/>
  <c r="T356" i="38"/>
  <c r="H357" i="38"/>
  <c r="U355" i="38"/>
  <c r="AH355" i="38"/>
  <c r="V355" i="38"/>
  <c r="AI355" i="38"/>
  <c r="Q262" i="38"/>
  <c r="W261" i="38"/>
  <c r="T192" i="38"/>
  <c r="AI192" i="38" s="1"/>
  <c r="H193" i="38"/>
  <c r="V181" i="38"/>
  <c r="U181" i="38"/>
  <c r="W181" i="38" s="1"/>
  <c r="AH181" i="38"/>
  <c r="AI181" i="38"/>
  <c r="AH167" i="38"/>
  <c r="U167" i="38"/>
  <c r="V167" i="38"/>
  <c r="AI167" i="38"/>
  <c r="T168" i="38"/>
  <c r="H169" i="38"/>
  <c r="V152" i="38"/>
  <c r="U152" i="38"/>
  <c r="AH152" i="38"/>
  <c r="AI152" i="38"/>
  <c r="T153" i="38"/>
  <c r="H154" i="38"/>
  <c r="AH128" i="38"/>
  <c r="U128" i="38"/>
  <c r="V128" i="38"/>
  <c r="AI128" i="38"/>
  <c r="T129" i="38"/>
  <c r="H130" i="38"/>
  <c r="Q42" i="38"/>
  <c r="V40" i="38"/>
  <c r="U40" i="38"/>
  <c r="W40" i="38" s="1"/>
  <c r="AH40" i="38"/>
  <c r="AI40" i="38"/>
  <c r="T41" i="38"/>
  <c r="H42" i="38"/>
  <c r="W14" i="38"/>
  <c r="V15" i="38"/>
  <c r="U15" i="38"/>
  <c r="AH15" i="38"/>
  <c r="AI15" i="38"/>
  <c r="T16" i="38"/>
  <c r="H17" i="38"/>
  <c r="N318" i="38"/>
  <c r="N289" i="38"/>
  <c r="N54" i="38"/>
  <c r="N48" i="38"/>
  <c r="N139" i="38"/>
  <c r="N294" i="38"/>
  <c r="N299" i="38"/>
  <c r="N309" i="38"/>
  <c r="N323" i="38"/>
  <c r="N23" i="38"/>
  <c r="N328" i="38"/>
  <c r="M328" i="38" s="1"/>
  <c r="N333" i="38"/>
  <c r="N132" i="38"/>
  <c r="AI69" i="38"/>
  <c r="N102" i="38"/>
  <c r="N376" i="38"/>
  <c r="M376" i="38" s="1"/>
  <c r="N340" i="38"/>
  <c r="N373" i="38"/>
  <c r="M373" i="38" s="1"/>
  <c r="AI328" i="38"/>
  <c r="N383" i="38"/>
  <c r="M383" i="38" s="1"/>
  <c r="N195" i="38"/>
  <c r="AI491" i="38"/>
  <c r="N81" i="38"/>
  <c r="N446" i="38"/>
  <c r="M446" i="38" s="1"/>
  <c r="AI373" i="38"/>
  <c r="AI390" i="38"/>
  <c r="N88" i="38"/>
  <c r="N74" i="38"/>
  <c r="N390" i="38"/>
  <c r="M390" i="38" s="1"/>
  <c r="N491" i="38"/>
  <c r="M491" i="38" s="1"/>
  <c r="AI61" i="38"/>
  <c r="N95" i="38"/>
  <c r="M95" i="38" s="1"/>
  <c r="AI383" i="38"/>
  <c r="N61" i="38"/>
  <c r="M61" i="38" s="1"/>
  <c r="N111" i="38"/>
  <c r="AI183" i="38"/>
  <c r="AI376" i="38"/>
  <c r="N173" i="38"/>
  <c r="N69" i="38"/>
  <c r="M69" i="38" s="1"/>
  <c r="N63" i="38"/>
  <c r="N490" i="38"/>
  <c r="AI95" i="38"/>
  <c r="N183" i="38"/>
  <c r="M183" i="38" s="1"/>
  <c r="AI446" i="38"/>
  <c r="W151" i="38"/>
  <c r="W498" i="38"/>
  <c r="W483" i="38"/>
  <c r="W180" i="38"/>
  <c r="K309" i="38"/>
  <c r="L309" i="38" s="1"/>
  <c r="AI309" i="38" s="1"/>
  <c r="K159" i="38"/>
  <c r="L159" i="38" s="1"/>
  <c r="K74" i="38"/>
  <c r="L74" i="38" s="1"/>
  <c r="AI74" i="38" s="1"/>
  <c r="K23" i="38"/>
  <c r="L23" i="38" s="1"/>
  <c r="AI23" i="38" s="1"/>
  <c r="K215" i="38"/>
  <c r="L215" i="38" s="1"/>
  <c r="K54" i="38"/>
  <c r="L54" i="38" s="1"/>
  <c r="AI54" i="38" s="1"/>
  <c r="K323" i="38"/>
  <c r="L323" i="38" s="1"/>
  <c r="AI323" i="38" s="1"/>
  <c r="K145" i="38"/>
  <c r="L145" i="38" s="1"/>
  <c r="K545" i="38"/>
  <c r="L545" i="38" s="1"/>
  <c r="K195" i="38"/>
  <c r="L195" i="38" s="1"/>
  <c r="AI195" i="38" s="1"/>
  <c r="K500" i="38"/>
  <c r="L500" i="38" s="1"/>
  <c r="K490" i="38"/>
  <c r="L490" i="38" s="1"/>
  <c r="AI490" i="38" s="1"/>
  <c r="K48" i="38"/>
  <c r="L48" i="38" s="1"/>
  <c r="AI48" i="38" s="1"/>
  <c r="K299" i="38"/>
  <c r="L299" i="38" s="1"/>
  <c r="AI299" i="38" s="1"/>
  <c r="K516" i="38"/>
  <c r="L516" i="38" s="1"/>
  <c r="K7" i="38"/>
  <c r="L7" i="38" s="1"/>
  <c r="K347" i="38"/>
  <c r="L347" i="38" s="1"/>
  <c r="K252" i="38"/>
  <c r="L252" i="38" s="1"/>
  <c r="K81" i="38"/>
  <c r="L81" i="38" s="1"/>
  <c r="AI81" i="38" s="1"/>
  <c r="K294" i="38"/>
  <c r="L294" i="38" s="1"/>
  <c r="AI294" i="38" s="1"/>
  <c r="K433" i="38"/>
  <c r="L433" i="38" s="1"/>
  <c r="K102" i="38"/>
  <c r="L102" i="38" s="1"/>
  <c r="AI102" i="38" s="1"/>
  <c r="K63" i="38"/>
  <c r="L63" i="38" s="1"/>
  <c r="AI63" i="38" s="1"/>
  <c r="K111" i="38"/>
  <c r="L111" i="38" s="1"/>
  <c r="AI111" i="38" s="1"/>
  <c r="K289" i="38"/>
  <c r="L289" i="38" s="1"/>
  <c r="AI289" i="38" s="1"/>
  <c r="K421" i="38"/>
  <c r="L421" i="38" s="1"/>
  <c r="K340" i="38"/>
  <c r="L340" i="38" s="1"/>
  <c r="AI340" i="38" s="1"/>
  <c r="K32" i="38"/>
  <c r="L32" i="38" s="1"/>
  <c r="K88" i="38"/>
  <c r="L88" i="38" s="1"/>
  <c r="AI88" i="38" s="1"/>
  <c r="K139" i="38"/>
  <c r="L139" i="38" s="1"/>
  <c r="AI139" i="38" s="1"/>
  <c r="K318" i="38"/>
  <c r="L318" i="38" s="1"/>
  <c r="AI318" i="38" s="1"/>
  <c r="K333" i="38"/>
  <c r="L333" i="38" s="1"/>
  <c r="AI333" i="38" s="1"/>
  <c r="K120" i="38"/>
  <c r="L120" i="38" s="1"/>
  <c r="K132" i="38"/>
  <c r="L132" i="38" s="1"/>
  <c r="AI132" i="38" s="1"/>
  <c r="K173" i="38"/>
  <c r="L173" i="38" s="1"/>
  <c r="AI173" i="38" s="1"/>
  <c r="W344" i="36"/>
  <c r="T346" i="36"/>
  <c r="H347" i="36"/>
  <c r="AH345" i="36"/>
  <c r="U345" i="36"/>
  <c r="AG345" i="36"/>
  <c r="V345" i="36"/>
  <c r="W108" i="36"/>
  <c r="W147" i="36"/>
  <c r="H150" i="36"/>
  <c r="T149" i="36"/>
  <c r="W218" i="36"/>
  <c r="AH148" i="36"/>
  <c r="U148" i="36"/>
  <c r="AG148" i="36"/>
  <c r="V148" i="36"/>
  <c r="AH178" i="36"/>
  <c r="U178" i="36"/>
  <c r="AG178" i="36"/>
  <c r="V178" i="36"/>
  <c r="W44" i="36"/>
  <c r="W139" i="36"/>
  <c r="W355" i="36"/>
  <c r="W157" i="36"/>
  <c r="AH13" i="36"/>
  <c r="V13" i="36"/>
  <c r="U13" i="36"/>
  <c r="AG13" i="36"/>
  <c r="H192" i="36"/>
  <c r="T191" i="36"/>
  <c r="T95" i="36"/>
  <c r="AH95" i="36" s="1"/>
  <c r="H96" i="36"/>
  <c r="T96" i="36" s="1"/>
  <c r="AH96" i="36" s="1"/>
  <c r="T409" i="36"/>
  <c r="H410" i="36"/>
  <c r="AH158" i="36"/>
  <c r="V158" i="36"/>
  <c r="U158" i="36"/>
  <c r="AG158" i="36"/>
  <c r="W228" i="36"/>
  <c r="H15" i="36"/>
  <c r="T14" i="36"/>
  <c r="H358" i="36"/>
  <c r="T358" i="36" s="1"/>
  <c r="AH358" i="36" s="1"/>
  <c r="T357" i="36"/>
  <c r="T60" i="36"/>
  <c r="AH60" i="36" s="1"/>
  <c r="H61" i="36"/>
  <c r="T61" i="36" s="1"/>
  <c r="AH61" i="36" s="1"/>
  <c r="AH408" i="36"/>
  <c r="V408" i="36"/>
  <c r="U408" i="36"/>
  <c r="AG408" i="36"/>
  <c r="H160" i="36"/>
  <c r="T160" i="36" s="1"/>
  <c r="AH160" i="36" s="1"/>
  <c r="T159" i="36"/>
  <c r="AH190" i="36"/>
  <c r="AG190" i="36"/>
  <c r="V190" i="36"/>
  <c r="U190" i="36"/>
  <c r="AH94" i="36"/>
  <c r="AG94" i="36"/>
  <c r="V94" i="36"/>
  <c r="U94" i="36"/>
  <c r="AH131" i="36"/>
  <c r="V131" i="36"/>
  <c r="U131" i="36"/>
  <c r="AG131" i="36"/>
  <c r="AH395" i="36"/>
  <c r="V395" i="36"/>
  <c r="AG395" i="36"/>
  <c r="U395" i="36"/>
  <c r="W166" i="36"/>
  <c r="H142" i="36"/>
  <c r="T142" i="36" s="1"/>
  <c r="AH142" i="36" s="1"/>
  <c r="T141" i="36"/>
  <c r="AH109" i="36"/>
  <c r="AG109" i="36"/>
  <c r="V109" i="36"/>
  <c r="U109" i="36"/>
  <c r="H210" i="36"/>
  <c r="T209" i="36"/>
  <c r="H133" i="36"/>
  <c r="T133" i="36" s="1"/>
  <c r="AH133" i="36" s="1"/>
  <c r="T132" i="36"/>
  <c r="AH132" i="36" s="1"/>
  <c r="AH140" i="36"/>
  <c r="AG140" i="36"/>
  <c r="U140" i="36"/>
  <c r="V140" i="36"/>
  <c r="AH45" i="36"/>
  <c r="U45" i="36"/>
  <c r="AG45" i="36"/>
  <c r="V45" i="36"/>
  <c r="H397" i="36"/>
  <c r="T396" i="36"/>
  <c r="W130" i="36"/>
  <c r="AH28" i="36"/>
  <c r="AG28" i="36"/>
  <c r="V28" i="36"/>
  <c r="U28" i="36"/>
  <c r="W394" i="36"/>
  <c r="H221" i="36"/>
  <c r="T220" i="36"/>
  <c r="AH356" i="36"/>
  <c r="U356" i="36"/>
  <c r="V356" i="36"/>
  <c r="AG356" i="36"/>
  <c r="W27" i="36"/>
  <c r="D14" i="36"/>
  <c r="AH208" i="36"/>
  <c r="AG208" i="36"/>
  <c r="V208" i="36"/>
  <c r="U208" i="36"/>
  <c r="H47" i="36"/>
  <c r="T47" i="36" s="1"/>
  <c r="AH47" i="36" s="1"/>
  <c r="T46" i="36"/>
  <c r="H231" i="36"/>
  <c r="T230" i="36"/>
  <c r="AH167" i="36"/>
  <c r="AG167" i="36"/>
  <c r="U167" i="36"/>
  <c r="V167" i="36"/>
  <c r="W12" i="36"/>
  <c r="T29" i="36"/>
  <c r="H30" i="36"/>
  <c r="AH219" i="36"/>
  <c r="U219" i="36"/>
  <c r="AG219" i="36"/>
  <c r="V219" i="36"/>
  <c r="W102" i="36"/>
  <c r="AH229" i="36"/>
  <c r="V229" i="36"/>
  <c r="AG229" i="36"/>
  <c r="U229" i="36"/>
  <c r="H169" i="36"/>
  <c r="T168" i="36"/>
  <c r="W386" i="36"/>
  <c r="M173" i="38" l="1"/>
  <c r="M48" i="38"/>
  <c r="M195" i="38"/>
  <c r="M88" i="38"/>
  <c r="M102" i="38"/>
  <c r="M294" i="38"/>
  <c r="M340" i="38"/>
  <c r="M81" i="38"/>
  <c r="M111" i="38"/>
  <c r="M299" i="38"/>
  <c r="M63" i="38"/>
  <c r="M490" i="38"/>
  <c r="AH554" i="38"/>
  <c r="U554" i="38"/>
  <c r="V554" i="38"/>
  <c r="AI554" i="38"/>
  <c r="T555" i="38"/>
  <c r="H556" i="38"/>
  <c r="T542" i="38"/>
  <c r="H543" i="38"/>
  <c r="U541" i="38"/>
  <c r="V541" i="38"/>
  <c r="AH541" i="38"/>
  <c r="AI541" i="38"/>
  <c r="T526" i="38"/>
  <c r="H527" i="38"/>
  <c r="U525" i="38"/>
  <c r="AH525" i="38"/>
  <c r="V525" i="38"/>
  <c r="AI525" i="38"/>
  <c r="AH509" i="38"/>
  <c r="U509" i="38"/>
  <c r="V509" i="38"/>
  <c r="AI509" i="38"/>
  <c r="T510" i="38"/>
  <c r="H511" i="38"/>
  <c r="W508" i="38"/>
  <c r="AH485" i="38"/>
  <c r="U485" i="38"/>
  <c r="V485" i="38"/>
  <c r="AI485" i="38"/>
  <c r="T486" i="38"/>
  <c r="H487" i="38"/>
  <c r="V473" i="38"/>
  <c r="AH473" i="38"/>
  <c r="U473" i="38"/>
  <c r="AI473" i="38"/>
  <c r="T474" i="38"/>
  <c r="H475" i="38"/>
  <c r="T475" i="38" s="1"/>
  <c r="AH462" i="38"/>
  <c r="AI452" i="38" s="1"/>
  <c r="V462" i="38"/>
  <c r="U462" i="38"/>
  <c r="AI462" i="38"/>
  <c r="V463" i="38"/>
  <c r="AH463" i="38"/>
  <c r="U463" i="38"/>
  <c r="W463" i="38" s="1"/>
  <c r="AI463" i="38"/>
  <c r="V442" i="38"/>
  <c r="AH442" i="38"/>
  <c r="U442" i="38"/>
  <c r="AI442" i="38"/>
  <c r="H444" i="38"/>
  <c r="T443" i="38"/>
  <c r="U430" i="38"/>
  <c r="AH430" i="38"/>
  <c r="V430" i="38"/>
  <c r="AI430" i="38"/>
  <c r="H432" i="38"/>
  <c r="T432" i="38" s="1"/>
  <c r="AI432" i="38" s="1"/>
  <c r="T431" i="38"/>
  <c r="U419" i="38"/>
  <c r="V419" i="38"/>
  <c r="AH419" i="38"/>
  <c r="AI419" i="38"/>
  <c r="V420" i="38"/>
  <c r="U420" i="38"/>
  <c r="AH420" i="38"/>
  <c r="AI420" i="38"/>
  <c r="AH406" i="38"/>
  <c r="U406" i="38"/>
  <c r="V406" i="38"/>
  <c r="AI406" i="38"/>
  <c r="T407" i="38"/>
  <c r="H408" i="38"/>
  <c r="W405" i="38"/>
  <c r="H371" i="38"/>
  <c r="T370" i="38"/>
  <c r="V369" i="38"/>
  <c r="AH369" i="38"/>
  <c r="U369" i="38"/>
  <c r="AI369" i="38"/>
  <c r="V356" i="38"/>
  <c r="AH356" i="38"/>
  <c r="U356" i="38"/>
  <c r="AI356" i="38"/>
  <c r="H358" i="38"/>
  <c r="T357" i="38"/>
  <c r="W262" i="38"/>
  <c r="Q263" i="38"/>
  <c r="T193" i="38"/>
  <c r="AI193" i="38" s="1"/>
  <c r="H194" i="38"/>
  <c r="T194" i="38" s="1"/>
  <c r="AI194" i="38" s="1"/>
  <c r="V168" i="38"/>
  <c r="U168" i="38"/>
  <c r="AH168" i="38"/>
  <c r="AI168" i="38"/>
  <c r="T169" i="38"/>
  <c r="H170" i="38"/>
  <c r="W152" i="38"/>
  <c r="AH153" i="38"/>
  <c r="V153" i="38"/>
  <c r="U153" i="38"/>
  <c r="AI153" i="38"/>
  <c r="T154" i="38"/>
  <c r="H155" i="38"/>
  <c r="U129" i="38"/>
  <c r="AH129" i="38"/>
  <c r="V129" i="38"/>
  <c r="AI129" i="38"/>
  <c r="T130" i="38"/>
  <c r="AI130" i="38" s="1"/>
  <c r="H131" i="38"/>
  <c r="T131" i="38" s="1"/>
  <c r="AI131" i="38" s="1"/>
  <c r="Q43" i="38"/>
  <c r="V41" i="38"/>
  <c r="U41" i="38"/>
  <c r="AH41" i="38"/>
  <c r="AI41" i="38"/>
  <c r="T42" i="38"/>
  <c r="H43" i="38"/>
  <c r="W15" i="38"/>
  <c r="AH16" i="38"/>
  <c r="V16" i="38"/>
  <c r="U16" i="38"/>
  <c r="AI16" i="38"/>
  <c r="T17" i="38"/>
  <c r="H18" i="38"/>
  <c r="AJ48" i="38"/>
  <c r="AK48" i="38"/>
  <c r="AK294" i="38"/>
  <c r="AJ294" i="38"/>
  <c r="AK299" i="38"/>
  <c r="AJ299" i="38"/>
  <c r="AK328" i="38"/>
  <c r="AJ328" i="38"/>
  <c r="AJ102" i="38"/>
  <c r="AK102" i="38"/>
  <c r="AK376" i="38"/>
  <c r="AJ376" i="38"/>
  <c r="AJ340" i="38"/>
  <c r="AK340" i="38"/>
  <c r="AK373" i="38"/>
  <c r="AJ373" i="38"/>
  <c r="AK383" i="38"/>
  <c r="AJ383" i="38"/>
  <c r="AJ195" i="38"/>
  <c r="AK195" i="38"/>
  <c r="AJ81" i="38"/>
  <c r="AK81" i="38"/>
  <c r="AK446" i="38"/>
  <c r="AJ446" i="38"/>
  <c r="AJ88" i="38"/>
  <c r="AK88" i="38"/>
  <c r="AK390" i="38"/>
  <c r="AJ390" i="38"/>
  <c r="AK491" i="38"/>
  <c r="AJ491" i="38"/>
  <c r="AJ95" i="38"/>
  <c r="AK95" i="38"/>
  <c r="AJ61" i="38"/>
  <c r="AK61" i="38"/>
  <c r="AJ111" i="38"/>
  <c r="AK111" i="38"/>
  <c r="AJ173" i="38"/>
  <c r="AK173" i="38"/>
  <c r="AJ69" i="38"/>
  <c r="AK69" i="38"/>
  <c r="AJ63" i="38"/>
  <c r="AK63" i="38"/>
  <c r="AJ490" i="38"/>
  <c r="AK490" i="38"/>
  <c r="AJ183" i="38"/>
  <c r="AK183" i="38"/>
  <c r="M289" i="38"/>
  <c r="M323" i="38"/>
  <c r="W355" i="38"/>
  <c r="W167" i="38"/>
  <c r="M333" i="38"/>
  <c r="M54" i="38"/>
  <c r="M309" i="38"/>
  <c r="M74" i="38"/>
  <c r="W128" i="38"/>
  <c r="W524" i="38"/>
  <c r="W429" i="38"/>
  <c r="M318" i="38"/>
  <c r="M139" i="38"/>
  <c r="M23" i="38"/>
  <c r="M132" i="38"/>
  <c r="W345" i="36"/>
  <c r="H348" i="36"/>
  <c r="T347" i="36"/>
  <c r="AH346" i="36"/>
  <c r="U346" i="36"/>
  <c r="V346" i="36"/>
  <c r="AG346" i="36"/>
  <c r="W131" i="36"/>
  <c r="W148" i="36"/>
  <c r="W395" i="36"/>
  <c r="AH149" i="36"/>
  <c r="AG149" i="36"/>
  <c r="U149" i="36"/>
  <c r="V149" i="36"/>
  <c r="W109" i="36"/>
  <c r="W178" i="36"/>
  <c r="T150" i="36"/>
  <c r="H151" i="36"/>
  <c r="T151" i="36" s="1"/>
  <c r="AH151" i="36" s="1"/>
  <c r="W229" i="36"/>
  <c r="W28" i="36"/>
  <c r="AH141" i="36"/>
  <c r="AG141" i="36"/>
  <c r="V141" i="36"/>
  <c r="U141" i="36"/>
  <c r="W13" i="36"/>
  <c r="T169" i="36"/>
  <c r="H170" i="36"/>
  <c r="W190" i="36"/>
  <c r="AH159" i="36"/>
  <c r="V159" i="36"/>
  <c r="U159" i="36"/>
  <c r="AG159" i="36"/>
  <c r="AH357" i="36"/>
  <c r="AG357" i="36"/>
  <c r="V357" i="36"/>
  <c r="U357" i="36"/>
  <c r="H411" i="36"/>
  <c r="T410" i="36"/>
  <c r="AH409" i="36"/>
  <c r="V409" i="36"/>
  <c r="U409" i="36"/>
  <c r="AG409" i="36"/>
  <c r="W219" i="36"/>
  <c r="W167" i="36"/>
  <c r="W208" i="36"/>
  <c r="D15" i="36"/>
  <c r="W356" i="36"/>
  <c r="H211" i="36"/>
  <c r="T210" i="36"/>
  <c r="AH14" i="36"/>
  <c r="AG14" i="36"/>
  <c r="U14" i="36"/>
  <c r="V14" i="36"/>
  <c r="AH46" i="36"/>
  <c r="AG46" i="36"/>
  <c r="U46" i="36"/>
  <c r="V46" i="36"/>
  <c r="H16" i="36"/>
  <c r="T15" i="36"/>
  <c r="H31" i="36"/>
  <c r="T31" i="36" s="1"/>
  <c r="AH31" i="36" s="1"/>
  <c r="T30" i="36"/>
  <c r="AH30" i="36" s="1"/>
  <c r="AH220" i="36"/>
  <c r="U220" i="36"/>
  <c r="V220" i="36"/>
  <c r="AG220" i="36"/>
  <c r="AH396" i="36"/>
  <c r="AG396" i="36"/>
  <c r="U396" i="36"/>
  <c r="V396" i="36"/>
  <c r="W94" i="36"/>
  <c r="AH191" i="36"/>
  <c r="U191" i="36"/>
  <c r="AG191" i="36"/>
  <c r="V191" i="36"/>
  <c r="W45" i="36"/>
  <c r="AH209" i="36"/>
  <c r="U209" i="36"/>
  <c r="AG209" i="36"/>
  <c r="V209" i="36"/>
  <c r="AH29" i="36"/>
  <c r="AG29" i="36"/>
  <c r="U29" i="36"/>
  <c r="N23" i="36" s="1"/>
  <c r="V29" i="36"/>
  <c r="AH230" i="36"/>
  <c r="V230" i="36"/>
  <c r="U230" i="36"/>
  <c r="AG230" i="36"/>
  <c r="H222" i="36"/>
  <c r="T221" i="36"/>
  <c r="H398" i="36"/>
  <c r="T397" i="36"/>
  <c r="W140" i="36"/>
  <c r="W158" i="36"/>
  <c r="H193" i="36"/>
  <c r="T192" i="36"/>
  <c r="AH168" i="36"/>
  <c r="U168" i="36"/>
  <c r="V168" i="36"/>
  <c r="AG168" i="36"/>
  <c r="H232" i="36"/>
  <c r="T231" i="36"/>
  <c r="W420" i="38" l="1"/>
  <c r="AH555" i="38"/>
  <c r="V555" i="38"/>
  <c r="U555" i="38"/>
  <c r="AI555" i="38"/>
  <c r="T556" i="38"/>
  <c r="H557" i="38"/>
  <c r="T557" i="38" s="1"/>
  <c r="AI557" i="38" s="1"/>
  <c r="AH542" i="38"/>
  <c r="U542" i="38"/>
  <c r="V542" i="38"/>
  <c r="AI542" i="38"/>
  <c r="H544" i="38"/>
  <c r="T544" i="38" s="1"/>
  <c r="AI544" i="38" s="1"/>
  <c r="T543" i="38"/>
  <c r="AH526" i="38"/>
  <c r="V526" i="38"/>
  <c r="U526" i="38"/>
  <c r="W526" i="38" s="1"/>
  <c r="AI526" i="38"/>
  <c r="H528" i="38"/>
  <c r="T527" i="38"/>
  <c r="W525" i="38"/>
  <c r="W509" i="38"/>
  <c r="U510" i="38"/>
  <c r="AH510" i="38"/>
  <c r="V510" i="38"/>
  <c r="AI510" i="38"/>
  <c r="H512" i="38"/>
  <c r="T511" i="38"/>
  <c r="W485" i="38"/>
  <c r="AH486" i="38"/>
  <c r="U486" i="38"/>
  <c r="V486" i="38"/>
  <c r="AI486" i="38"/>
  <c r="T487" i="38"/>
  <c r="H488" i="38"/>
  <c r="N464" i="38"/>
  <c r="M464" i="38" s="1"/>
  <c r="W473" i="38"/>
  <c r="AH474" i="38"/>
  <c r="AI464" i="38" s="1"/>
  <c r="V474" i="38"/>
  <c r="U474" i="38"/>
  <c r="W474" i="38" s="1"/>
  <c r="AI474" i="38"/>
  <c r="AH475" i="38"/>
  <c r="U475" i="38"/>
  <c r="V475" i="38"/>
  <c r="AI475" i="38"/>
  <c r="N452" i="38"/>
  <c r="M452" i="38" s="1"/>
  <c r="W462" i="38"/>
  <c r="W442" i="38"/>
  <c r="H445" i="38"/>
  <c r="T445" i="38" s="1"/>
  <c r="AI445" i="38" s="1"/>
  <c r="T444" i="38"/>
  <c r="U443" i="38"/>
  <c r="AH443" i="38"/>
  <c r="V443" i="38"/>
  <c r="AI443" i="38"/>
  <c r="N421" i="38"/>
  <c r="M421" i="38" s="1"/>
  <c r="W430" i="38"/>
  <c r="AH431" i="38"/>
  <c r="AI421" i="38" s="1"/>
  <c r="U431" i="38"/>
  <c r="V431" i="38"/>
  <c r="AI431" i="38"/>
  <c r="N410" i="38"/>
  <c r="M410" i="38" s="1"/>
  <c r="W419" i="38"/>
  <c r="W406" i="38"/>
  <c r="U407" i="38"/>
  <c r="AH407" i="38"/>
  <c r="V407" i="38"/>
  <c r="AI407" i="38"/>
  <c r="H409" i="38"/>
  <c r="T409" i="38" s="1"/>
  <c r="T408" i="38"/>
  <c r="T371" i="38"/>
  <c r="H372" i="38"/>
  <c r="T372" i="38" s="1"/>
  <c r="AI372" i="38" s="1"/>
  <c r="AH370" i="38"/>
  <c r="V370" i="38"/>
  <c r="U370" i="38"/>
  <c r="W370" i="38" s="1"/>
  <c r="AI370" i="38"/>
  <c r="W369" i="38"/>
  <c r="W356" i="38"/>
  <c r="T358" i="38"/>
  <c r="H359" i="38"/>
  <c r="T359" i="38" s="1"/>
  <c r="AI359" i="38" s="1"/>
  <c r="V357" i="38"/>
  <c r="AH357" i="38"/>
  <c r="U357" i="38"/>
  <c r="W357" i="38" s="1"/>
  <c r="AI357" i="38"/>
  <c r="W263" i="38"/>
  <c r="Q264" i="38"/>
  <c r="W168" i="38"/>
  <c r="V169" i="38"/>
  <c r="U169" i="38"/>
  <c r="AH169" i="38"/>
  <c r="AI169" i="38"/>
  <c r="T170" i="38"/>
  <c r="H171" i="38"/>
  <c r="W153" i="38"/>
  <c r="U154" i="38"/>
  <c r="V154" i="38"/>
  <c r="AH154" i="38"/>
  <c r="AI154" i="38"/>
  <c r="T155" i="38"/>
  <c r="H156" i="38"/>
  <c r="N120" i="38"/>
  <c r="M120" i="38" s="1"/>
  <c r="W129" i="38"/>
  <c r="AI120" i="38"/>
  <c r="AP39" i="38" s="1"/>
  <c r="AP38" i="38"/>
  <c r="Q44" i="38"/>
  <c r="W41" i="38"/>
  <c r="AH42" i="38"/>
  <c r="V42" i="38"/>
  <c r="U42" i="38"/>
  <c r="AI42" i="38"/>
  <c r="H44" i="38"/>
  <c r="T43" i="38"/>
  <c r="W16" i="38"/>
  <c r="V17" i="38"/>
  <c r="U17" i="38"/>
  <c r="AH17" i="38"/>
  <c r="AI17" i="38"/>
  <c r="T18" i="38"/>
  <c r="H19" i="38"/>
  <c r="AK289" i="38"/>
  <c r="AJ289" i="38"/>
  <c r="AJ323" i="38"/>
  <c r="AK323" i="38"/>
  <c r="AK333" i="38"/>
  <c r="AJ333" i="38"/>
  <c r="AK54" i="38"/>
  <c r="AJ54" i="38"/>
  <c r="AK309" i="38"/>
  <c r="AJ309" i="38"/>
  <c r="AK74" i="38"/>
  <c r="AJ74" i="38"/>
  <c r="AJ318" i="38"/>
  <c r="AK318" i="38"/>
  <c r="AK139" i="38"/>
  <c r="AJ139" i="38"/>
  <c r="AK23" i="38"/>
  <c r="AJ23" i="38"/>
  <c r="AK132" i="38"/>
  <c r="AJ132" i="38"/>
  <c r="AI410" i="38"/>
  <c r="W29" i="36"/>
  <c r="W357" i="36"/>
  <c r="W149" i="36"/>
  <c r="W346" i="36"/>
  <c r="W168" i="36"/>
  <c r="U347" i="36"/>
  <c r="V347" i="36"/>
  <c r="AH347" i="36"/>
  <c r="AG347" i="36"/>
  <c r="T348" i="36"/>
  <c r="H349" i="36"/>
  <c r="T349" i="36" s="1"/>
  <c r="AH349" i="36" s="1"/>
  <c r="AH150" i="36"/>
  <c r="AG150" i="36"/>
  <c r="U150" i="36"/>
  <c r="V150" i="36"/>
  <c r="W191" i="36"/>
  <c r="W46" i="36"/>
  <c r="AH221" i="36"/>
  <c r="AG221" i="36"/>
  <c r="V221" i="36"/>
  <c r="U221" i="36"/>
  <c r="M23" i="36"/>
  <c r="T211" i="36"/>
  <c r="H212" i="36"/>
  <c r="H223" i="36"/>
  <c r="T223" i="36" s="1"/>
  <c r="AH223" i="36" s="1"/>
  <c r="T222" i="36"/>
  <c r="W396" i="36"/>
  <c r="AH169" i="36"/>
  <c r="V169" i="36"/>
  <c r="U169" i="36"/>
  <c r="AG169" i="36"/>
  <c r="AH231" i="36"/>
  <c r="V231" i="36"/>
  <c r="AG231" i="36"/>
  <c r="U231" i="36"/>
  <c r="AH192" i="36"/>
  <c r="V192" i="36"/>
  <c r="U192" i="36"/>
  <c r="AG192" i="36"/>
  <c r="D16" i="36"/>
  <c r="W159" i="36"/>
  <c r="H194" i="36"/>
  <c r="T193" i="36"/>
  <c r="AH410" i="36"/>
  <c r="AG410" i="36"/>
  <c r="U410" i="36"/>
  <c r="V410" i="36"/>
  <c r="W230" i="36"/>
  <c r="W14" i="36"/>
  <c r="H412" i="36"/>
  <c r="T411" i="36"/>
  <c r="W141" i="36"/>
  <c r="AH15" i="36"/>
  <c r="AG15" i="36"/>
  <c r="V15" i="36"/>
  <c r="U15" i="36"/>
  <c r="AH397" i="36"/>
  <c r="V397" i="36"/>
  <c r="AG397" i="36"/>
  <c r="U397" i="36"/>
  <c r="W397" i="36" s="1"/>
  <c r="W209" i="36"/>
  <c r="W220" i="36"/>
  <c r="T16" i="36"/>
  <c r="H17" i="36"/>
  <c r="H399" i="36"/>
  <c r="T398" i="36"/>
  <c r="AH210" i="36"/>
  <c r="AG210" i="36"/>
  <c r="U210" i="36"/>
  <c r="V210" i="36"/>
  <c r="H233" i="36"/>
  <c r="T232" i="36"/>
  <c r="H171" i="36"/>
  <c r="T170" i="36"/>
  <c r="U556" i="38" l="1"/>
  <c r="V556" i="38"/>
  <c r="AH556" i="38"/>
  <c r="AI556" i="38"/>
  <c r="AH543" i="38"/>
  <c r="AI532" i="38" s="1"/>
  <c r="V543" i="38"/>
  <c r="U543" i="38"/>
  <c r="N532" i="38" s="1"/>
  <c r="M532" i="38" s="1"/>
  <c r="AI543" i="38"/>
  <c r="H529" i="38"/>
  <c r="T528" i="38"/>
  <c r="U527" i="38"/>
  <c r="V527" i="38"/>
  <c r="AH527" i="38"/>
  <c r="AI527" i="38"/>
  <c r="W510" i="38"/>
  <c r="T512" i="38"/>
  <c r="H513" i="38"/>
  <c r="AH511" i="38"/>
  <c r="U511" i="38"/>
  <c r="V511" i="38"/>
  <c r="AI511" i="38"/>
  <c r="V487" i="38"/>
  <c r="U487" i="38"/>
  <c r="AH487" i="38"/>
  <c r="AI487" i="38"/>
  <c r="T488" i="38"/>
  <c r="H489" i="38"/>
  <c r="T489" i="38" s="1"/>
  <c r="AJ464" i="38"/>
  <c r="AK464" i="38"/>
  <c r="AK452" i="38"/>
  <c r="AJ452" i="38"/>
  <c r="V444" i="38"/>
  <c r="U444" i="38"/>
  <c r="AH444" i="38"/>
  <c r="AI433" i="38" s="1"/>
  <c r="AI444" i="38"/>
  <c r="AJ421" i="38"/>
  <c r="AK421" i="38"/>
  <c r="AK410" i="38"/>
  <c r="AJ410" i="38"/>
  <c r="W407" i="38"/>
  <c r="V409" i="38"/>
  <c r="U409" i="38"/>
  <c r="W409" i="38" s="1"/>
  <c r="AH409" i="38"/>
  <c r="AI409" i="38"/>
  <c r="AH408" i="38"/>
  <c r="AI397" i="38" s="1"/>
  <c r="AP25" i="38" s="1"/>
  <c r="U408" i="38"/>
  <c r="AQ22" i="38" s="1"/>
  <c r="V408" i="38"/>
  <c r="AI408" i="38"/>
  <c r="AH371" i="38"/>
  <c r="AI360" i="38" s="1"/>
  <c r="U371" i="38"/>
  <c r="V371" i="38"/>
  <c r="AI371" i="38"/>
  <c r="AH358" i="38"/>
  <c r="AI347" i="38" s="1"/>
  <c r="V358" i="38"/>
  <c r="U358" i="38"/>
  <c r="AI358" i="38"/>
  <c r="Q265" i="38"/>
  <c r="W264" i="38"/>
  <c r="V170" i="38"/>
  <c r="U170" i="38"/>
  <c r="W170" i="38" s="1"/>
  <c r="AH170" i="38"/>
  <c r="AI170" i="38"/>
  <c r="T171" i="38"/>
  <c r="AI171" i="38" s="1"/>
  <c r="H172" i="38"/>
  <c r="T172" i="38" s="1"/>
  <c r="AI172" i="38" s="1"/>
  <c r="W154" i="38"/>
  <c r="U155" i="38"/>
  <c r="V155" i="38"/>
  <c r="AH155" i="38"/>
  <c r="AI155" i="38"/>
  <c r="T156" i="38"/>
  <c r="H157" i="38"/>
  <c r="AK120" i="38"/>
  <c r="AP41" i="38" s="1"/>
  <c r="AJ120" i="38"/>
  <c r="AP40" i="38" s="1"/>
  <c r="Q45" i="38"/>
  <c r="T44" i="38"/>
  <c r="H45" i="38"/>
  <c r="AH43" i="38"/>
  <c r="V43" i="38"/>
  <c r="U43" i="38"/>
  <c r="AI43" i="38"/>
  <c r="W17" i="38"/>
  <c r="U18" i="38"/>
  <c r="AH18" i="38"/>
  <c r="V18" i="38"/>
  <c r="AI18" i="38"/>
  <c r="T19" i="38"/>
  <c r="H20" i="38"/>
  <c r="W443" i="38"/>
  <c r="W475" i="38"/>
  <c r="W431" i="38"/>
  <c r="W486" i="38"/>
  <c r="AP24" i="38"/>
  <c r="W169" i="38"/>
  <c r="N159" i="38"/>
  <c r="M159" i="38" s="1"/>
  <c r="W42" i="38"/>
  <c r="W347" i="36"/>
  <c r="V348" i="36"/>
  <c r="U348" i="36"/>
  <c r="AH348" i="36"/>
  <c r="AG348" i="36"/>
  <c r="W192" i="36"/>
  <c r="W169" i="36"/>
  <c r="W150" i="36"/>
  <c r="W231" i="36"/>
  <c r="AH211" i="36"/>
  <c r="V211" i="36"/>
  <c r="U211" i="36"/>
  <c r="AG211" i="36"/>
  <c r="W210" i="36"/>
  <c r="AH16" i="36"/>
  <c r="V16" i="36"/>
  <c r="AG16" i="36"/>
  <c r="U16" i="36"/>
  <c r="W15" i="36"/>
  <c r="H195" i="36"/>
  <c r="T194" i="36"/>
  <c r="AJ23" i="36"/>
  <c r="AI23" i="36"/>
  <c r="W221" i="36"/>
  <c r="H413" i="36"/>
  <c r="T412" i="36"/>
  <c r="H18" i="36"/>
  <c r="T17" i="36"/>
  <c r="AH193" i="36"/>
  <c r="V193" i="36"/>
  <c r="U193" i="36"/>
  <c r="AG193" i="36"/>
  <c r="AH222" i="36"/>
  <c r="AG222" i="36"/>
  <c r="V222" i="36"/>
  <c r="U222" i="36"/>
  <c r="T171" i="36"/>
  <c r="H172" i="36"/>
  <c r="T172" i="36" s="1"/>
  <c r="AH172" i="36" s="1"/>
  <c r="H400" i="36"/>
  <c r="T400" i="36" s="1"/>
  <c r="T399" i="36"/>
  <c r="AH232" i="36"/>
  <c r="V232" i="36"/>
  <c r="AG232" i="36"/>
  <c r="U232" i="36"/>
  <c r="AH170" i="36"/>
  <c r="V170" i="36"/>
  <c r="U170" i="36"/>
  <c r="AG170" i="36"/>
  <c r="AH398" i="36"/>
  <c r="AG398" i="36"/>
  <c r="U398" i="36"/>
  <c r="V398" i="36"/>
  <c r="H234" i="36"/>
  <c r="T233" i="36"/>
  <c r="AH233" i="36" s="1"/>
  <c r="AH411" i="36"/>
  <c r="AG411" i="36"/>
  <c r="V411" i="36"/>
  <c r="U411" i="36"/>
  <c r="D17" i="36"/>
  <c r="H213" i="36"/>
  <c r="T213" i="36" s="1"/>
  <c r="AH213" i="36" s="1"/>
  <c r="T212" i="36"/>
  <c r="N545" i="38" l="1"/>
  <c r="M545" i="38" s="1"/>
  <c r="AQ36" i="38"/>
  <c r="AI545" i="38"/>
  <c r="AJ532" i="38"/>
  <c r="AK532" i="38"/>
  <c r="H530" i="38"/>
  <c r="T529" i="38"/>
  <c r="V528" i="38"/>
  <c r="AH528" i="38"/>
  <c r="U528" i="38"/>
  <c r="W528" i="38" s="1"/>
  <c r="AI528" i="38"/>
  <c r="W527" i="38"/>
  <c r="V512" i="38"/>
  <c r="AH512" i="38"/>
  <c r="U512" i="38"/>
  <c r="AI512" i="38"/>
  <c r="H514" i="38"/>
  <c r="T513" i="38"/>
  <c r="W511" i="38"/>
  <c r="W487" i="38"/>
  <c r="U488" i="38"/>
  <c r="V488" i="38"/>
  <c r="AH488" i="38"/>
  <c r="AI488" i="38"/>
  <c r="AH489" i="38"/>
  <c r="V489" i="38"/>
  <c r="U489" i="38"/>
  <c r="W489" i="38" s="1"/>
  <c r="AI489" i="38"/>
  <c r="N433" i="38"/>
  <c r="M433" i="38" s="1"/>
  <c r="W444" i="38"/>
  <c r="N397" i="38"/>
  <c r="M397" i="38" s="1"/>
  <c r="W408" i="38"/>
  <c r="N360" i="38"/>
  <c r="M360" i="38" s="1"/>
  <c r="W371" i="38"/>
  <c r="N347" i="38"/>
  <c r="M347" i="38" s="1"/>
  <c r="W358" i="38"/>
  <c r="W265" i="38"/>
  <c r="Q266" i="38"/>
  <c r="AI159" i="38"/>
  <c r="W155" i="38"/>
  <c r="AH156" i="38"/>
  <c r="V156" i="38"/>
  <c r="U156" i="38"/>
  <c r="AI156" i="38"/>
  <c r="T157" i="38"/>
  <c r="AI157" i="38" s="1"/>
  <c r="H158" i="38"/>
  <c r="T158" i="38" s="1"/>
  <c r="AI158" i="38" s="1"/>
  <c r="Q46" i="38"/>
  <c r="U44" i="38"/>
  <c r="V44" i="38"/>
  <c r="AH44" i="38"/>
  <c r="AI44" i="38"/>
  <c r="H46" i="38"/>
  <c r="T45" i="38"/>
  <c r="W18" i="38"/>
  <c r="AH19" i="38"/>
  <c r="U19" i="38"/>
  <c r="V19" i="38"/>
  <c r="AI19" i="38"/>
  <c r="T20" i="38"/>
  <c r="H21" i="38"/>
  <c r="AJ159" i="38"/>
  <c r="AK159" i="38"/>
  <c r="AP36" i="38"/>
  <c r="W43" i="38"/>
  <c r="W348" i="36"/>
  <c r="W170" i="36"/>
  <c r="W193" i="36"/>
  <c r="W222" i="36"/>
  <c r="W232" i="36"/>
  <c r="AH17" i="36"/>
  <c r="V17" i="36"/>
  <c r="U17" i="36"/>
  <c r="AG17" i="36"/>
  <c r="H196" i="36"/>
  <c r="T195" i="36"/>
  <c r="D18" i="36"/>
  <c r="D19" i="36" s="1"/>
  <c r="D20" i="36" s="1"/>
  <c r="D21" i="36" s="1"/>
  <c r="D22" i="36" s="1"/>
  <c r="W398" i="36"/>
  <c r="T18" i="36"/>
  <c r="H19" i="36"/>
  <c r="AH399" i="36"/>
  <c r="V399" i="36"/>
  <c r="AG399" i="36"/>
  <c r="U399" i="36"/>
  <c r="W211" i="36"/>
  <c r="H414" i="36"/>
  <c r="T413" i="36"/>
  <c r="AH212" i="36"/>
  <c r="AG212" i="36"/>
  <c r="U212" i="36"/>
  <c r="V212" i="36"/>
  <c r="AH412" i="36"/>
  <c r="U412" i="36"/>
  <c r="V412" i="36"/>
  <c r="AG412" i="36"/>
  <c r="AH400" i="36"/>
  <c r="V400" i="36"/>
  <c r="AG400" i="36"/>
  <c r="U400" i="36"/>
  <c r="W16" i="36"/>
  <c r="H235" i="36"/>
  <c r="T235" i="36" s="1"/>
  <c r="AH235" i="36" s="1"/>
  <c r="T234" i="36"/>
  <c r="AH234" i="36" s="1"/>
  <c r="AH171" i="36"/>
  <c r="V171" i="36"/>
  <c r="U171" i="36"/>
  <c r="AG171" i="36"/>
  <c r="AH194" i="36"/>
  <c r="V194" i="36"/>
  <c r="U194" i="36"/>
  <c r="AG194" i="36"/>
  <c r="N476" i="38" l="1"/>
  <c r="M476" i="38" s="1"/>
  <c r="W512" i="38"/>
  <c r="AR36" i="38"/>
  <c r="W488" i="38"/>
  <c r="W156" i="38"/>
  <c r="N145" i="38"/>
  <c r="M145" i="38" s="1"/>
  <c r="AK545" i="38"/>
  <c r="AJ545" i="38"/>
  <c r="T530" i="38"/>
  <c r="H531" i="38"/>
  <c r="T531" i="38" s="1"/>
  <c r="AI531" i="38" s="1"/>
  <c r="U529" i="38"/>
  <c r="V529" i="38"/>
  <c r="AH529" i="38"/>
  <c r="AI529" i="38"/>
  <c r="T514" i="38"/>
  <c r="H515" i="38"/>
  <c r="T515" i="38" s="1"/>
  <c r="AI515" i="38" s="1"/>
  <c r="AH513" i="38"/>
  <c r="V513" i="38"/>
  <c r="U513" i="38"/>
  <c r="AI513" i="38"/>
  <c r="AK433" i="38"/>
  <c r="AJ433" i="38"/>
  <c r="AJ397" i="38"/>
  <c r="AP26" i="38" s="1"/>
  <c r="AK397" i="38"/>
  <c r="AP27" i="38" s="1"/>
  <c r="AJ360" i="38"/>
  <c r="AK360" i="38"/>
  <c r="AJ347" i="38"/>
  <c r="AK347" i="38"/>
  <c r="W266" i="38"/>
  <c r="Q267" i="38"/>
  <c r="AP10" i="38"/>
  <c r="AI145" i="38"/>
  <c r="W46" i="38"/>
  <c r="Q47" i="38"/>
  <c r="W47" i="38" s="1"/>
  <c r="T46" i="38"/>
  <c r="AI46" i="38" s="1"/>
  <c r="H47" i="38"/>
  <c r="T47" i="38" s="1"/>
  <c r="AI47" i="38" s="1"/>
  <c r="AH45" i="38"/>
  <c r="V45" i="38"/>
  <c r="U45" i="38"/>
  <c r="AI45" i="38"/>
  <c r="AH20" i="38"/>
  <c r="V20" i="38"/>
  <c r="U20" i="38"/>
  <c r="AI20" i="38"/>
  <c r="T21" i="38"/>
  <c r="AI21" i="38" s="1"/>
  <c r="H22" i="38"/>
  <c r="T22" i="38" s="1"/>
  <c r="AI22" i="38" s="1"/>
  <c r="W44" i="38"/>
  <c r="W19" i="38"/>
  <c r="N7" i="38"/>
  <c r="M7" i="38" s="1"/>
  <c r="W399" i="36"/>
  <c r="W400" i="36"/>
  <c r="AO16" i="36"/>
  <c r="AO36" i="36"/>
  <c r="AO31" i="36"/>
  <c r="AO24" i="36"/>
  <c r="AO32" i="36"/>
  <c r="M23" i="37" s="1"/>
  <c r="AO44" i="36"/>
  <c r="AP22" i="36"/>
  <c r="AP29" i="36"/>
  <c r="AO35" i="36"/>
  <c r="AP34" i="36"/>
  <c r="AO23" i="36"/>
  <c r="AO30" i="36"/>
  <c r="AO9" i="36"/>
  <c r="AO43" i="36"/>
  <c r="AP42" i="36" s="1"/>
  <c r="W171" i="36"/>
  <c r="W212" i="36"/>
  <c r="AH195" i="36"/>
  <c r="AG195" i="36"/>
  <c r="V195" i="36"/>
  <c r="U195" i="36"/>
  <c r="H197" i="36"/>
  <c r="T196" i="36"/>
  <c r="T19" i="36"/>
  <c r="H20" i="36"/>
  <c r="AH413" i="36"/>
  <c r="V413" i="36"/>
  <c r="AG413" i="36"/>
  <c r="U413" i="36"/>
  <c r="AH18" i="36"/>
  <c r="V18" i="36"/>
  <c r="U18" i="36"/>
  <c r="AG18" i="36"/>
  <c r="W17" i="36"/>
  <c r="W194" i="36"/>
  <c r="H415" i="36"/>
  <c r="T415" i="36" s="1"/>
  <c r="T414" i="36"/>
  <c r="AO42" i="36"/>
  <c r="AP41" i="36"/>
  <c r="AK476" i="38" l="1"/>
  <c r="AJ476" i="38"/>
  <c r="AQ15" i="38"/>
  <c r="AK145" i="38"/>
  <c r="AJ145" i="38"/>
  <c r="AH530" i="38"/>
  <c r="U530" i="38"/>
  <c r="V530" i="38"/>
  <c r="AI530" i="38"/>
  <c r="N516" i="38"/>
  <c r="M516" i="38" s="1"/>
  <c r="W529" i="38"/>
  <c r="U514" i="38"/>
  <c r="V514" i="38"/>
  <c r="AH514" i="38"/>
  <c r="AP31" i="38" s="1"/>
  <c r="AI514" i="38"/>
  <c r="N500" i="38"/>
  <c r="M500" i="38" s="1"/>
  <c r="W513" i="38"/>
  <c r="W267" i="38"/>
  <c r="Q268" i="38"/>
  <c r="AH5" i="38"/>
  <c r="AI7" i="38"/>
  <c r="AP17" i="38"/>
  <c r="W20" i="38"/>
  <c r="AK7" i="38"/>
  <c r="AJ7" i="38"/>
  <c r="AP22" i="38"/>
  <c r="W45" i="38"/>
  <c r="W195" i="36"/>
  <c r="AO41" i="36"/>
  <c r="AQ41" i="36" s="1"/>
  <c r="AO29" i="36"/>
  <c r="AQ29" i="36" s="1"/>
  <c r="H198" i="36"/>
  <c r="T197" i="36"/>
  <c r="T20" i="36"/>
  <c r="H21" i="36"/>
  <c r="AH414" i="36"/>
  <c r="AG414" i="36"/>
  <c r="U414" i="36"/>
  <c r="V414" i="36"/>
  <c r="W18" i="36"/>
  <c r="AH19" i="36"/>
  <c r="AG19" i="36"/>
  <c r="V19" i="36"/>
  <c r="U19" i="36"/>
  <c r="AH415" i="36"/>
  <c r="U415" i="36"/>
  <c r="V415" i="36"/>
  <c r="AG415" i="36"/>
  <c r="AH196" i="36"/>
  <c r="V196" i="36"/>
  <c r="AG196" i="36"/>
  <c r="U196" i="36"/>
  <c r="W19" i="36" l="1"/>
  <c r="G4" i="38"/>
  <c r="C3" i="38"/>
  <c r="I1" i="38" s="1"/>
  <c r="AR22" i="38"/>
  <c r="AI500" i="38"/>
  <c r="AI476" i="38"/>
  <c r="AI516" i="38"/>
  <c r="AI32" i="38"/>
  <c r="N32" i="38"/>
  <c r="M32" i="38" s="1"/>
  <c r="AQ8" i="38"/>
  <c r="AQ29" i="38"/>
  <c r="W530" i="38"/>
  <c r="AK516" i="38"/>
  <c r="AJ516" i="38"/>
  <c r="G3" i="38"/>
  <c r="G2" i="38"/>
  <c r="C4" i="38"/>
  <c r="I2" i="38" s="1"/>
  <c r="C2" i="38"/>
  <c r="W514" i="38"/>
  <c r="AJ500" i="38"/>
  <c r="AP33" i="38" s="1"/>
  <c r="AK500" i="38"/>
  <c r="AP34" i="38" s="1"/>
  <c r="Q269" i="38"/>
  <c r="W268" i="38"/>
  <c r="H22" i="36"/>
  <c r="T22" i="36" s="1"/>
  <c r="AH22" i="36" s="1"/>
  <c r="T21" i="36"/>
  <c r="AH20" i="36"/>
  <c r="V20" i="36"/>
  <c r="AG20" i="36"/>
  <c r="U20" i="36"/>
  <c r="W196" i="36"/>
  <c r="AH403" i="36"/>
  <c r="AH388" i="36"/>
  <c r="AH23" i="36"/>
  <c r="AH197" i="36"/>
  <c r="AG197" i="36"/>
  <c r="U197" i="36"/>
  <c r="V197" i="36"/>
  <c r="H199" i="36"/>
  <c r="T199" i="36" s="1"/>
  <c r="AH199" i="36" s="1"/>
  <c r="T198" i="36"/>
  <c r="AJ32" i="38" l="1"/>
  <c r="AK32" i="38"/>
  <c r="W269" i="38"/>
  <c r="Q270" i="38"/>
  <c r="AP32" i="38"/>
  <c r="AQ43" i="38"/>
  <c r="AP18" i="38"/>
  <c r="W20" i="36"/>
  <c r="AO10" i="36"/>
  <c r="C4" i="36"/>
  <c r="I2" i="36" s="1"/>
  <c r="AH198" i="36"/>
  <c r="V198" i="36"/>
  <c r="AG198" i="36"/>
  <c r="U198" i="36"/>
  <c r="AH21" i="36"/>
  <c r="U21" i="36"/>
  <c r="V21" i="36"/>
  <c r="AG21" i="36"/>
  <c r="W197" i="36"/>
  <c r="AP8" i="36"/>
  <c r="AP29" i="38" l="1"/>
  <c r="AR29" i="38" s="1"/>
  <c r="C2" i="36"/>
  <c r="AP19" i="38"/>
  <c r="AP20" i="38"/>
  <c r="Q271" i="38"/>
  <c r="W270" i="38"/>
  <c r="C3" i="36"/>
  <c r="N32" i="36" s="1"/>
  <c r="G2" i="36"/>
  <c r="W198" i="36"/>
  <c r="AG5" i="36"/>
  <c r="AO17" i="36"/>
  <c r="W21" i="36"/>
  <c r="AP15" i="36"/>
  <c r="G3" i="36"/>
  <c r="G4" i="36"/>
  <c r="K79" i="36" l="1"/>
  <c r="L79" i="36" s="1"/>
  <c r="AH79" i="36" s="1"/>
  <c r="N416" i="36"/>
  <c r="M416" i="36" s="1"/>
  <c r="K381" i="36"/>
  <c r="L381" i="36" s="1"/>
  <c r="AH381" i="36" s="1"/>
  <c r="N369" i="36"/>
  <c r="K369" i="36"/>
  <c r="L369" i="36" s="1"/>
  <c r="AH369" i="36" s="1"/>
  <c r="K224" i="36"/>
  <c r="L224" i="36" s="1"/>
  <c r="AH224" i="36" s="1"/>
  <c r="N214" i="36"/>
  <c r="K152" i="36"/>
  <c r="L152" i="36" s="1"/>
  <c r="AH152" i="36" s="1"/>
  <c r="AP15" i="38"/>
  <c r="AR15" i="38" s="1"/>
  <c r="W271" i="38"/>
  <c r="Q272" i="38"/>
  <c r="I1" i="36"/>
  <c r="K180" i="36"/>
  <c r="L180" i="36" s="1"/>
  <c r="AH180" i="36" s="1"/>
  <c r="N186" i="36"/>
  <c r="N335" i="36"/>
  <c r="K330" i="36"/>
  <c r="L330" i="36" s="1"/>
  <c r="AH330" i="36" s="1"/>
  <c r="N200" i="36"/>
  <c r="N330" i="36"/>
  <c r="M330" i="36" s="1"/>
  <c r="K293" i="36"/>
  <c r="L293" i="36" s="1"/>
  <c r="AH293" i="36" s="1"/>
  <c r="N111" i="36"/>
  <c r="N7" i="36"/>
  <c r="N104" i="36"/>
  <c r="K54" i="36"/>
  <c r="L54" i="36" s="1"/>
  <c r="AH54" i="36" s="1"/>
  <c r="K97" i="36"/>
  <c r="L97" i="36" s="1"/>
  <c r="AH97" i="36" s="1"/>
  <c r="K48" i="36"/>
  <c r="L48" i="36" s="1"/>
  <c r="N374" i="36"/>
  <c r="N161" i="36"/>
  <c r="K186" i="36"/>
  <c r="L186" i="36" s="1"/>
  <c r="N236" i="36"/>
  <c r="K104" i="36"/>
  <c r="L104" i="36" s="1"/>
  <c r="AH104" i="36" s="1"/>
  <c r="K32" i="36"/>
  <c r="L32" i="36" s="1"/>
  <c r="N125" i="36"/>
  <c r="K214" i="36"/>
  <c r="L214" i="36" s="1"/>
  <c r="AH214" i="36" s="1"/>
  <c r="N152" i="36"/>
  <c r="M152" i="36" s="1"/>
  <c r="N143" i="36"/>
  <c r="N77" i="36"/>
  <c r="M77" i="36" s="1"/>
  <c r="N97" i="36"/>
  <c r="N256" i="36"/>
  <c r="M256" i="36" s="1"/>
  <c r="N134" i="36"/>
  <c r="N70" i="36"/>
  <c r="N350" i="36"/>
  <c r="K335" i="36"/>
  <c r="L335" i="36" s="1"/>
  <c r="AH335" i="36" s="1"/>
  <c r="N364" i="36"/>
  <c r="M364" i="36" s="1"/>
  <c r="K134" i="36"/>
  <c r="L134" i="36" s="1"/>
  <c r="AH134" i="36" s="1"/>
  <c r="N388" i="36"/>
  <c r="M388" i="36" s="1"/>
  <c r="AJ388" i="36" s="1"/>
  <c r="N403" i="36"/>
  <c r="M403" i="36" s="1"/>
  <c r="N85" i="36"/>
  <c r="K374" i="36"/>
  <c r="L374" i="36" s="1"/>
  <c r="AH374" i="36" s="1"/>
  <c r="N381" i="36"/>
  <c r="K340" i="36"/>
  <c r="L340" i="36" s="1"/>
  <c r="AH340" i="36" s="1"/>
  <c r="N118" i="36"/>
  <c r="M118" i="36" s="1"/>
  <c r="K7" i="36"/>
  <c r="L7" i="36" s="1"/>
  <c r="AH7" i="36" s="1"/>
  <c r="K143" i="36"/>
  <c r="L143" i="36" s="1"/>
  <c r="AH143" i="36" s="1"/>
  <c r="K359" i="36"/>
  <c r="L359" i="36" s="1"/>
  <c r="AH359" i="36" s="1"/>
  <c r="K256" i="36"/>
  <c r="L256" i="36" s="1"/>
  <c r="AH256" i="36" s="1"/>
  <c r="N54" i="36"/>
  <c r="N79" i="36"/>
  <c r="M79" i="36" s="1"/>
  <c r="N340" i="36"/>
  <c r="K200" i="36"/>
  <c r="L200" i="36" s="1"/>
  <c r="AH200" i="36" s="1"/>
  <c r="K70" i="36"/>
  <c r="L70" i="36" s="1"/>
  <c r="AH70" i="36" s="1"/>
  <c r="K161" i="36"/>
  <c r="L161" i="36" s="1"/>
  <c r="AH161" i="36" s="1"/>
  <c r="AO37" i="36" s="1"/>
  <c r="N48" i="36"/>
  <c r="K236" i="36"/>
  <c r="L236" i="36" s="1"/>
  <c r="AH236" i="36" s="1"/>
  <c r="K350" i="36"/>
  <c r="L350" i="36" s="1"/>
  <c r="AH350" i="36" s="1"/>
  <c r="K90" i="36"/>
  <c r="L90" i="36" s="1"/>
  <c r="AH90" i="36" s="1"/>
  <c r="N90" i="36"/>
  <c r="M90" i="36" s="1"/>
  <c r="M369" i="36"/>
  <c r="AI369" i="36" s="1"/>
  <c r="K125" i="36"/>
  <c r="L125" i="36" s="1"/>
  <c r="AH125" i="36" s="1"/>
  <c r="K62" i="36"/>
  <c r="L62" i="36" s="1"/>
  <c r="AH62" i="36" s="1"/>
  <c r="K85" i="36"/>
  <c r="L85" i="36" s="1"/>
  <c r="AH85" i="36" s="1"/>
  <c r="AO25" i="36" s="1"/>
  <c r="N180" i="36"/>
  <c r="M180" i="36" s="1"/>
  <c r="AJ180" i="36" s="1"/>
  <c r="N293" i="36"/>
  <c r="N62" i="36"/>
  <c r="N359" i="36"/>
  <c r="K111" i="36"/>
  <c r="L111" i="36" s="1"/>
  <c r="AH111" i="36" s="1"/>
  <c r="K173" i="36"/>
  <c r="L173" i="36" s="1"/>
  <c r="AH173" i="36" s="1"/>
  <c r="N173" i="36"/>
  <c r="M173" i="36" s="1"/>
  <c r="N224" i="36"/>
  <c r="M224" i="36" s="1"/>
  <c r="M200" i="36"/>
  <c r="M359" i="36"/>
  <c r="AJ77" i="36"/>
  <c r="AI77" i="36"/>
  <c r="AI200" i="36"/>
  <c r="AJ200" i="36"/>
  <c r="M335" i="36"/>
  <c r="AJ79" i="36"/>
  <c r="AI79" i="36"/>
  <c r="M381" i="36"/>
  <c r="K4" i="36"/>
  <c r="W5" i="36"/>
  <c r="AJ416" i="36"/>
  <c r="AI416" i="36"/>
  <c r="AJ364" i="36" l="1"/>
  <c r="AI364" i="36"/>
  <c r="AJ403" i="36"/>
  <c r="AI403" i="36"/>
  <c r="AJ118" i="36"/>
  <c r="AI118" i="36"/>
  <c r="M374" i="36"/>
  <c r="AJ374" i="36" s="1"/>
  <c r="M236" i="36"/>
  <c r="AI236" i="36" s="1"/>
  <c r="M104" i="36"/>
  <c r="M340" i="36"/>
  <c r="AJ340" i="36" s="1"/>
  <c r="W272" i="38"/>
  <c r="Q273" i="38"/>
  <c r="M97" i="36"/>
  <c r="M54" i="36"/>
  <c r="M293" i="36"/>
  <c r="AJ293" i="36" s="1"/>
  <c r="AI330" i="36"/>
  <c r="AJ330" i="36"/>
  <c r="AH48" i="36"/>
  <c r="AO11" i="36" s="1"/>
  <c r="M48" i="36"/>
  <c r="AI48" i="36" s="1"/>
  <c r="AH186" i="36"/>
  <c r="M186" i="36"/>
  <c r="AH32" i="36"/>
  <c r="M32" i="36"/>
  <c r="AI340" i="36"/>
  <c r="M143" i="36"/>
  <c r="M134" i="36"/>
  <c r="AI388" i="36"/>
  <c r="M214" i="36"/>
  <c r="AI374" i="36"/>
  <c r="AJ369" i="36"/>
  <c r="M7" i="36"/>
  <c r="M70" i="36"/>
  <c r="M161" i="36"/>
  <c r="AJ236" i="36"/>
  <c r="AI180" i="36"/>
  <c r="M125" i="36"/>
  <c r="M62" i="36"/>
  <c r="M350" i="36"/>
  <c r="AI293" i="36"/>
  <c r="M85" i="36"/>
  <c r="M111" i="36"/>
  <c r="AJ97" i="36"/>
  <c r="AI97" i="36"/>
  <c r="AJ152" i="36"/>
  <c r="AI152" i="36"/>
  <c r="AJ381" i="36"/>
  <c r="AI381" i="36"/>
  <c r="AJ335" i="36"/>
  <c r="AI335" i="36"/>
  <c r="AJ90" i="36"/>
  <c r="AI90" i="36"/>
  <c r="AJ48" i="36"/>
  <c r="AJ224" i="36"/>
  <c r="AI224" i="36"/>
  <c r="AJ186" i="36"/>
  <c r="AI186" i="36"/>
  <c r="AI173" i="36"/>
  <c r="AJ173" i="36"/>
  <c r="AJ256" i="36"/>
  <c r="AI256" i="36"/>
  <c r="AJ359" i="36"/>
  <c r="AI359" i="36"/>
  <c r="AJ104" i="36"/>
  <c r="AI104" i="36"/>
  <c r="AO18" i="36" l="1"/>
  <c r="AH5" i="36"/>
  <c r="AI143" i="36"/>
  <c r="AJ143" i="36"/>
  <c r="W273" i="38"/>
  <c r="Q274" i="38"/>
  <c r="AI54" i="36"/>
  <c r="AJ54" i="36"/>
  <c r="AI32" i="36"/>
  <c r="AJ32" i="36"/>
  <c r="AJ214" i="36"/>
  <c r="AI214" i="36"/>
  <c r="AI134" i="36"/>
  <c r="AJ134" i="36"/>
  <c r="AJ161" i="36"/>
  <c r="AO39" i="36" s="1"/>
  <c r="AI161" i="36"/>
  <c r="AO38" i="36" s="1"/>
  <c r="AI70" i="36"/>
  <c r="AJ70" i="36"/>
  <c r="AJ7" i="36"/>
  <c r="AI7" i="36"/>
  <c r="AJ85" i="36"/>
  <c r="AO27" i="36" s="1"/>
  <c r="AI85" i="36"/>
  <c r="AO26" i="36" s="1"/>
  <c r="AJ350" i="36"/>
  <c r="AI350" i="36"/>
  <c r="AI62" i="36"/>
  <c r="AJ62" i="36"/>
  <c r="AJ111" i="36"/>
  <c r="AI111" i="36"/>
  <c r="AJ125" i="36"/>
  <c r="AI125" i="36"/>
  <c r="K17" i="37" l="1"/>
  <c r="W274" i="38"/>
  <c r="Q275" i="38"/>
  <c r="AO20" i="36"/>
  <c r="AO19" i="36"/>
  <c r="AO15" i="36" s="1"/>
  <c r="AQ15" i="36" s="1"/>
  <c r="AO13" i="36"/>
  <c r="K21" i="37" s="1"/>
  <c r="M17" i="37"/>
  <c r="AO12" i="36"/>
  <c r="AO34" i="36"/>
  <c r="AQ34" i="36" s="1"/>
  <c r="AO22" i="36"/>
  <c r="AQ22" i="36" s="1"/>
  <c r="AJ5" i="36"/>
  <c r="AI5" i="36"/>
  <c r="AK5" i="36" l="1"/>
  <c r="AL5" i="36" s="1"/>
  <c r="W275" i="38"/>
  <c r="Q276" i="38"/>
  <c r="AO8" i="36"/>
  <c r="M21" i="37"/>
  <c r="K86" i="37"/>
  <c r="L50" i="37"/>
  <c r="Q1" i="37" l="1"/>
  <c r="W276" i="38"/>
  <c r="Q277" i="38"/>
  <c r="L86" i="37"/>
  <c r="M50" i="37"/>
  <c r="AQ8" i="36"/>
  <c r="AO46" i="36"/>
  <c r="AO47" i="36" s="1"/>
  <c r="W277" i="38" l="1"/>
  <c r="Q278" i="38"/>
  <c r="Q2" i="37"/>
  <c r="Q3" i="37" s="1"/>
  <c r="W278" i="38" l="1"/>
  <c r="Q279" i="38"/>
  <c r="W279" i="38" l="1"/>
  <c r="Q280" i="38"/>
  <c r="W280" i="38" l="1"/>
  <c r="Q281" i="38"/>
  <c r="W281" i="38" l="1"/>
  <c r="Q282" i="38"/>
  <c r="W282" i="38" l="1"/>
  <c r="Q283" i="38"/>
  <c r="W283" i="38" l="1"/>
  <c r="Q284" i="38"/>
  <c r="W284" i="38" l="1"/>
  <c r="Q285" i="38"/>
  <c r="W285" i="38" l="1"/>
  <c r="Q286" i="38"/>
  <c r="W286" i="38" l="1"/>
  <c r="Q287" i="38"/>
  <c r="W287" i="38" l="1"/>
  <c r="Q288" i="38"/>
  <c r="N252" i="38" l="1"/>
  <c r="M252" i="38" s="1"/>
  <c r="N215" i="38"/>
  <c r="M215" i="38" s="1"/>
  <c r="AI215" i="38"/>
  <c r="AI252" i="38"/>
  <c r="AP11" i="38" s="1"/>
  <c r="W288" i="38"/>
  <c r="AJ252" i="38" l="1"/>
  <c r="AK252" i="38"/>
  <c r="AJ215" i="38"/>
  <c r="AK215" i="38"/>
  <c r="K4" i="38"/>
  <c r="W5" i="38"/>
  <c r="AI5" i="38"/>
  <c r="AJ5" i="38" l="1"/>
  <c r="AP12" i="38"/>
  <c r="AK5" i="38"/>
  <c r="AP13" i="38"/>
  <c r="C61" i="6"/>
  <c r="D61" i="6" s="1"/>
  <c r="E62" i="6" s="1"/>
  <c r="AL5" i="38" l="1"/>
  <c r="AP8" i="38"/>
  <c r="C62" i="6"/>
  <c r="D62" i="6" s="1"/>
  <c r="AM5" i="38" l="1"/>
  <c r="AR8" i="38"/>
  <c r="AP43" i="38"/>
  <c r="AR43" i="38" l="1"/>
  <c r="AP44" i="38"/>
  <c r="N64" i="6" l="1"/>
  <c r="N77" i="6" l="1"/>
  <c r="N58" i="6"/>
  <c r="N42" i="6"/>
  <c r="N4" i="6"/>
  <c r="C39" i="6" l="1"/>
  <c r="C40" i="6"/>
  <c r="C72" i="6"/>
  <c r="G72" i="6" s="1"/>
  <c r="F39" i="6"/>
  <c r="F40" i="6"/>
  <c r="F17" i="6"/>
  <c r="F36" i="6"/>
  <c r="C90" i="6"/>
  <c r="G90" i="6" s="1"/>
  <c r="F50" i="6"/>
  <c r="F46" i="6"/>
  <c r="F31" i="6"/>
  <c r="F22" i="6"/>
  <c r="F59" i="6"/>
  <c r="F48" i="6"/>
  <c r="F51" i="6"/>
  <c r="F34" i="6"/>
  <c r="F29" i="6"/>
  <c r="F18" i="6"/>
  <c r="F60" i="6"/>
  <c r="F53" i="6"/>
  <c r="F52" i="6"/>
  <c r="F38" i="6"/>
  <c r="F21" i="6"/>
  <c r="F54" i="6"/>
  <c r="F32" i="6"/>
  <c r="F24" i="6"/>
  <c r="F16" i="6"/>
  <c r="F8" i="6"/>
  <c r="C36" i="6"/>
  <c r="C35" i="6"/>
  <c r="C83" i="6"/>
  <c r="G83" i="6" s="1"/>
  <c r="C94" i="6"/>
  <c r="G94" i="6" s="1"/>
  <c r="K94" i="6" s="1"/>
  <c r="N94" i="6" s="1"/>
  <c r="F45" i="6"/>
  <c r="F25" i="6"/>
  <c r="F13" i="6"/>
  <c r="F15" i="6"/>
  <c r="F28" i="6"/>
  <c r="C91" i="6"/>
  <c r="G91" i="6" s="1"/>
  <c r="C92" i="6"/>
  <c r="G92" i="6" s="1"/>
  <c r="C93" i="6"/>
  <c r="G93" i="6" s="1"/>
  <c r="F9" i="6"/>
  <c r="F56" i="6"/>
  <c r="F19" i="6"/>
  <c r="F27" i="6"/>
  <c r="F11" i="6"/>
  <c r="F44" i="6"/>
  <c r="F23" i="6"/>
  <c r="F43" i="6"/>
  <c r="F10" i="6"/>
  <c r="F7" i="6"/>
  <c r="F5" i="6"/>
  <c r="F6" i="6"/>
  <c r="F33" i="6"/>
  <c r="F20" i="6"/>
  <c r="F35" i="6"/>
  <c r="F26" i="6"/>
  <c r="F61" i="6"/>
  <c r="G61" i="6" s="1"/>
  <c r="N61" i="6" s="1"/>
  <c r="F55" i="6"/>
  <c r="F49" i="6"/>
  <c r="F47" i="6"/>
  <c r="F30" i="6"/>
  <c r="F12" i="6"/>
  <c r="F37" i="6"/>
  <c r="F14" i="6"/>
  <c r="C34" i="6"/>
  <c r="C33" i="6"/>
  <c r="C78" i="6"/>
  <c r="G78" i="6" s="1"/>
  <c r="H78" i="6" s="1"/>
  <c r="N78" i="6" s="1"/>
  <c r="C45" i="6"/>
  <c r="H72" i="6" l="1"/>
  <c r="N72" i="6" s="1"/>
  <c r="G39" i="6"/>
  <c r="N39" i="6" s="1"/>
  <c r="G40" i="6"/>
  <c r="K40" i="6" s="1"/>
  <c r="N40" i="6" s="1"/>
  <c r="K90" i="6"/>
  <c r="N90" i="6" s="1"/>
  <c r="K83" i="6"/>
  <c r="N83" i="6" s="1"/>
  <c r="K91" i="6"/>
  <c r="N91" i="6" s="1"/>
  <c r="K92" i="6"/>
  <c r="N92" i="6" s="1"/>
  <c r="K93" i="6"/>
  <c r="N93" i="6" s="1"/>
  <c r="G36" i="6"/>
  <c r="G35" i="6"/>
  <c r="F42" i="6"/>
  <c r="G33" i="6"/>
  <c r="K33" i="6" s="1"/>
  <c r="N33" i="6" s="1"/>
  <c r="G34" i="6"/>
  <c r="G45" i="6"/>
  <c r="K45" i="6" s="1"/>
  <c r="N45" i="6" s="1"/>
  <c r="C96" i="6"/>
  <c r="D49" i="6" s="1"/>
  <c r="C84" i="6"/>
  <c r="G84" i="6" s="1"/>
  <c r="K84" i="6" s="1"/>
  <c r="N84" i="6" s="1"/>
  <c r="C97" i="6"/>
  <c r="G97" i="6" s="1"/>
  <c r="J97" i="6" s="1"/>
  <c r="N97" i="6" s="1"/>
  <c r="C25" i="6"/>
  <c r="C71" i="6"/>
  <c r="G71" i="6" s="1"/>
  <c r="H71" i="6" s="1"/>
  <c r="N71" i="6" s="1"/>
  <c r="C12" i="6"/>
  <c r="G12" i="6" s="1"/>
  <c r="H12" i="6" s="1"/>
  <c r="N12" i="6" s="1"/>
  <c r="C21" i="6"/>
  <c r="C13" i="6"/>
  <c r="C69" i="6"/>
  <c r="G69" i="6" s="1"/>
  <c r="I69" i="6" s="1"/>
  <c r="C10" i="6"/>
  <c r="C23" i="6"/>
  <c r="C20" i="6"/>
  <c r="C60" i="6"/>
  <c r="C38" i="6"/>
  <c r="C8" i="6"/>
  <c r="C75" i="6"/>
  <c r="G75" i="6" s="1"/>
  <c r="H75" i="6" s="1"/>
  <c r="N75" i="6" s="1"/>
  <c r="C80" i="6"/>
  <c r="G80" i="6" s="1"/>
  <c r="H80" i="6" s="1"/>
  <c r="N80" i="6" s="1"/>
  <c r="C49" i="6"/>
  <c r="C85" i="6"/>
  <c r="G85" i="6" s="1"/>
  <c r="K85" i="6" s="1"/>
  <c r="N85" i="6" s="1"/>
  <c r="C70" i="6"/>
  <c r="G70" i="6" s="1"/>
  <c r="C7" i="6"/>
  <c r="C44" i="6"/>
  <c r="C24" i="6"/>
  <c r="C79" i="6"/>
  <c r="C37" i="6"/>
  <c r="C54" i="6"/>
  <c r="C74" i="6"/>
  <c r="G74" i="6" s="1"/>
  <c r="H74" i="6" s="1"/>
  <c r="N74" i="6" s="1"/>
  <c r="C16" i="6"/>
  <c r="C27" i="6"/>
  <c r="C47" i="6"/>
  <c r="C98" i="6"/>
  <c r="G98" i="6" s="1"/>
  <c r="C46" i="6"/>
  <c r="C86" i="6"/>
  <c r="G86" i="6" s="1"/>
  <c r="K86" i="6" s="1"/>
  <c r="N86" i="6" s="1"/>
  <c r="C19" i="6"/>
  <c r="C65" i="6"/>
  <c r="G65" i="6" s="1"/>
  <c r="H65" i="6" s="1"/>
  <c r="N65" i="6" s="1"/>
  <c r="C31" i="6"/>
  <c r="C43" i="6"/>
  <c r="C59" i="6"/>
  <c r="C28" i="6"/>
  <c r="C67" i="6"/>
  <c r="G67" i="6" s="1"/>
  <c r="C68" i="6"/>
  <c r="G68" i="6" s="1"/>
  <c r="H68" i="6" s="1"/>
  <c r="N68" i="6" s="1"/>
  <c r="C81" i="6"/>
  <c r="G81" i="6" s="1"/>
  <c r="H81" i="6" s="1"/>
  <c r="N81" i="6" s="1"/>
  <c r="C18" i="6"/>
  <c r="C32" i="6"/>
  <c r="F99" i="6"/>
  <c r="C26" i="6"/>
  <c r="C50" i="6"/>
  <c r="C52" i="6"/>
  <c r="C53" i="6"/>
  <c r="G53" i="6" s="1"/>
  <c r="K53" i="6" s="1"/>
  <c r="N53" i="6" s="1"/>
  <c r="C73" i="6"/>
  <c r="G73" i="6" s="1"/>
  <c r="H73" i="6" s="1"/>
  <c r="N73" i="6" s="1"/>
  <c r="C99" i="6"/>
  <c r="C9" i="6"/>
  <c r="C14" i="6"/>
  <c r="G14" i="6" s="1"/>
  <c r="H14" i="6" s="1"/>
  <c r="N14" i="6" s="1"/>
  <c r="C56" i="6"/>
  <c r="C66" i="6"/>
  <c r="G66" i="6" s="1"/>
  <c r="H66" i="6" s="1"/>
  <c r="N66" i="6" s="1"/>
  <c r="C55" i="6"/>
  <c r="G55" i="6" s="1"/>
  <c r="J55" i="6" s="1"/>
  <c r="N55" i="6" s="1"/>
  <c r="C48" i="6"/>
  <c r="C22" i="6"/>
  <c r="C30" i="6"/>
  <c r="C15" i="6"/>
  <c r="C11" i="6"/>
  <c r="C87" i="6"/>
  <c r="G87" i="6" s="1"/>
  <c r="K87" i="6" s="1"/>
  <c r="N87" i="6" s="1"/>
  <c r="C89" i="6"/>
  <c r="G89" i="6" s="1"/>
  <c r="K89" i="6" s="1"/>
  <c r="N89" i="6" s="1"/>
  <c r="C51" i="6"/>
  <c r="C17" i="6"/>
  <c r="C29" i="6"/>
  <c r="C82" i="6"/>
  <c r="G82" i="6" s="1"/>
  <c r="K82" i="6" s="1"/>
  <c r="N82" i="6" s="1"/>
  <c r="C88" i="6"/>
  <c r="G88" i="6" s="1"/>
  <c r="K88" i="6" s="1"/>
  <c r="N88" i="6" s="1"/>
  <c r="C95" i="6"/>
  <c r="G95" i="6" s="1"/>
  <c r="K95" i="6" s="1"/>
  <c r="N95" i="6" s="1"/>
  <c r="C5" i="6"/>
  <c r="C6" i="6"/>
  <c r="C4" i="6" l="1"/>
  <c r="K36" i="6"/>
  <c r="N36" i="6" s="1"/>
  <c r="K35" i="6"/>
  <c r="N35" i="6" s="1"/>
  <c r="G60" i="6"/>
  <c r="L60" i="6" s="1"/>
  <c r="N60" i="6" s="1"/>
  <c r="I70" i="6"/>
  <c r="N70" i="6" s="1"/>
  <c r="G6" i="6"/>
  <c r="N6" i="6" s="1"/>
  <c r="K34" i="6"/>
  <c r="N34" i="6" s="1"/>
  <c r="G79" i="6"/>
  <c r="H79" i="6" s="1"/>
  <c r="N79" i="6" s="1"/>
  <c r="C77" i="6"/>
  <c r="G49" i="6"/>
  <c r="G25" i="6"/>
  <c r="I25" i="6" s="1"/>
  <c r="N25" i="6" s="1"/>
  <c r="G48" i="6"/>
  <c r="J48" i="6" s="1"/>
  <c r="N48" i="6" s="1"/>
  <c r="G13" i="6"/>
  <c r="H13" i="6" s="1"/>
  <c r="N13" i="6" s="1"/>
  <c r="G20" i="6"/>
  <c r="H20" i="6" s="1"/>
  <c r="N20" i="6" s="1"/>
  <c r="G10" i="6"/>
  <c r="N10" i="6" s="1"/>
  <c r="N69" i="6"/>
  <c r="G11" i="6"/>
  <c r="N11" i="6" s="1"/>
  <c r="G21" i="6"/>
  <c r="H21" i="6" s="1"/>
  <c r="N21" i="6" s="1"/>
  <c r="J98" i="6"/>
  <c r="N98" i="6" s="1"/>
  <c r="G38" i="6"/>
  <c r="K38" i="6" s="1"/>
  <c r="N38" i="6" s="1"/>
  <c r="G24" i="6"/>
  <c r="H24" i="6" s="1"/>
  <c r="N24" i="6" s="1"/>
  <c r="G22" i="6"/>
  <c r="H22" i="6" s="1"/>
  <c r="N22" i="6" s="1"/>
  <c r="C58" i="6"/>
  <c r="G7" i="6"/>
  <c r="N7" i="6" s="1"/>
  <c r="G32" i="6"/>
  <c r="K32" i="6" s="1"/>
  <c r="N32" i="6" s="1"/>
  <c r="G23" i="6"/>
  <c r="N23" i="6" s="1"/>
  <c r="G8" i="6"/>
  <c r="N8" i="6" s="1"/>
  <c r="G46" i="6"/>
  <c r="K46" i="6" s="1"/>
  <c r="N46" i="6" s="1"/>
  <c r="G26" i="6"/>
  <c r="I26" i="6" s="1"/>
  <c r="G37" i="6"/>
  <c r="K37" i="6" s="1"/>
  <c r="N37" i="6" s="1"/>
  <c r="G47" i="6"/>
  <c r="J47" i="6" s="1"/>
  <c r="N47" i="6" s="1"/>
  <c r="G31" i="6"/>
  <c r="K31" i="6" s="1"/>
  <c r="N31" i="6" s="1"/>
  <c r="G54" i="6"/>
  <c r="H54" i="6" s="1"/>
  <c r="N54" i="6" s="1"/>
  <c r="G27" i="6"/>
  <c r="N27" i="6" s="1"/>
  <c r="G30" i="6"/>
  <c r="K30" i="6" s="1"/>
  <c r="N30" i="6" s="1"/>
  <c r="G28" i="6"/>
  <c r="N28" i="6" s="1"/>
  <c r="G16" i="6"/>
  <c r="H16" i="6" s="1"/>
  <c r="N16" i="6" s="1"/>
  <c r="G59" i="6"/>
  <c r="M59" i="6" s="1"/>
  <c r="M102" i="6" s="1"/>
  <c r="G52" i="6"/>
  <c r="K52" i="6" s="1"/>
  <c r="N52" i="6" s="1"/>
  <c r="G51" i="6"/>
  <c r="K51" i="6" s="1"/>
  <c r="N51" i="6" s="1"/>
  <c r="G29" i="6"/>
  <c r="K29" i="6" s="1"/>
  <c r="N29" i="6" s="1"/>
  <c r="G19" i="6"/>
  <c r="H19" i="6" s="1"/>
  <c r="N19" i="6" s="1"/>
  <c r="G9" i="6"/>
  <c r="G50" i="6"/>
  <c r="J50" i="6" s="1"/>
  <c r="N50" i="6" s="1"/>
  <c r="G18" i="6"/>
  <c r="H18" i="6" s="1"/>
  <c r="N18" i="6" s="1"/>
  <c r="G43" i="6"/>
  <c r="N43" i="6" s="1"/>
  <c r="G56" i="6"/>
  <c r="F4" i="6"/>
  <c r="C42" i="6"/>
  <c r="G17" i="6"/>
  <c r="H17" i="6" s="1"/>
  <c r="N17" i="6" s="1"/>
  <c r="G15" i="6"/>
  <c r="H15" i="6" s="1"/>
  <c r="N15" i="6" s="1"/>
  <c r="C64" i="6"/>
  <c r="G96" i="6"/>
  <c r="H96" i="6" s="1"/>
  <c r="N96" i="6" s="1"/>
  <c r="D44" i="6"/>
  <c r="G44" i="6" s="1"/>
  <c r="N44" i="6" s="1"/>
  <c r="K49" i="6" l="1"/>
  <c r="N49" i="6" s="1"/>
  <c r="I102" i="6"/>
  <c r="K56" i="6"/>
  <c r="N56" i="6" s="1"/>
  <c r="N26" i="6"/>
  <c r="N59" i="6"/>
  <c r="C100" i="6"/>
  <c r="E100" i="6" s="1"/>
  <c r="F102" i="6"/>
  <c r="N9" i="6"/>
  <c r="G5" i="6"/>
  <c r="C102" i="6" l="1"/>
  <c r="N5" i="6"/>
  <c r="H67" i="6" l="1"/>
  <c r="J102" i="6"/>
  <c r="H102" i="6" l="1"/>
  <c r="N67" i="6"/>
  <c r="L102" i="6"/>
  <c r="M103" i="6" l="1"/>
  <c r="G100" i="6" l="1"/>
  <c r="D102" i="6"/>
  <c r="G62" i="6"/>
  <c r="E102" i="6"/>
  <c r="K62" i="6" l="1"/>
  <c r="K102" i="6" s="1"/>
  <c r="G102" i="6"/>
  <c r="E103" i="6"/>
  <c r="K103" i="6" l="1"/>
  <c r="N103" i="6" s="1"/>
  <c r="N62" i="6"/>
  <c r="N102" i="6" s="1"/>
  <c r="N104" i="6" l="1"/>
</calcChain>
</file>

<file path=xl/sharedStrings.xml><?xml version="1.0" encoding="utf-8"?>
<sst xmlns="http://schemas.openxmlformats.org/spreadsheetml/2006/main" count="8059" uniqueCount="751">
  <si>
    <t>Activo Neto</t>
  </si>
  <si>
    <t>Estado de Ingresos y Egresos</t>
  </si>
  <si>
    <t>Flujos de Efectivo</t>
  </si>
  <si>
    <t>Variación del Activo Neto</t>
  </si>
  <si>
    <t>Notas a los Estados Financieros (Nota 5 a Nota 8)</t>
  </si>
  <si>
    <t>Índice</t>
  </si>
  <si>
    <t>ACTIVO</t>
  </si>
  <si>
    <t>Inversiones</t>
  </si>
  <si>
    <t>TOTAL ACTIVO BRUTO</t>
  </si>
  <si>
    <t>PASIVO</t>
  </si>
  <si>
    <t>TOTAL ACTIVO NETO</t>
  </si>
  <si>
    <t>CUOTAS PARTES EN CIRCULACION</t>
  </si>
  <si>
    <t>VALOR CUOTA PARTE AL CIERRE</t>
  </si>
  <si>
    <t>INGRESOS</t>
  </si>
  <si>
    <t>Resultados por tenencia de inversiones</t>
  </si>
  <si>
    <t>EGRESOS</t>
  </si>
  <si>
    <t>Actividades Operativas</t>
  </si>
  <si>
    <t>Cambios en activos y pasivos operativos</t>
  </si>
  <si>
    <t>Pago por comisiones de administración</t>
  </si>
  <si>
    <t>Actividades de Financiación</t>
  </si>
  <si>
    <t>Rescates</t>
  </si>
  <si>
    <t>Suscripciones</t>
  </si>
  <si>
    <t>Las 8 notas que se acompañan forman parte integrante de los estados financieros.</t>
  </si>
  <si>
    <t>ESTADO DE VARIACION DEL ACTIVO NETO</t>
  </si>
  <si>
    <t>CUENTAS</t>
  </si>
  <si>
    <t>1.1) Naturaleza Jurídica y Características del Fondo</t>
  </si>
  <si>
    <t>1.2) Autorización de Funcionamiento</t>
  </si>
  <si>
    <t>1.3) Políticas de inversión, diversificación de las inversiones, liquidez, reparto de beneficios y endeudamiento.</t>
  </si>
  <si>
    <t>Políticas de Inversión</t>
  </si>
  <si>
    <t>Diversificación de las Inversiones</t>
  </si>
  <si>
    <t>Diversificación de las inversiones respecto al activo total del Fondo Mutuo: Instrumento Financiero</t>
  </si>
  <si>
    <t>Mínimo</t>
  </si>
  <si>
    <t>Máximo</t>
  </si>
  <si>
    <t>Políticas de liquidez</t>
  </si>
  <si>
    <t>Política de Reparto de Beneficios</t>
  </si>
  <si>
    <t>NOTA 2. INFORMACIÓN SOBRE LA ADMINISTRADORA</t>
  </si>
  <si>
    <t>2.1) Razón social de la Administradora</t>
  </si>
  <si>
    <t>2.2) Entidad encargada de la custodia</t>
  </si>
  <si>
    <t>NOTA 3. CRITERIOS CONTABLES APLICADOS</t>
  </si>
  <si>
    <t>CONCEPTO</t>
  </si>
  <si>
    <t>Total</t>
  </si>
  <si>
    <t xml:space="preserve">MES </t>
  </si>
  <si>
    <t xml:space="preserve">N° DE PARTICIPES </t>
  </si>
  <si>
    <t>1er. Trimestre</t>
  </si>
  <si>
    <t xml:space="preserve">Enero </t>
  </si>
  <si>
    <t>Febrero</t>
  </si>
  <si>
    <t>Marzo</t>
  </si>
  <si>
    <t>NOTA 4. COMPOSICION DE CUENTAS</t>
  </si>
  <si>
    <t>4.2 ) Inversiones</t>
  </si>
  <si>
    <t>Instrumento</t>
  </si>
  <si>
    <t>Emisor</t>
  </si>
  <si>
    <t>Sector</t>
  </si>
  <si>
    <t>País</t>
  </si>
  <si>
    <t>Fecha de
Compra</t>
  </si>
  <si>
    <t>Fecha de 
Vencimiento</t>
  </si>
  <si>
    <t>Moneda</t>
  </si>
  <si>
    <t>Tasa de Interés</t>
  </si>
  <si>
    <t>% De las Inversiones
con relación al Activo del Fondo</t>
  </si>
  <si>
    <t>%De las Inversiones según Reglam. Interno</t>
  </si>
  <si>
    <t>% De las Inversiones por Grupo Económico</t>
  </si>
  <si>
    <t>FINANCIERO</t>
  </si>
  <si>
    <t>A continuación se detalla la composición:</t>
  </si>
  <si>
    <t>Gastos de Sobregiro a Pagar</t>
  </si>
  <si>
    <t>TOTAL</t>
  </si>
  <si>
    <t>NOTA 5:  IMPUESTO A LA RENTA</t>
  </si>
  <si>
    <t>NOTA 6:  CONTINGENCIA</t>
  </si>
  <si>
    <t>NOTA 7: OTROS ASUNTOS RELEVANTES</t>
  </si>
  <si>
    <t>NOTA 8. HECHOS POSTERIORES</t>
  </si>
  <si>
    <t>HOJA DE TRABAJO</t>
  </si>
  <si>
    <t>BALANCE Y RESULTADOS</t>
  </si>
  <si>
    <t>ELIMINACIONES</t>
  </si>
  <si>
    <t>VARIACIÓN</t>
  </si>
  <si>
    <t>ACTIVIDADES OPERATIVAS</t>
  </si>
  <si>
    <t>ACTIVIDADES DE FINANCIACION</t>
  </si>
  <si>
    <t>DEBITOS</t>
  </si>
  <si>
    <t>CRÉDITOS</t>
  </si>
  <si>
    <t>DEBITOS (CRÉDITOS)</t>
  </si>
  <si>
    <t>Aumento (Disminución) en Acreedores por operaciones</t>
  </si>
  <si>
    <t>Aumento (Disminución) Otros Pasivos</t>
  </si>
  <si>
    <t>RESCATES</t>
  </si>
  <si>
    <t>SUSCRIPCIONES</t>
  </si>
  <si>
    <t>PATRIMONIO NETO</t>
  </si>
  <si>
    <t>Resultado del Ejercicio</t>
  </si>
  <si>
    <t>Totales</t>
  </si>
  <si>
    <t>Control</t>
  </si>
  <si>
    <t>Efectivo y equivalentes de efectivo</t>
  </si>
  <si>
    <t xml:space="preserve">ESTADO DEL ACTIVO NETO </t>
  </si>
  <si>
    <t>(Nota 4.1)</t>
  </si>
  <si>
    <t>(Nota 4.2)</t>
  </si>
  <si>
    <t>Acreedores por operaciones</t>
  </si>
  <si>
    <t>(Nota 4.3)</t>
  </si>
  <si>
    <t>Comisiones a pagar a la administradora</t>
  </si>
  <si>
    <t>Comisión por administración</t>
  </si>
  <si>
    <t>Otros egresos</t>
  </si>
  <si>
    <t>Aumento de inversiones e intereses cobrados</t>
  </si>
  <si>
    <t>Flujo neto de efectivo utilizado en actividades operativas</t>
  </si>
  <si>
    <t>Flujo neto de efectivo generado por las actividades de financiación</t>
  </si>
  <si>
    <t>Efectivo al comienzo del ejercicio</t>
  </si>
  <si>
    <t>Saldo final de efectivo al final del ejercicio</t>
  </si>
  <si>
    <t>Saldo al inicio del ejercicio</t>
  </si>
  <si>
    <t>Movimientos del ejercicio</t>
  </si>
  <si>
    <t>Resultado del ejercicio</t>
  </si>
  <si>
    <t>Saldo al final del ejercicio</t>
  </si>
  <si>
    <t>NOTA 1. INFORMACIÓN BÁSICA DE LA EMPRESA</t>
  </si>
  <si>
    <t>3.1) Bases de Preparación de los Estados financieros</t>
  </si>
  <si>
    <t>3.2)  Uso de estimaciones</t>
  </si>
  <si>
    <t>La preparación de los presentes estados financieros requiere que la Gerencia de la Sociedad Administradora realice estimaciones y evaluaciones que afectan el monto de los activos y pasivos registrados y contingentes, como así también los ingresos y egresos registrados en el ejercicio. Los resultados reales futuros pueden diferir de las estimaciones y evaluaciones realizadas a la fecha de preparación de los presentes estados financieros.</t>
  </si>
  <si>
    <t>3.4) Efectivo y equivalente de efectivo</t>
  </si>
  <si>
    <t>3.5) Valorización de Inversiones</t>
  </si>
  <si>
    <t>3.6) Reconocimiento de los Ingresos y de los gastos</t>
  </si>
  <si>
    <t>3.7) Tipos de cambio utilizado para convertir a moneda nacional los saldos en moneda extranjera</t>
  </si>
  <si>
    <t>3.8) Gastos Operacionales y Comisión de la Sociedad Administradora</t>
  </si>
  <si>
    <t>4.1) Efectivo y equivalentes de efectivo</t>
  </si>
  <si>
    <t>El rubro está compuesto por saldos en cuentas bancarias e instrumentos de alta liquidez de contratos pactados de disponibilidad inmediata. A continuación se detalla la composición:</t>
  </si>
  <si>
    <t>3.3) Período</t>
  </si>
  <si>
    <t>De acuerdo con lo establecido en el artículo 4° de la Ley 6380/2019, se considerarán Estructuras Jurídicas Transparentes a aquellos instrumentos o estructuras jurídicas utilizadas como medio de inversión, administración o resguardo de dinero, bienes, derechos y obligaciones. Estas estructuras se considerarán con efecto fiscal neutro en el IRE, por intermediar entre el negocio sujeto a imposición y sus beneficiarios.
Al respecto, dicha disposición incluye como Estructuras Jurídicas Transparentes a los Fondos Patrimoniales de Inversión, creados al amparo de la Ley N°5452/2015, por lo que no se hallan sujeto del impuesto a la renta empresarial (IRE).</t>
  </si>
  <si>
    <t>Presidente</t>
  </si>
  <si>
    <t>Contadora</t>
  </si>
  <si>
    <t>ESTADO DE FLUJOS DE EFECTIVO</t>
  </si>
  <si>
    <t>Nota 5 a Nota 8</t>
  </si>
  <si>
    <t>3.9) Información estadística</t>
  </si>
  <si>
    <t>Aumento (Disminución) Deudores por operaciones</t>
  </si>
  <si>
    <t>Aumento (Disminución) intereses a cobrar</t>
  </si>
  <si>
    <t>Aumento de otros pasivos</t>
  </si>
  <si>
    <t>CODIGO</t>
  </si>
  <si>
    <t>Para la preparación del estado de flujos de efectivo se consideraron dentro del concepto de efectivo los saldos de disponibilidades en cuentas bancarias que son usados por el Fondo Mutuo en la gestión de sus compromisos de corto plazo.</t>
  </si>
  <si>
    <r>
      <rPr>
        <b/>
        <sz val="10"/>
        <rFont val="Arial"/>
        <family val="2"/>
      </rPr>
      <t xml:space="preserve">Títulos de deuda renta fija – Certificados de depósito de ahorro
</t>
    </r>
    <r>
      <rPr>
        <sz val="10"/>
        <rFont val="Arial"/>
        <family val="2"/>
      </rPr>
      <t>Los instrumentos financieros de renta fija se valúan a valor de mercado al momento de adquisición que comprende el valor nominal más los intereses devengados a cobrar y el diferencial de precios positivo o negativo conforme al resultado al momento de la compra. Dichos intereses y diferenciales de precios son reconocidos en el resultado conforme se devengan teniendo en cuenta el plazo residual de los instrumentos. Así mismo, la administradora analiza periódicamente el riesgo de crédito asociado a la calidad del emisor a fin de identificar indicadores de deterioro.</t>
    </r>
  </si>
  <si>
    <r>
      <rPr>
        <b/>
        <sz val="10"/>
        <color theme="1"/>
        <rFont val="Arial"/>
        <family val="2"/>
      </rPr>
      <t xml:space="preserve">a. Ingresos: </t>
    </r>
    <r>
      <rPr>
        <sz val="10"/>
        <color theme="1"/>
        <rFont val="Arial"/>
        <family val="2"/>
      </rPr>
      <t>Los Intereses sobre títulos y otros valores, así como las primas por diferencia de precios generados durante el ejercicio son registrados al momento que se registran variaciones por el cambio en los precios de mercado.</t>
    </r>
  </si>
  <si>
    <r>
      <rPr>
        <b/>
        <sz val="10"/>
        <color theme="1"/>
        <rFont val="Arial"/>
        <family val="2"/>
      </rPr>
      <t xml:space="preserve">b. Egresos: </t>
    </r>
    <r>
      <rPr>
        <sz val="10"/>
        <color theme="1"/>
        <rFont val="Arial"/>
        <family val="2"/>
      </rPr>
      <t>Los gastos se reconocen en el estado de resultado de acuerdo al criterio de lo devengado, cuando ha surgido un decremento en los beneficios económicos futuros, relacionados con una disminución en los activos o un incremento en los pasivos.</t>
    </r>
  </si>
  <si>
    <t>Resultados Acumulados</t>
  </si>
  <si>
    <t>Rendimientos - CDA</t>
  </si>
  <si>
    <t>VALOR 
CUOTA</t>
  </si>
  <si>
    <t xml:space="preserve">ACTIVO                                                      </t>
  </si>
  <si>
    <t xml:space="preserve">Disponibilidades                                            </t>
  </si>
  <si>
    <t xml:space="preserve">Disponibilidades en USD                                     </t>
  </si>
  <si>
    <t xml:space="preserve">Bancos                                                      </t>
  </si>
  <si>
    <t xml:space="preserve">Inversiones en USD                                          </t>
  </si>
  <si>
    <t xml:space="preserve">Inversiones                                                 </t>
  </si>
  <si>
    <t xml:space="preserve">Certficado Depósito de Ahorro                               </t>
  </si>
  <si>
    <t xml:space="preserve">US TBills                                                   </t>
  </si>
  <si>
    <t xml:space="preserve">Créditos                                                    </t>
  </si>
  <si>
    <t xml:space="preserve">Intereses a Cobrar                                          </t>
  </si>
  <si>
    <t xml:space="preserve">PASIVO                                                      </t>
  </si>
  <si>
    <t xml:space="preserve">Deudas                                                      </t>
  </si>
  <si>
    <t xml:space="preserve">Comisiones a Pagar                                          </t>
  </si>
  <si>
    <t xml:space="preserve">Intereses bancarios cuentas a la vista                                                              </t>
  </si>
  <si>
    <t>USD</t>
  </si>
  <si>
    <t>Rodolfo Gauto</t>
  </si>
  <si>
    <t>Dahiana Gómez</t>
  </si>
  <si>
    <t>Comisiones por Administración - Familiar A.F.P.I.S.A. (*)</t>
  </si>
  <si>
    <t>Comisiones por Administración - FAMILIAR  A.F.P.I.S.A.</t>
  </si>
  <si>
    <t>CON EL PERÍODO COMPRENDIDO DESDE EL 1 DE ENERO HASTA EL 31 DE DICIEMBRE DEL 2023</t>
  </si>
  <si>
    <t>Otros activos</t>
  </si>
  <si>
    <t>PATRIMONIO NETO
DEL FONDO
U$S</t>
  </si>
  <si>
    <t>Valor de
Compra
U$S</t>
  </si>
  <si>
    <t>Valor
Contable
U$S</t>
  </si>
  <si>
    <t>Valor nominal
U$S</t>
  </si>
  <si>
    <t>4.3 ) Otros activos</t>
  </si>
  <si>
    <t>(Nota 4.4)</t>
  </si>
  <si>
    <t>APORTANTES
U$S</t>
  </si>
  <si>
    <t>RESULTADOS
U$S</t>
  </si>
  <si>
    <t>4.4 ) Comisiones a pagar a la Administradora</t>
  </si>
  <si>
    <t>FONDO MUTUO FAM LIQUIDEZ DÓLARES
Administrado por: FAMILIAR ADMINISTRADORA DE FONDOS PATRIMONIALES DE INVERSIÓN SOCIEDAD ANÓNIMA</t>
  </si>
  <si>
    <t>Resultado neto de operaciones</t>
  </si>
  <si>
    <t>Total ingreso</t>
  </si>
  <si>
    <t>Total egreso</t>
  </si>
  <si>
    <t xml:space="preserve">TOTAL </t>
  </si>
  <si>
    <t xml:space="preserve">Costo letras del tesoro de EE.UU.             </t>
  </si>
  <si>
    <t>Además, el Fondo podrá realizar operaciones de venta con compromiso de compra. El plazo máximo de estas operaciones será de 365 días y hasta un 50% del patrimonio neto del Fondo.</t>
  </si>
  <si>
    <t>El beneficio que la inversión en el Fondo Mutuo reporte a los Partícipes será el incremento que se produzca en el valor de la Cuota de Participación, como consecuencia de las variaciones experimentadas por el patrimonio del Fondo Mutuo. Los beneficios obtenidos de las inversiones del Fondo Mutuo serán totalmente reinvertidos salvo la redención parcial o total de derechos en el Fondo Mutuo efectuada por uno o más partícipes y los importes que la Sociedad Administradora deba debitar en concepto de comisiones, cargos, tributos y gastos.</t>
  </si>
  <si>
    <t>Límites de las inversiones con respecto del activo total del fondo por tipo de instrumento:</t>
  </si>
  <si>
    <t>PUBLICO</t>
  </si>
  <si>
    <t>FAMILIAR ADMINISTRADORA DE FONDOS PATRIMONIALES DE INVERSIÓN S.A. fue constituida en Asunción, Paraguay por Escritura Pública Nro.170 del 12 de julio del año 2023. Los estatutos fueron inscriptos en la Dirección General de Registros Públicos en fecha 27 de julio de 2023, Sección Personas Jurídicas bajo el Nº 1 folio 01, Serie Comercial. La matrícula del comerciante fue emitida en fecha 1 de agosto de 2023 bajo el N° 5572. En fecha 25 de agosto del 2023, la Comisión Nacional de Valores certifica que la Sociedad ha sido inscripta en el Registro del Mercado de Valores según Certificación de Registro N° 148, como Sociedad Administradora de Fondos Patrimoniales de Inversión, cumpliendo con los requisitos establecidos en la normativa vigente que rige el Mercado de Valores.</t>
  </si>
  <si>
    <t>Maria Cristina Troche</t>
  </si>
  <si>
    <t xml:space="preserve">Vicepresidente </t>
  </si>
  <si>
    <t>(*) El importe correspondiente a la comisión por administración registrado durante el periodo constituye un gasto asumido por el Fondo Mutuo, en concepto de los servicios prestados por la Sociedad Administradora equivalente al 1% nominal anual (IVA incluido) calculado en forma diaria sobre el valor del patrimonio neto del Fondo Mutuo del día (luego de debitadas las cargas de las operaciones del día).</t>
  </si>
  <si>
    <t xml:space="preserve">Quedan exceptuados de los límites de diversificación, los títulos emitidos por el Tesoro Paraguayo, y otras Entidades Estatales que cuenten con garantía del Tesoro Paraguayo. 
</t>
  </si>
  <si>
    <t>Cajas de Valores nacionales e internacionalmente autorizadas.</t>
  </si>
  <si>
    <r>
      <rPr>
        <b/>
        <sz val="10"/>
        <color theme="1"/>
        <rFont val="Arial"/>
        <family val="2"/>
      </rPr>
      <t>Títulos Físicos (de ser adquiridos):</t>
    </r>
    <r>
      <rPr>
        <sz val="10"/>
        <color theme="1"/>
        <rFont val="Arial"/>
        <family val="2"/>
      </rPr>
      <t xml:space="preserve"> Serán custodiados en la bóveda del Familiar CBSA., de acuerdo a los procedimientos de seguridad y control de la mencionada entidad.</t>
    </r>
  </si>
  <si>
    <r>
      <rPr>
        <b/>
        <sz val="10"/>
        <color theme="1"/>
        <rFont val="Arial"/>
        <family val="2"/>
      </rPr>
      <t>Títulos desmaterializados (de ser adquiridos):</t>
    </r>
    <r>
      <rPr>
        <sz val="10"/>
        <color theme="1"/>
        <rFont val="Arial"/>
        <family val="2"/>
      </rPr>
      <t xml:space="preserve"> Serán Custodiados por la Bolsa de Valores de Asunción S.A. ("BVASA") bajo la cuenta corriente creada en dicha entidad y en otras Cajas de Valores nacionales e internacionalmente autorizadas.</t>
    </r>
  </si>
  <si>
    <r>
      <rPr>
        <b/>
        <sz val="10"/>
        <rFont val="Arial"/>
        <family val="2"/>
      </rPr>
      <t>Títulos de deuda renta fija – Bonos del Tesoro Americano</t>
    </r>
    <r>
      <rPr>
        <sz val="10"/>
        <rFont val="Arial"/>
        <family val="2"/>
      </rPr>
      <t xml:space="preserve">
Las bonos del tesoro americano se valúan a valor de mercado más el devengamiento de la diferencia resultante  entre el valor de compra y el valor nominal del instrumento. Dichos diferenciales de precio son reconocidos en el resultado conforme se devengan teniendo en cuenta el plazo residual de los instrumentos. Así mismo, la administradora analiza periódicamente el riesgo de crédito asociado a la calidad del emisor a fin de identificar indicadores de deterioro.</t>
    </r>
  </si>
  <si>
    <t>2do. Trimestre</t>
  </si>
  <si>
    <t>Sobregiros bancarios</t>
  </si>
  <si>
    <t>4.5 ) Sobregiros bancarios</t>
  </si>
  <si>
    <t xml:space="preserve">4.6 ) Rescates a pagar </t>
  </si>
  <si>
    <t>4.7 ) Otros pasivos</t>
  </si>
  <si>
    <t>4.9) Resultado neto de operaciones</t>
  </si>
  <si>
    <t>4.11) Otros egresos</t>
  </si>
  <si>
    <t>(Nota 4.6)</t>
  </si>
  <si>
    <t>Intereses por sobregiro bancario</t>
  </si>
  <si>
    <t>Cantidad</t>
  </si>
  <si>
    <r>
      <rPr>
        <b/>
        <sz val="10"/>
        <color theme="1"/>
        <rFont val="Arial"/>
        <family val="2"/>
      </rPr>
      <t>Banco Familiar S.A.E.C.A.</t>
    </r>
    <r>
      <rPr>
        <sz val="10"/>
        <color theme="1"/>
        <rFont val="Arial"/>
        <family val="2"/>
      </rPr>
      <t xml:space="preserve"> fue constituida bajo la forma de Sociedad Anónima en fecha 21 de enero de 1992. Por Decreto del Poder Ejecutivo Nº 13.239 del 14 de abril de 1992 fue reconocida su personería jurídica y aprobado su Estatuto Social. Inició sus operaciones el 1 de julio de 1992 desarrollando las actividades permitidas a las entidades financieras de acuerdo con las leyes del Paraguay y normas prescritas en disposiciones reglamentarias del Banco Central del Paraguay (BCP). </t>
    </r>
  </si>
  <si>
    <t xml:space="preserve">ESTADOS FINANCIEROS AL 30 DE SEPTIEMBRE DE 2024 PRESENTADO DE FORMA COMPARATIVA </t>
  </si>
  <si>
    <t>3er. Trimestre</t>
  </si>
  <si>
    <t xml:space="preserve">Banco Familiar SAECA                                                                                                                                                                                    </t>
  </si>
  <si>
    <t xml:space="preserve">Certficado Depósito de Ahorro USD                                                                                                                                                                       </t>
  </si>
  <si>
    <t xml:space="preserve">US TBills USD                                                                                                                                                                                           </t>
  </si>
  <si>
    <t xml:space="preserve">Intereses a Cobrar Cuentas a la vista                                                                                                                                                                   </t>
  </si>
  <si>
    <t xml:space="preserve">Cargos Diferidos                                            </t>
  </si>
  <si>
    <t xml:space="preserve">.Otros Cargos Diferidos                                     </t>
  </si>
  <si>
    <t xml:space="preserve">Gastos de Auditoria Externa (IVA)                                                                                                                                                                       </t>
  </si>
  <si>
    <t xml:space="preserve">Intereses bancarios a devengar                              </t>
  </si>
  <si>
    <t xml:space="preserve">Intereses por sobregiro a devengar                                                                                                                                                                      </t>
  </si>
  <si>
    <t xml:space="preserve">Provisiones                                                 </t>
  </si>
  <si>
    <t xml:space="preserve">Provisión Comisiones de AdmSocAdministradora (Clase A)                                                                                                                                                  </t>
  </si>
  <si>
    <t xml:space="preserve">Provisión Comisiones de AdmSocAdministradora IVA (Clas                                                                                                                                                  </t>
  </si>
  <si>
    <t xml:space="preserve">Suscripciones                                                                                                                                                                                           </t>
  </si>
  <si>
    <t xml:space="preserve">Rescates                                                                                                                                                                                                </t>
  </si>
  <si>
    <t xml:space="preserve">Ventas Certificado Depósito de Ahorro                                                                                                                                                                   </t>
  </si>
  <si>
    <t xml:space="preserve">Ventas US TBills                                                                                                                                                                                        </t>
  </si>
  <si>
    <t xml:space="preserve">Intereses bancarios cuentas a la vista                                                                                                                                                                  </t>
  </si>
  <si>
    <t xml:space="preserve">Resultado por Tenencia Certificado Depósito de Ahorro                                                                                                                                                   </t>
  </si>
  <si>
    <t xml:space="preserve">Resultado por Tenencia US TBills                                                                                                                                                                        </t>
  </si>
  <si>
    <t xml:space="preserve">Costo Certificado Depósito de Ahorro                                                                                                                                                                    </t>
  </si>
  <si>
    <t xml:space="preserve">Costo US TBills                                                                                                                                                                                         </t>
  </si>
  <si>
    <t xml:space="preserve">Intereses y comisiones Bancarias                                                                                                                                                                        </t>
  </si>
  <si>
    <t xml:space="preserve">Comisiones Administración  de AdmSocAdministradora Cla                                                                                                                                                  </t>
  </si>
  <si>
    <t xml:space="preserve">Comisiones Administración  de AdmSocAdministradora IVA                                                                                                                                                  </t>
  </si>
  <si>
    <t>20/09/27</t>
  </si>
  <si>
    <t>REF,</t>
  </si>
  <si>
    <t>Notas a los Estados Financieros (Nota 1 a Nota 3,7)</t>
  </si>
  <si>
    <t>Nota 1 a Nota 3,7</t>
  </si>
  <si>
    <t>Notas a los Estados Financieros (Nota 3,8 a Nota 4,1)</t>
  </si>
  <si>
    <t>Nota 3,8 a Nota 4,1</t>
  </si>
  <si>
    <t>Notas a los Estados Financieros (Nota 4,2)</t>
  </si>
  <si>
    <t>Nota 4,2</t>
  </si>
  <si>
    <t>Notas a los Estados Financieros (Nota 4,3 a Nota 4,11)</t>
  </si>
  <si>
    <t>Nota 4,3 a Nota 4,11</t>
  </si>
  <si>
    <t xml:space="preserve">Costo certificado depósito de ahorro        </t>
  </si>
  <si>
    <t xml:space="preserve">Ventas letras del tesoro de EE.UU.             </t>
  </si>
  <si>
    <t xml:space="preserve">Ventas certificado depósito de ahorro        </t>
  </si>
  <si>
    <t>Gastos por cargos diferidos</t>
  </si>
  <si>
    <t xml:space="preserve">Gastos por cargos Diferidos Calificadora (IVA)                                                                                                                                                          </t>
  </si>
  <si>
    <t xml:space="preserve">Otras Deudas                                                </t>
  </si>
  <si>
    <t xml:space="preserve">Rescates por Pagar                                                                                                                                                                                      </t>
  </si>
  <si>
    <t xml:space="preserve">. Gastos por Cargos Diferidos (Calificadora de Riesgo)                                                                                                                                                  </t>
  </si>
  <si>
    <t xml:space="preserve">. Gastos por Cargos Diferidos Calificadora de Riesgo (IVA)                                                                                                                                              </t>
  </si>
  <si>
    <t xml:space="preserve">Provisión para gastos varios a Pagar  </t>
  </si>
  <si>
    <t>Rescates por Pagar</t>
  </si>
  <si>
    <t>31/12/2024
U$S</t>
  </si>
  <si>
    <t>4to. Trimestre</t>
  </si>
  <si>
    <t>(Nota 4.5)</t>
  </si>
  <si>
    <t>Otros pasivos</t>
  </si>
  <si>
    <t>Rescate a pagar</t>
  </si>
  <si>
    <t>(Nota 4.7)</t>
  </si>
  <si>
    <t>COMERCIAL</t>
  </si>
  <si>
    <t xml:space="preserve">Intereses a cobrar cuentas a la vista                                                               </t>
  </si>
  <si>
    <t>Balance Report</t>
  </si>
  <si>
    <t>Date from:</t>
  </si>
  <si>
    <t xml:space="preserve">Date to:         </t>
  </si>
  <si>
    <t>Account Type</t>
  </si>
  <si>
    <t>Account Code</t>
  </si>
  <si>
    <t>Account Name</t>
  </si>
  <si>
    <t>Account Currency</t>
  </si>
  <si>
    <t>Debit / Credit</t>
  </si>
  <si>
    <t>Balance Origin</t>
  </si>
  <si>
    <t>Balance PYG</t>
  </si>
  <si>
    <t>Balance USD</t>
  </si>
  <si>
    <t>Asset</t>
  </si>
  <si>
    <t/>
  </si>
  <si>
    <t>Debit</t>
  </si>
  <si>
    <t xml:space="preserve">Bonos Financieros                                           </t>
  </si>
  <si>
    <t xml:space="preserve">Bonos Financieros USD                                                                                                                                                                                   </t>
  </si>
  <si>
    <t xml:space="preserve">. Gastos de Calificación de Riesgo                                                                                                                                                                      </t>
  </si>
  <si>
    <t xml:space="preserve">.Gastos de Auditoria Externa                                                                                                                                                                            </t>
  </si>
  <si>
    <t xml:space="preserve">.Gastos de Outsourcing Contable                                                                                                                                                                         </t>
  </si>
  <si>
    <t xml:space="preserve">.Gastos de Outsourcing Contable (IVA)                                                                                                                                                                   </t>
  </si>
  <si>
    <t>Liabilities</t>
  </si>
  <si>
    <t>Credit</t>
  </si>
  <si>
    <t xml:space="preserve">Comisiones adma pagar Sociedad Administradora (Clase A)                                                                                                                                                 </t>
  </si>
  <si>
    <t xml:space="preserve">Comisiones adma pagar Sociedad Administradora IVA (Clase                                                                                                                                                </t>
  </si>
  <si>
    <t>Equity</t>
  </si>
  <si>
    <t>Revenue</t>
  </si>
  <si>
    <t xml:space="preserve">Ventas Bonos Financieros                                                                                                                                                                                </t>
  </si>
  <si>
    <t xml:space="preserve">Resultado por Tenencia Bonos Financieros                                                                                                                                                                </t>
  </si>
  <si>
    <t>Expense</t>
  </si>
  <si>
    <t xml:space="preserve">Costo Bonos Financieros                                                                                                                                                                                 </t>
  </si>
  <si>
    <t xml:space="preserve">Gastos Bursátiles                                                                                                                                                                                       </t>
  </si>
  <si>
    <t xml:space="preserve">5.002.002.00001.2   </t>
  </si>
  <si>
    <t xml:space="preserve">.Gastos por Cargos Diferidos (Auditoria Externa)                                                                                                                                                        </t>
  </si>
  <si>
    <t xml:space="preserve">5.002.002.00001.4   </t>
  </si>
  <si>
    <t xml:space="preserve">.Gastos por Cargos Diferidos Outsourcing Contable                                                                                                                                                       </t>
  </si>
  <si>
    <t xml:space="preserve">5.002.002.00001.5   </t>
  </si>
  <si>
    <t xml:space="preserve">.Gastos por Cargos Diferidos Outsourcing Contable (IVA)                                                                                                                                                 </t>
  </si>
  <si>
    <t xml:space="preserve">.Gastos por Cargos Diferidos Auditoria Externa(IVA)                                                                                                                                                     </t>
  </si>
  <si>
    <t xml:space="preserve">5.002.002.00001.7   </t>
  </si>
  <si>
    <t>PYG</t>
  </si>
  <si>
    <t>Asset - Liabilities - Equity - Revenue + Expense</t>
  </si>
  <si>
    <t>Revenue - Expense</t>
  </si>
  <si>
    <t>AJUSTE DEBITO</t>
  </si>
  <si>
    <t>AJUSTE CREDITO</t>
  </si>
  <si>
    <t>BALANCE AJUSTADO</t>
  </si>
  <si>
    <t>Rendimientos - Bonos</t>
  </si>
  <si>
    <t>Certificado De Deposito De Ahorro</t>
  </si>
  <si>
    <t>Bonos Financieros</t>
  </si>
  <si>
    <t>Banco Nacional De Fomento</t>
  </si>
  <si>
    <t>Solar Banco S.A.E.</t>
  </si>
  <si>
    <t>Financiero</t>
  </si>
  <si>
    <t>Paraguay</t>
  </si>
  <si>
    <t xml:space="preserve">Ventas bonos Financieros    </t>
  </si>
  <si>
    <t>4.10) Otros ingresos</t>
  </si>
  <si>
    <t xml:space="preserve">Sobregiro bancario - Banco Familiar N° 0- 8398190 </t>
  </si>
  <si>
    <t>DIFERENCIA DE PRECIO (+)</t>
  </si>
  <si>
    <t>FONDO MUTUO FAM RENTA PLUS DÓLARES</t>
  </si>
  <si>
    <t xml:space="preserve">FONDO MUTUO FAM RENTA PLUS DÓLARES es un fondo mutuo de inversión de renta fija de largo plazo con duración menor o igual  a 1.095 días, administrado por Familiar Administradora de Fondos Patrimoniales de Inversión S.A. El Fondo fue creado con el objeto de invertir en valores negociables de renta fija, públicos o privados, ambos con oferta pública, y otros activos contemplados en la normativa vigente.
De conformidad con la Ley 5452/15 Que Regula los Fondos Patrimoniales de Inversión, el Fondo Mutuo se considera como una persona jurídica independiente y la Sociedad Administradora actúa como su representante legal. Las operaciones del Fondo Mutuo se registran y contabilizan en la moneda del Fondo, en forma separada de la Sociedad Administradora y de los demás fondos administrados por la misma.
</t>
  </si>
  <si>
    <t>El 07 de abril de 2025, la Superintendencia de Valores (la “SIV”, ex Comisión Nacional del Valores o la “CNV”), mediante la Resolución CNV Nº 43_07042025, aprobó el registro y el reglamento interno del fondo mutuo. El 07 de abril de 2025, la Superintendencia de Valores (la “SIV”, ex Comisión Nacional del Valores o la “CNV”), certificó que el fondo mutuo ha sido inscripto en el Registro del Mercado de Valores Certificado de Registro N° 43_07042025, junto con el Reglamento Interno y el modelo de Contrato de Suscripción del mencionado fondo, cumpliendo con los requisitos establecidos en la normativa vigente.</t>
  </si>
  <si>
    <t>El Fondo invertirá en instrumentos de renta fija de mediano y largo plazo en moneda local. Se establece un perfil de riesgo moderado para la cartera de inversiones del Fondo. Asimismo, la cartera de inversiones del Fondo deberá tener una duración menor oigual a 1.095 días, No obstante, y sin perjuicio de lo anterior, no se contempla límitespara la duración de los instrumentos en específico, en la medida que la cartera delFondo mantenga la duración indicada.</t>
  </si>
  <si>
    <t>a) Títulos emitidos por el Tesoro Público o garantizados por el mismo,cuya emisión haya sido registrada en el Registro de Valores que llevala SIV;</t>
  </si>
  <si>
    <t>b) Bonos soberanos emitidos internacionalmente por el Estadoparaguayo;</t>
  </si>
  <si>
    <t>c) Títulos emitidos por las Gobernaciones, Municipalidades y otrosorganismos y entidades del Estado, cuya emisión haya sido registradaen el Registro de Valores que lleva la SIV;</t>
  </si>
  <si>
    <t>d) Títulos emitidos por el Banco Central del Paraguay;</t>
  </si>
  <si>
    <t>e)Títulos a plazo de instituciones habilitadas por el Banco Central del Paraguay y que cuenten con calificación de riesgo BBB o superior;</t>
  </si>
  <si>
    <t xml:space="preserve">f) Titulos de instituciones habilitadas por el Banco Central del Paraguay y que cuentan con calificacion de riesgo local BBB o superior que emitan y coticen en mercados internacionales </t>
  </si>
  <si>
    <t>g)Letras o cedulas hipotecarias establecidas en la ley General de Bancos, Finanieras y Otras Entidades Financieras, cuya emision haya sido registrado en el Registro de Valores de lleva la SIV.</t>
  </si>
  <si>
    <t>i)Bonos, títulos de deuda o títulos emitidos en desarrollo detitularizaciones, cuya emisión haya sido registrada en el Registro deValores que lleva la SIV, y que cuenten con calificación de riesgo BBB- osuperior;</t>
  </si>
  <si>
    <t>j)Títulos emitidos por un Estado extranjero con calificación BB-, similarosuperior, que se transen habitualmente en los mercados locales o internacionales;</t>
  </si>
  <si>
    <t>k)Títulos emitidos por Bancos extranjeros dentro de un país concalificación BB- o superior, con una calificación local en dicho país deBBB o superior, negociados habitualmente en los mercados locales ointernacionales con precios referenciales diarios;</t>
  </si>
  <si>
    <t>l)Títulos emitidos por una emisora extranjera dentro de un país quecuente con calificación BB- o superior, con una calificación local endicho país de A o superior, negociados habitualmente en los mercados locales o internacionales con precios referenciales diarios;</t>
  </si>
  <si>
    <t>m)Operaciones de venta con compromiso de compra y las operacionesde compra con compromiso de venta con los valores comprendidos en este artículo, con contraparte de sujetos supervisados por la Superintendencia de Valores u otras autoridades administrativas de control, y negociados a través de las Casas de Bolsa a un plazo no mayor a 365 días.</t>
  </si>
  <si>
    <t>n)Operaciones de venta con compromiso de compra y las operacionesde compra con compromiso de compra con los valores comprendidos en este artículo, con contraparte de sujetos supervisados por la Superintendencia de Valores u otras autoridades administrativas de control, y negociados a través de las Casas de Bolsa a un plazo no mayor a 365 días.</t>
  </si>
  <si>
    <t>o)Cuotas partes de fondos mutuos o de inversión y otros valores deinversión, no administrados por la misma administradora, según determine la SIV de acuerdo a lo previsto en los respectivos reglamentos internos de los fondos.</t>
  </si>
  <si>
    <t>p) Derivados financieros exclusivamente como cobertura de los activos del fondo, negociados localmente en Bolsa o en el mercado extrabursátil con entidades financieras y de seguros reguladas por las Superintendencias de Bancos y de Seguros</t>
  </si>
  <si>
    <t>q) Derivados financieros exclusivamente como cobertura de los activos del fondo, negociados internacionalmente en Bolsas en países con calificación de riesgo AA o superior.</t>
  </si>
  <si>
    <t>El Fondo tendrá como política que, al menos, un 5% de sus activos serán de alta liquidez, con el objetivo de contar con los recursos necesarios para dar cumplimiento a sus obligaciones por las operaciones que realice el fondo, así como para dar cumplimiento al pago de rescates y de otros necesarios para el funcionamiento del Fondo. Se entenderá que tienen tal carácter, además de los montos que se mantenga en bancos, las líneas de sobregiro vigentes, los instrumentos emitidos por el Banco Central del Paraguay y los instrumentos de renta fija con un vencimiento menor a 90 días.</t>
  </si>
  <si>
    <t>Políticas de endeudamiento</t>
  </si>
  <si>
    <t>Ocasionalmente, y con el objeto de pagar rescates de cuotas y de poder realizar las demás operaciones que la SIV expresamente autorice, la Sociedad Administradora podrá solicitar por cuenta del Fondo Mutuo créditos bancarios con plazos de vencimiento de hasta 365 días y hasta por una cantidad equivalente al 50% del patrimonio del Fondo.</t>
  </si>
  <si>
    <t xml:space="preserve">ACTIVO                                                                                                                                                                                                  </t>
  </si>
  <si>
    <t xml:space="preserve">Disponibilidades                                                                                                                                                                                        </t>
  </si>
  <si>
    <t xml:space="preserve">Disponibilidades en USD                                                                                                                                                                                 </t>
  </si>
  <si>
    <t xml:space="preserve">Bancos                                                                                                                                                                                                  </t>
  </si>
  <si>
    <t xml:space="preserve">Inversiones en USD                                                                                                                                                                                      </t>
  </si>
  <si>
    <t xml:space="preserve">Inversiones                                                                                                                                                                                             </t>
  </si>
  <si>
    <t xml:space="preserve">Bonos Corporativos                                                                                                                                                                                      </t>
  </si>
  <si>
    <t xml:space="preserve">Bonos Corporativos USD                                                                                                                                                                                  </t>
  </si>
  <si>
    <t xml:space="preserve">Bonos Financieros                                                                                                                                                                                       </t>
  </si>
  <si>
    <t xml:space="preserve">Certficado Depósito de Ahorro                                                                                                                                                                           </t>
  </si>
  <si>
    <t xml:space="preserve">Créditos                                                                                                                                                                                                </t>
  </si>
  <si>
    <t xml:space="preserve">Intereses a Cobrar                                                                                                                                                                                      </t>
  </si>
  <si>
    <t xml:space="preserve">PASIVO                                                                                                                                                                                                  </t>
  </si>
  <si>
    <t xml:space="preserve">Deudas                                                                                                                                                                                                  </t>
  </si>
  <si>
    <t xml:space="preserve">Comisiones a Pagar                                                                                                                                                                                      </t>
  </si>
  <si>
    <t xml:space="preserve">Intereses bancarios a devengar                                                                                                                                                                          </t>
  </si>
  <si>
    <t xml:space="preserve">Otras Deudas                                                                                                                                                                                            </t>
  </si>
  <si>
    <t xml:space="preserve">PATRIMONIO NETO                                                                                                                                                                                         </t>
  </si>
  <si>
    <t xml:space="preserve">Capital                                                                                                                                                                                                 </t>
  </si>
  <si>
    <t xml:space="preserve">Ingresos                                                                                                                                                                                                </t>
  </si>
  <si>
    <t xml:space="preserve">Ventas Bonos Corporativos                                                                                                                                                                               </t>
  </si>
  <si>
    <t xml:space="preserve">Intereses                                                                                                                                                                                               </t>
  </si>
  <si>
    <t xml:space="preserve">Resultado por Tenencia                                                                                                                                                                                  </t>
  </si>
  <si>
    <t xml:space="preserve">Egresos                                                                                                                                                                                                 </t>
  </si>
  <si>
    <t xml:space="preserve">Egresos Varios                                                                                                                                                                                          </t>
  </si>
  <si>
    <t xml:space="preserve">Comisiones                                                                                                                                                                                              </t>
  </si>
  <si>
    <t>04/06/25</t>
  </si>
  <si>
    <t>30/06/27</t>
  </si>
  <si>
    <t>13/06/25</t>
  </si>
  <si>
    <t>28/12/26</t>
  </si>
  <si>
    <t>30/06/25</t>
  </si>
  <si>
    <t>Banco Basa S.A.</t>
  </si>
  <si>
    <t>Financiera Fic Sociedad Anonima Emisora De Capital Abierto</t>
  </si>
  <si>
    <t>Bonos Corporativos</t>
  </si>
  <si>
    <r>
      <t>ESTADO DE INGRESOS Y EGRESOS</t>
    </r>
    <r>
      <rPr>
        <sz val="11"/>
        <color theme="1"/>
        <rFont val="Arial"/>
        <family val="2"/>
      </rPr>
      <t xml:space="preserve"> </t>
    </r>
  </si>
  <si>
    <t>(Nota 4.9)</t>
  </si>
  <si>
    <t>Otros ingresos</t>
  </si>
  <si>
    <t>(Nota 4.8)</t>
  </si>
  <si>
    <t>TOTAL INGRESOS</t>
  </si>
  <si>
    <t>(Nota 3.8)</t>
  </si>
  <si>
    <t>(Nota 4.10)</t>
  </si>
  <si>
    <t>TOTAL EGRESOS</t>
  </si>
  <si>
    <t>RESULTADO DEL EJERCICIO</t>
  </si>
  <si>
    <t xml:space="preserve">Operaciones Repo Colocador                                                                                                                                                                              </t>
  </si>
  <si>
    <t xml:space="preserve">(-)Intereses a devengar REPO USD                                                                                                                                                                        </t>
  </si>
  <si>
    <t xml:space="preserve">US TBills                                                                                                                                                                                               </t>
  </si>
  <si>
    <t xml:space="preserve">Intereses a Cobrar Operaciones Repo colocador                                                                                                                                                           </t>
  </si>
  <si>
    <t xml:space="preserve">Acreedores por operaciones a liquidar                                                                                                                                                                   </t>
  </si>
  <si>
    <t xml:space="preserve">Utilidades Diferidas                                                                                                                                                                                    </t>
  </si>
  <si>
    <t xml:space="preserve">Intereses no Devengados Operaciones Repo                                                                                                                                                                </t>
  </si>
  <si>
    <t xml:space="preserve">Intereses Operaciones Repo Colocadores                                                                                                                                                                  </t>
  </si>
  <si>
    <t xml:space="preserve">Resultado por Tenencia Bonos Corporativos                                                                                                                                                               </t>
  </si>
  <si>
    <t xml:space="preserve">Ingresos Varios                                                                                                                                                                                         </t>
  </si>
  <si>
    <t xml:space="preserve">Ajuste por redondeo PYG                                                                                                                                                                                 </t>
  </si>
  <si>
    <t>07/07/25</t>
  </si>
  <si>
    <t>11/08/26</t>
  </si>
  <si>
    <t>09/07/25</t>
  </si>
  <si>
    <t>25/07/25</t>
  </si>
  <si>
    <t>21/09/27</t>
  </si>
  <si>
    <t>29/07/25</t>
  </si>
  <si>
    <t>06/08/25</t>
  </si>
  <si>
    <t>07/08/25</t>
  </si>
  <si>
    <t>07/08/28</t>
  </si>
  <si>
    <t>26/08/27</t>
  </si>
  <si>
    <t>20/08/25</t>
  </si>
  <si>
    <t>21/08/25</t>
  </si>
  <si>
    <t>03/09/25</t>
  </si>
  <si>
    <t>29/08/28</t>
  </si>
  <si>
    <t>04/09/25</t>
  </si>
  <si>
    <t>09/09/25</t>
  </si>
  <si>
    <t>16/04/29</t>
  </si>
  <si>
    <t>12/09/25</t>
  </si>
  <si>
    <t>14/08/26</t>
  </si>
  <si>
    <t>16/07/25</t>
  </si>
  <si>
    <t>31/03/27</t>
  </si>
  <si>
    <t>Brasil</t>
  </si>
  <si>
    <t>Globo Comunicacao E Participacoes S.A.</t>
  </si>
  <si>
    <t>Estados Unidos</t>
  </si>
  <si>
    <t>30/04/29</t>
  </si>
  <si>
    <t>11/06/25</t>
  </si>
  <si>
    <t>03/10/25</t>
  </si>
  <si>
    <t>Zeta Banco Sociedad Anonima Emisora De Capital Abierto</t>
  </si>
  <si>
    <t>Sudameris Bank Saeca</t>
  </si>
  <si>
    <t>Banco Rio S.A.E.C.A.</t>
  </si>
  <si>
    <t>Banco Para La Comercialización Y La Producción Sa</t>
  </si>
  <si>
    <t>FECHA VALOR</t>
  </si>
  <si>
    <t>PORTAFOLIO</t>
  </si>
  <si>
    <t>Plazo promedio</t>
  </si>
  <si>
    <t xml:space="preserve">YTM </t>
  </si>
  <si>
    <t>Duración promedio</t>
  </si>
  <si>
    <t xml:space="preserve">TNA </t>
  </si>
  <si>
    <t>Duración Modif. Prom.</t>
  </si>
  <si>
    <t xml:space="preserve">Valuación por devengado </t>
  </si>
  <si>
    <t>#Operación</t>
  </si>
  <si>
    <t>Código Emisión</t>
  </si>
  <si>
    <t>Calificación</t>
  </si>
  <si>
    <t>Cortes</t>
  </si>
  <si>
    <t>Last coupon</t>
  </si>
  <si>
    <t>Accrued</t>
  </si>
  <si>
    <t>Precio Clean</t>
  </si>
  <si>
    <t>Precio Dirty</t>
  </si>
  <si>
    <t>YTM</t>
  </si>
  <si>
    <t>TNA</t>
  </si>
  <si>
    <t>Fecha de operación</t>
  </si>
  <si>
    <t>Fecha de Vencimiento</t>
  </si>
  <si>
    <t>Valor Nominal</t>
  </si>
  <si>
    <t>Valor Presente o Contable</t>
  </si>
  <si>
    <t>Valor presente o contable2</t>
  </si>
  <si>
    <t>Valuación por devegamiento</t>
  </si>
  <si>
    <t>Estado</t>
  </si>
  <si>
    <t>Periodicidad</t>
  </si>
  <si>
    <t>Plazo residual</t>
  </si>
  <si>
    <t>Duration</t>
  </si>
  <si>
    <t>Modified Duration</t>
  </si>
  <si>
    <t>Custodio</t>
  </si>
  <si>
    <t>Amortización k | cupón de intereses</t>
  </si>
  <si>
    <t>Valor nominal K</t>
  </si>
  <si>
    <t>Valor nominal CI</t>
  </si>
  <si>
    <t xml:space="preserve">Int. a devengar </t>
  </si>
  <si>
    <t>Diferencia de Px +</t>
  </si>
  <si>
    <t>Diferencia de Px -</t>
  </si>
  <si>
    <t>Banco Basa SA</t>
  </si>
  <si>
    <t>PYBAM01F0358</t>
  </si>
  <si>
    <t>AA-py</t>
  </si>
  <si>
    <t>Trimestral</t>
  </si>
  <si>
    <t>Familiar CB</t>
  </si>
  <si>
    <t>Amortización de K</t>
  </si>
  <si>
    <t>CDA</t>
  </si>
  <si>
    <t>Cupón de Interés</t>
  </si>
  <si>
    <t>CDA USD</t>
  </si>
  <si>
    <t>Int. a cobrar - CDA  USD</t>
  </si>
  <si>
    <t>(-) Int. a devengar - CDA USD</t>
  </si>
  <si>
    <t>Dif. de Precio Positivo no Amort. - CDA USD</t>
  </si>
  <si>
    <t>Dif. de Precio Negativo no Amort. - CDA USD</t>
  </si>
  <si>
    <t>Bonos financieros</t>
  </si>
  <si>
    <t>Bonos Financieros USD</t>
  </si>
  <si>
    <t>Int. a cobrar -  Bonos Financieros USD</t>
  </si>
  <si>
    <t>(-) Int. a devengar -  Bonos Financieros  USD</t>
  </si>
  <si>
    <t>Dif. de Precio Positivo no Amort. - Bonos Financieros USD</t>
  </si>
  <si>
    <t>Dif. de Precio Negativo no Amort. - Bonos Financieros USD</t>
  </si>
  <si>
    <t>Bonos en el exterior</t>
  </si>
  <si>
    <t>BASA_5,15%_30062027_AA2367-68_100K</t>
  </si>
  <si>
    <t>Bonos en el exterior USD</t>
  </si>
  <si>
    <t>Intereses a cobrar - Bonos en el exterior USD</t>
  </si>
  <si>
    <t>(-) Intereses a devengar - Bonos en el exterior USD</t>
  </si>
  <si>
    <t>Dif. de precio positivo no amort. - Bonos en el exterior USD</t>
  </si>
  <si>
    <t>Dif. de precio negativo no amort. - Bonos en el exterior USD</t>
  </si>
  <si>
    <t>Bonos Soberanos extranjeros USD</t>
  </si>
  <si>
    <t>Dif. de precio positivo no amort. - Bonos Soberanos extranjeros USD</t>
  </si>
  <si>
    <t>Dif. de precio negativo no amort. - Bonos Soberanos extranjeros USD</t>
  </si>
  <si>
    <t>Bonos Corporativos USD</t>
  </si>
  <si>
    <t>Int. a cobrar - Bonos Corporativos USD</t>
  </si>
  <si>
    <t>(-) Int. a devengar - Bonos Corporativos USD</t>
  </si>
  <si>
    <t>Dif. de precio positivo no amort. - Bonos Corporativos USD</t>
  </si>
  <si>
    <t>Dif. de precio negativo no amort. - Bonos Corporativos USD</t>
  </si>
  <si>
    <t>Repo Bonos Financieros</t>
  </si>
  <si>
    <t>Bonos Financieros - Repo USD</t>
  </si>
  <si>
    <t>Int. a cobrar - Bonos Financieros (Repo) USD</t>
  </si>
  <si>
    <t>(-) Int. a devengar - Bonos Financieros (Repo) USD</t>
  </si>
  <si>
    <t>Banco Nacional de Fomento</t>
  </si>
  <si>
    <t>BNF_6,45%_200927_BB1790-1794_200K</t>
  </si>
  <si>
    <t>AA+py</t>
  </si>
  <si>
    <t>Semestral</t>
  </si>
  <si>
    <t>Financiera FIC SAECA</t>
  </si>
  <si>
    <t>FIC_6,50%_16032026_AA1392-1393_25K</t>
  </si>
  <si>
    <t>A-py</t>
  </si>
  <si>
    <t>Mensual</t>
  </si>
  <si>
    <t>FIC_6,50%_16032026_AA1399_26K</t>
  </si>
  <si>
    <t>Solar Banco SAECA</t>
  </si>
  <si>
    <t>GSAF_6,40%_28122026_AA3247-56_50K</t>
  </si>
  <si>
    <t>Apy</t>
  </si>
  <si>
    <t>FIC_6,55%_11082026_AA1538_380K</t>
  </si>
  <si>
    <t>Al vencimiento</t>
  </si>
  <si>
    <t>HSAF_6,40%_04012027_AA3260-65_50K</t>
  </si>
  <si>
    <t>Globo Comunicacao e Participacoes S.A.</t>
  </si>
  <si>
    <t>USP47777AA86</t>
  </si>
  <si>
    <t>Medios y telecomunicaciones</t>
  </si>
  <si>
    <t>BNF_6,45%_210927_200K_BB1814-1820-2</t>
  </si>
  <si>
    <t>Sudameris Bank SAECA</t>
  </si>
  <si>
    <t>Banco Continental SAECA</t>
  </si>
  <si>
    <t>CDA RIO UH1859-60</t>
  </si>
  <si>
    <t>AAApy</t>
  </si>
  <si>
    <t>CDA RIO UH1890-92</t>
  </si>
  <si>
    <t>CDA RIO UH1947-48-49</t>
  </si>
  <si>
    <t>CDA RIO UH1950</t>
  </si>
  <si>
    <t>CECON SAE</t>
  </si>
  <si>
    <t>PYCEC01F3409</t>
  </si>
  <si>
    <t>Corporativo</t>
  </si>
  <si>
    <t>BNF_6,50%_2982028_BB2462-71_100K</t>
  </si>
  <si>
    <t>BNF_6,50%_04092028_BB2497-04_100K</t>
  </si>
  <si>
    <t>Bancop S.A.</t>
  </si>
  <si>
    <t>BCO_6,30%_16042029_AA3719_50K</t>
  </si>
  <si>
    <t>BASA_6,50%_14082026_AA3002-06_100K</t>
  </si>
  <si>
    <t>US Government</t>
  </si>
  <si>
    <t>Gobierno</t>
  </si>
  <si>
    <t>Cupón Cero</t>
  </si>
  <si>
    <t>Zeta Banco SAECA</t>
  </si>
  <si>
    <t>A+py</t>
  </si>
  <si>
    <t>Inversiones pasivasa</t>
  </si>
  <si>
    <t xml:space="preserve">Cargos Diferidos                                                                                                                                                                                        </t>
  </si>
  <si>
    <t xml:space="preserve">.Otros Cargos Diferidos                                                                                                                                                                                 </t>
  </si>
  <si>
    <t xml:space="preserve">Provisión para gastos varios a Pagar                                                                                                                                                                    </t>
  </si>
  <si>
    <t xml:space="preserve">Costo Bonos Corporativos                                                                                                                                                                                </t>
  </si>
  <si>
    <t xml:space="preserve">IVA por comisiones y gastos bursátiles                                                                                                                                                                  </t>
  </si>
  <si>
    <t>Activo</t>
  </si>
  <si>
    <t>Pasivo+PN</t>
  </si>
  <si>
    <t>Ingreso</t>
  </si>
  <si>
    <t>Egreso</t>
  </si>
  <si>
    <t>Dif</t>
  </si>
  <si>
    <t xml:space="preserve">.Gastos de comision por administracion                                                                                                                                                                       </t>
  </si>
  <si>
    <t xml:space="preserve">.Gastos de comision por administracion   (IVA )                                                                                                                                                                  </t>
  </si>
  <si>
    <t>Resultado del ejercicio 2025</t>
  </si>
  <si>
    <t>31/12/2025
U$S</t>
  </si>
  <si>
    <t>(expresados en dólares)</t>
  </si>
  <si>
    <t>TOTALES AL 31/12/2025</t>
  </si>
  <si>
    <t>27/05/30</t>
  </si>
  <si>
    <t>06/10/25</t>
  </si>
  <si>
    <t>02/10/28</t>
  </si>
  <si>
    <t>07/10/25</t>
  </si>
  <si>
    <t>14/10/25</t>
  </si>
  <si>
    <t>15/10/25</t>
  </si>
  <si>
    <t>27/08/27</t>
  </si>
  <si>
    <t>23/10/25</t>
  </si>
  <si>
    <t>04/10/27</t>
  </si>
  <si>
    <t>29/10/25</t>
  </si>
  <si>
    <t>24/08/26</t>
  </si>
  <si>
    <t>30/10/25</t>
  </si>
  <si>
    <t>19/10/26</t>
  </si>
  <si>
    <t>22/09/26</t>
  </si>
  <si>
    <t>31/10/25</t>
  </si>
  <si>
    <t>23/03/27</t>
  </si>
  <si>
    <t>04/11/25</t>
  </si>
  <si>
    <t>05/12/28</t>
  </si>
  <si>
    <t>30/12/25</t>
  </si>
  <si>
    <t>Bonos Soberanos extranjeros</t>
  </si>
  <si>
    <t>BB+ Internacional</t>
  </si>
  <si>
    <t>SUD_6,50%_07082028_BN7267-75_100K</t>
  </si>
  <si>
    <t>SUD_6,50%_270530_BE1754-57_100K</t>
  </si>
  <si>
    <t>BCO_6,50%_02102028_AA4088-91_250K</t>
  </si>
  <si>
    <t>BNF_6,25%_27082027_BB2416-22_100K</t>
  </si>
  <si>
    <t>ZETA_6,85%_04102027_AB0701-52_25K</t>
  </si>
  <si>
    <t>SAF_6,30%_24082026_AA3115-24_50K</t>
  </si>
  <si>
    <t>SAF_6,30%_19102026_AA3182-86_100K</t>
  </si>
  <si>
    <t>SAF_6,20%_22092026_AA3164-68_50K</t>
  </si>
  <si>
    <t>BCO_6,15%_23032027_AA4031-35_150K</t>
  </si>
  <si>
    <t>BNF_6,50%_05122028_BB3247-52_50K</t>
  </si>
  <si>
    <t>US912797 SH12</t>
  </si>
  <si>
    <t>AA+ Internacional</t>
  </si>
  <si>
    <t>REPO 1565 PYFIN01F8234</t>
  </si>
  <si>
    <t>BNF_6,50%_05122028_BB3255-58_250K</t>
  </si>
  <si>
    <t>BNF_6,10%_20092027_BB2646-50_100K</t>
  </si>
  <si>
    <t>Anual</t>
  </si>
  <si>
    <t>4.8 ) Resultados por tenencia de inversiones</t>
  </si>
  <si>
    <t xml:space="preserve">Ventas bonos corporativos    </t>
  </si>
  <si>
    <t>Intereses operaciones repo colocadores</t>
  </si>
  <si>
    <t>Venancio Ramón Paredes Alarcón</t>
  </si>
  <si>
    <t>Síndico</t>
  </si>
  <si>
    <t>Javier Benitez Duarte</t>
  </si>
  <si>
    <t>Auditor Externo</t>
  </si>
  <si>
    <t>Banco Familiar S.A.E.C.A. - Cta. Cte. N° 0-14025583 - Cuenta Operativa</t>
  </si>
  <si>
    <t>Valor de
Pasivo
U$S</t>
  </si>
  <si>
    <t>Valor de Activo
U$S</t>
  </si>
  <si>
    <t>(Nota 4.11)</t>
  </si>
  <si>
    <r>
      <t xml:space="preserve">Diversificación de las inversiones por emisor y grupo empresarial:
</t>
    </r>
    <r>
      <rPr>
        <sz val="10"/>
        <color theme="1"/>
        <rFont val="Arial"/>
        <family val="2"/>
      </rPr>
      <t xml:space="preserve">Los límites de diversificación por emisor y grupo empresarial son:
</t>
    </r>
    <r>
      <rPr>
        <b/>
        <sz val="10"/>
        <color theme="1"/>
        <rFont val="Arial"/>
        <family val="2"/>
      </rPr>
      <t>2.4 Límite máximo de inversión por emisor: 25% del valor del Fondo.</t>
    </r>
    <r>
      <rPr>
        <sz val="10"/>
        <color theme="1"/>
        <rFont val="Arial"/>
        <family val="2"/>
      </rPr>
      <t xml:space="preserve">
</t>
    </r>
    <r>
      <rPr>
        <b/>
        <sz val="10"/>
        <color theme="1"/>
        <rFont val="Arial"/>
        <family val="2"/>
      </rPr>
      <t>2.5 Límite máximo de inversión por emisor y su grupo empresarial: 30% del valor del Fondo.</t>
    </r>
  </si>
  <si>
    <t>Rendimientos - Letras del tesoro de EE.UU.</t>
  </si>
  <si>
    <t>Los estados financieros se expresan en dólares y han sido preparados de acuerdo con las normas contables, criterios de valuación y las normas de presentación establecidas por la Superintendencia de Valores (anteriormente Comisión Nacional de Valores) a través de la Resolución CNV CG N° 35/2023 de fecha 9 de febrero de 2023 – Reglamento General del Mercado de Valores y con Normas de Información Financiera (NIF) emitidas por el Consejo de Contadores Públicos del Paraguay.</t>
  </si>
  <si>
    <t xml:space="preserve">Gastos de CAVAPY                                                                                                                                                                                        </t>
  </si>
  <si>
    <t xml:space="preserve">Gastos de CAVAPY (IVA)                                                                                                                                                                                  </t>
  </si>
  <si>
    <t xml:space="preserve">Aranceles CAVAPY                                                                                                                                                                                        </t>
  </si>
  <si>
    <t xml:space="preserve">Gastos por Cargos Diferidos Reporteria Contable PUC                                                                                                                                                     </t>
  </si>
  <si>
    <t xml:space="preserve">Gastos por Cargos Diferidos Reporteria Contable PUC (IVA)                                                                                                                                               </t>
  </si>
  <si>
    <t xml:space="preserve">Gastos por Cargos Diferidos CAVAPY                                                                                                                                                                      </t>
  </si>
  <si>
    <t xml:space="preserve">Gastos por Cargos Diferidos CAVAPY (IVA)                                                                                                                                                                </t>
  </si>
  <si>
    <t xml:space="preserve">Resultado por Tenencia Letras de Regulación Mon BCP_MTM                                                                                                                                                 </t>
  </si>
  <si>
    <t>TOTAL ACTIVO NETO
AL 31/12/2025
U$S</t>
  </si>
  <si>
    <t>Honorarios a vencer</t>
  </si>
  <si>
    <t>Bonos soberanos extranjeros</t>
  </si>
  <si>
    <t>Bonos soberanos extranjeros USD</t>
  </si>
  <si>
    <t>Intereses a cobrar - Bonos Soberanos extranjeros</t>
  </si>
  <si>
    <t>(-) Intereses a devengar - Bonos Soberanos extranjeros</t>
  </si>
  <si>
    <t xml:space="preserve">Dif. de precio positivo no amort. - Bonos Soberanos extranjeros </t>
  </si>
  <si>
    <t xml:space="preserve">Dif. de precio negativo no amort. - Bonos Soberanos extranjeros </t>
  </si>
  <si>
    <t>SAF_6,30%_12072027_AA3505-10_50K</t>
  </si>
  <si>
    <t>FIC_6,50%_26072027_AA1946-55_50K</t>
  </si>
  <si>
    <t>Ecopetrol S.A.</t>
  </si>
  <si>
    <t>US279158AP43</t>
  </si>
  <si>
    <t>BB Internacional</t>
  </si>
  <si>
    <t>Colombia</t>
  </si>
  <si>
    <t>PEMEX</t>
  </si>
  <si>
    <t>Pemex, 5.95% 28jan2031, USD  (US71654QDE98)</t>
  </si>
  <si>
    <t>Mexico</t>
  </si>
  <si>
    <t>Empresas Publicas de Medellin</t>
  </si>
  <si>
    <t>Empresas Publicas de Medellin, 4.375%  (USP9379RBC09)</t>
  </si>
  <si>
    <t>BNF_6,50%_05122028_BB3253-54_250K</t>
  </si>
  <si>
    <t>BNF_6,50%_05122028_BB3245-46_100K</t>
  </si>
  <si>
    <t>ZETA_6,50%_12032029_PROV1_50K</t>
  </si>
  <si>
    <t>US912797 QD26</t>
  </si>
  <si>
    <t>HSUD_5,85%_13032028_PROV1_500K</t>
  </si>
  <si>
    <t>Gobierno de Colombia</t>
  </si>
  <si>
    <t>Colombia-US195325EV39-6.5%-21012033</t>
  </si>
  <si>
    <t>Colombia-US195325EV39-6.5%-21012033-2</t>
  </si>
  <si>
    <t>BNF_6,50%_12112028_BB3141-42_100K</t>
  </si>
  <si>
    <t>BNF_6,50%_04112028_BB3102-07_50K</t>
  </si>
  <si>
    <t>05/09/28</t>
  </si>
  <si>
    <t>08/01/26</t>
  </si>
  <si>
    <t>12/07/27</t>
  </si>
  <si>
    <t>20/01/26</t>
  </si>
  <si>
    <t>26/07/27</t>
  </si>
  <si>
    <t>26/01/26</t>
  </si>
  <si>
    <t>19/02/26</t>
  </si>
  <si>
    <t>05/03/26</t>
  </si>
  <si>
    <t>10/03/26</t>
  </si>
  <si>
    <t>12/03/29</t>
  </si>
  <si>
    <t>31/03/26</t>
  </si>
  <si>
    <t>04/11/28</t>
  </si>
  <si>
    <t>12/11/28</t>
  </si>
  <si>
    <t>Publico</t>
  </si>
  <si>
    <t>Ecopetrol S.A</t>
  </si>
  <si>
    <t>Petróleos Mexicanos</t>
  </si>
  <si>
    <t>Empresas Publicas De Medellin</t>
  </si>
  <si>
    <t>México</t>
  </si>
  <si>
    <t>13/02/26</t>
  </si>
  <si>
    <t>28/01/31</t>
  </si>
  <si>
    <t>15/02/31</t>
  </si>
  <si>
    <t>Lujan Rios</t>
  </si>
  <si>
    <r>
      <rPr>
        <b/>
        <sz val="10"/>
        <color theme="1"/>
        <rFont val="Arial"/>
        <family val="2"/>
      </rPr>
      <t>Caja de Valores del Paraguay S.A:</t>
    </r>
    <r>
      <rPr>
        <sz val="10"/>
        <color theme="1"/>
        <rFont val="Arial"/>
        <family val="2"/>
      </rPr>
      <t xml:space="preserve"> constituida con el objeto de actuar como entidad central de custodia, registro, compensación y liquidación de valores en el mercado de capitales paraguayo. Se encuentra registrada y supervisada por el Banco Central del Paraguay, a través de la Superintendencia de Valores, conforme a la Ley N° 7.572/25 de Mercado de Valores y Productos y sus reglamentaciones.</t>
    </r>
  </si>
  <si>
    <t>POR EL EJERCICIO COMPRENDIDO ENTRE EL 1 DE ENERO Y EL 30 DE JUNIO DE 2026
PRESENTADO DE FORMA COMPARATIVA CON EL PERIODO COMPRENDIDO DEL 1 DE ENERO AL 31 DE DICIEMBRE DE 2025</t>
  </si>
  <si>
    <t>30/06/2026
U$S</t>
  </si>
  <si>
    <t>30/06/2025</t>
  </si>
  <si>
    <t xml:space="preserve">Rentas y Amortizaciones a cobrar                                                                                                                                                                        </t>
  </si>
  <si>
    <t xml:space="preserve">Rentas a Cobrar Certificado Depósito de Ahorro                                                                                                                                                          </t>
  </si>
  <si>
    <t xml:space="preserve">Resultado por Tenencia Bonos Subordinados                                                                                                                                                               </t>
  </si>
  <si>
    <t>30/06/2025
U$S</t>
  </si>
  <si>
    <t>TOTAL ACTIVO NETO
AL 30/06/2026</t>
  </si>
  <si>
    <t>NOTAS A LOS ESTADOS FINANCIEROS AL 30 DE JUNIO DE 2026</t>
  </si>
  <si>
    <t>TOTALES AL 30/06/2026</t>
  </si>
  <si>
    <t>Banco Gnb Paraguay Sociedad Anonima Emisora De Capital Abierto</t>
  </si>
  <si>
    <t>Banco Atlas S.A.</t>
  </si>
  <si>
    <t>Financiera Paraguayo Japonesa Saeca</t>
  </si>
  <si>
    <t>Tu Financiera S.A.E.C.A.</t>
  </si>
  <si>
    <t>Banco Continental Sa Emisora De Capital Abierto</t>
  </si>
  <si>
    <t>21/04/26</t>
  </si>
  <si>
    <t>05/03/29</t>
  </si>
  <si>
    <t>19/03/29</t>
  </si>
  <si>
    <t>29/04/26</t>
  </si>
  <si>
    <t>08/01/29</t>
  </si>
  <si>
    <t>30/04/26</t>
  </si>
  <si>
    <t>27/07/26</t>
  </si>
  <si>
    <t>06/05/26</t>
  </si>
  <si>
    <t>04/04/28</t>
  </si>
  <si>
    <t>11/05/26</t>
  </si>
  <si>
    <t>27/03/29</t>
  </si>
  <si>
    <t>12/05/26</t>
  </si>
  <si>
    <t>19/09/28</t>
  </si>
  <si>
    <t>26/04/27</t>
  </si>
  <si>
    <t>21/05/26</t>
  </si>
  <si>
    <t>27/05/26</t>
  </si>
  <si>
    <t>20/03/29</t>
  </si>
  <si>
    <t>13/03/29</t>
  </si>
  <si>
    <t>20/12/27</t>
  </si>
  <si>
    <t>16/06/26</t>
  </si>
  <si>
    <t>20/01/27</t>
  </si>
  <si>
    <t>24/06/26</t>
  </si>
  <si>
    <t>07/02/28</t>
  </si>
  <si>
    <t>14/02/28</t>
  </si>
  <si>
    <t>26/06/26</t>
  </si>
  <si>
    <t>24/07/26</t>
  </si>
  <si>
    <t>10/09/26</t>
  </si>
  <si>
    <t>04/08/26</t>
  </si>
  <si>
    <t>5.15%</t>
  </si>
  <si>
    <t>6.45%</t>
  </si>
  <si>
    <t>6.40%</t>
  </si>
  <si>
    <t>6.50%</t>
  </si>
  <si>
    <t>8.00%</t>
  </si>
  <si>
    <t>6.30%</t>
  </si>
  <si>
    <t>6.25%</t>
  </si>
  <si>
    <t>6.85%</t>
  </si>
  <si>
    <t>6.20%</t>
  </si>
  <si>
    <t>6.15%</t>
  </si>
  <si>
    <t>6.10%</t>
  </si>
  <si>
    <t>5.85%</t>
  </si>
  <si>
    <t>5.80%</t>
  </si>
  <si>
    <t>6.00%</t>
  </si>
  <si>
    <t>6.75%</t>
  </si>
  <si>
    <t>5.50%</t>
  </si>
  <si>
    <t>16/08/30</t>
  </si>
  <si>
    <t>Xp Inc.</t>
  </si>
  <si>
    <t>Grupo Nutresa</t>
  </si>
  <si>
    <t>Cox Abg Group</t>
  </si>
  <si>
    <t>Comision Federal De Electricidad (Cfe)</t>
  </si>
  <si>
    <t>17/04/26</t>
  </si>
  <si>
    <t>02/07/29</t>
  </si>
  <si>
    <t>24/04/26</t>
  </si>
  <si>
    <t>12/05/30</t>
  </si>
  <si>
    <t>13/05/26</t>
  </si>
  <si>
    <t>08/01/32</t>
  </si>
  <si>
    <t>28/01/34</t>
  </si>
  <si>
    <t>03/06/26</t>
  </si>
  <si>
    <t>13/01/33</t>
  </si>
  <si>
    <t>5.12%</t>
  </si>
  <si>
    <t>5.95%</t>
  </si>
  <si>
    <t>4.37%</t>
  </si>
  <si>
    <t>7.12%</t>
  </si>
  <si>
    <t>8.87%</t>
  </si>
  <si>
    <t>6.04%</t>
  </si>
  <si>
    <t>Bonos Del Exterior</t>
  </si>
  <si>
    <t>U.S. Government</t>
  </si>
  <si>
    <t>21/07/26</t>
  </si>
  <si>
    <t>05/06/26</t>
  </si>
  <si>
    <t>16/07/26</t>
  </si>
  <si>
    <t>0.00%</t>
  </si>
  <si>
    <t>A continuación, la información estadística mensual de la posición del Fondo al 30 de junio de 2026:</t>
  </si>
  <si>
    <t>Abril</t>
  </si>
  <si>
    <t>Mayo</t>
  </si>
  <si>
    <t>Junio</t>
  </si>
  <si>
    <t>A continuación, se exponen los saldos de los instrumentos adquiridos al 30 de junio de 2026:</t>
  </si>
  <si>
    <t>No aplicable. Al  30 de junio 2026, el Fondo no cuenta con sobregiros bancarios</t>
  </si>
  <si>
    <t>Al 30 de junio de 2026, no existen situaciones contingentes, ni reclamos que este en conocimiento de la Sociedad Administradora.</t>
  </si>
  <si>
    <t>Al 30 de junio de 2026, no existen otros asuntos relevantes que mencionar.</t>
  </si>
  <si>
    <t>Entre la fecha de cierre de los presentes estados financieros, no han ocurrido hechos significativos de carácter financiero o de otra índole que afecten la situación patrimonial o financiera o los resultados del Fondo Mutuo FAM Renta Plus Dólares al 30 de junio de 2026.</t>
  </si>
  <si>
    <t>El modelo se sustenta en una base convencional de costo histórico y no reconoce en forma integral los efectos de la inflación en la situación patrimonial y financiera del Fondo Mutuo, ni en los resultados de sus operaciones. De haberse aplicado una corrección monetaria integral de los estados financieros, podrían haber surgido diferencias en la presentación de la situación patrimonial y financiera, en los resultados de las operaciones y en los flujos de efectivo del Fondo Mutuo al 30 de junio de 2026 y 2025. Según el índice general de precios del consumo publicado por el Banco Central del Paraguay, la inflación al 30 de junio de 2026 y 30 de junio de 2025 fueron del 3,0% y 2,8% respectivamente.</t>
  </si>
  <si>
    <t xml:space="preserve">Las informaciones presentadas corresponden al ejercicio comprendido entre el 1 de enero y el 30 de junio de 2026, comparativo con el ejercicio anterior cerrado del 1 de enero y el 31 de diciembre de 2025 para activo neto y con el periodo del 1 de enero al 30 de junio de 2025 para el estado de ingresos y egresos y el flujo de efectivo. </t>
  </si>
  <si>
    <t>Durante el ejercicio no se han registrados transacciones en moneda diferente a la moneda del fondo. Así mismo, al 30 de junio del 2026 no existen saldos de activos y pasivos en moneda distintos al dólar américano.</t>
  </si>
  <si>
    <t>POR EL EJERCICIO COMPRENDIDO ENTRE EL 1 DE ENERO Y EL 30 DE JUNIO DE 2026
PRESENTADO DE FORMA COMPARATIVA CON EL PERIODO COMPRENDIDO DEL 1 DE ENERO AL 30 DE JUNIO DE 2025.</t>
  </si>
  <si>
    <t>Humberto Colman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</si>
</sst>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0">
    <numFmt numFmtId="41" formatCode="_ * #,##0_ ;_ * \-#,##0_ ;_ * &quot;-&quot;_ ;_ @_ "/>
    <numFmt numFmtId="43" formatCode="_ * #,##0.00_ ;_ * \-#,##0.00_ ;_ * &quot;-&quot;??_ ;_ @_ "/>
    <numFmt numFmtId="164" formatCode="_-* #,##0_-;\-* #,##0_-;_-* &quot;-&quot;_-;_-@_-"/>
    <numFmt numFmtId="165" formatCode="_-* #,##0.00_-;\-* #,##0.00_-;_-* &quot;-&quot;??_-;_-@_-"/>
    <numFmt numFmtId="166" formatCode="_(* #,##0_);_(* \(#,##0\);_(* &quot;-&quot;_);_(@_)"/>
    <numFmt numFmtId="167" formatCode="_(* #,##0.00_);_(* \(#,##0.00\);_(* &quot;-&quot;??_);_(@_)"/>
    <numFmt numFmtId="168" formatCode="_-* #,##0.00\ _€_-;\-* #,##0.00\ _€_-;_-* &quot;-&quot;??\ _€_-;_-@_-"/>
    <numFmt numFmtId="169" formatCode="_-* #,##0\ _€_-;\-* #,##0\ _€_-;_-* &quot;-&quot;??\ _€_-;_-@_-"/>
    <numFmt numFmtId="170" formatCode="General_)"/>
    <numFmt numFmtId="171" formatCode="#,##0_ ;\-#,##0\ "/>
    <numFmt numFmtId="172" formatCode="dd/mm/yyyy;@"/>
    <numFmt numFmtId="173" formatCode="_-* #,##0_-;\-* #,##0_-;_-* &quot;-&quot;??_-;_-@_-"/>
    <numFmt numFmtId="174" formatCode="_-* #,##0\ _€_-;\-* #,##0\ _€_-;_-* &quot;-&quot;\ _€_-;_-@_-"/>
    <numFmt numFmtId="175" formatCode="_-* #,##0.00\ _p_t_a_-;\-* #,##0.00\ _p_t_a_-;_-* &quot;-&quot;??\ _p_t_a_-;_-@_-"/>
    <numFmt numFmtId="176" formatCode="_(* #,##0_);_(* \(#,##0\);_(* &quot;-&quot;??_);_(@_)"/>
    <numFmt numFmtId="177" formatCode="0.000%"/>
    <numFmt numFmtId="178" formatCode="_ * #,##0.00_ ;_ * \-#,##0.00_ ;_ * &quot;-&quot;_ ;_ @_ "/>
    <numFmt numFmtId="179" formatCode="_(* #,##0.00_);_(* \(#,##0.00\);_(* &quot;-&quot;_);_(@_)"/>
    <numFmt numFmtId="180" formatCode="_ * #,##0.000_ ;_ * \-#,##0.000_ ;_ * &quot;-&quot;_ ;_ @_ "/>
    <numFmt numFmtId="181" formatCode="0.0"/>
    <numFmt numFmtId="182" formatCode="0\ %"/>
    <numFmt numFmtId="183" formatCode="dd/mm/yy"/>
    <numFmt numFmtId="184" formatCode="_ * #,##0.0000_ ;_ * \-#,##0.0000_ ;_ * &quot;-&quot;_ ;_ @_ "/>
    <numFmt numFmtId="185" formatCode="#,##0.00_ ;\-#,##0.00\ "/>
    <numFmt numFmtId="186" formatCode="_ * #,##0.000000000000000_ ;_ * \-#,##0.000000000000000_ ;_ * &quot;-&quot;_ ;_ @_ "/>
    <numFmt numFmtId="187" formatCode="&quot;₲&quot;\ #,##0.00"/>
    <numFmt numFmtId="188" formatCode="0.0000%"/>
    <numFmt numFmtId="189" formatCode="0.000000%"/>
    <numFmt numFmtId="190" formatCode="0.00_ ;\-0.00\ "/>
    <numFmt numFmtId="191" formatCode="_ * #,##0_ ;_ * \-#,##0_ ;_ * &quot;-&quot;??_ ;_ @_ "/>
  </numFmts>
  <fonts count="115">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000000"/>
      <name val="Calibri"/>
      <family val="2"/>
      <scheme val="minor"/>
    </font>
    <font>
      <sz val="12"/>
      <name val="Courier"/>
      <family val="3"/>
    </font>
    <font>
      <sz val="10"/>
      <name val="Arial"/>
      <family val="2"/>
    </font>
    <font>
      <sz val="10"/>
      <name val="Nimbus Sans L"/>
    </font>
    <font>
      <b/>
      <sz val="10"/>
      <name val="Arial"/>
      <family val="2"/>
    </font>
    <font>
      <sz val="8"/>
      <name val="Arial"/>
      <family val="2"/>
    </font>
    <font>
      <b/>
      <sz val="8"/>
      <name val="Arial"/>
      <family val="2"/>
    </font>
    <font>
      <sz val="9"/>
      <name val="Arial"/>
      <family val="2"/>
    </font>
    <font>
      <sz val="10"/>
      <color theme="1"/>
      <name val="Arial"/>
      <family val="2"/>
    </font>
    <font>
      <sz val="9"/>
      <color theme="1"/>
      <name val="Arial"/>
      <family val="2"/>
    </font>
    <font>
      <b/>
      <sz val="9"/>
      <color theme="1"/>
      <name val="Arial"/>
      <family val="2"/>
    </font>
    <font>
      <sz val="10"/>
      <name val="Arial"/>
      <family val="2"/>
    </font>
    <font>
      <sz val="11"/>
      <name val="Calibri"/>
      <family val="2"/>
      <scheme val="minor"/>
    </font>
    <font>
      <b/>
      <sz val="10"/>
      <color rgb="FF000000"/>
      <name val="Arial"/>
      <family val="2"/>
    </font>
    <font>
      <b/>
      <sz val="8"/>
      <color rgb="FFFF0000"/>
      <name val="Arial"/>
      <family val="2"/>
    </font>
    <font>
      <b/>
      <sz val="8"/>
      <color theme="0"/>
      <name val="Arial"/>
      <family val="2"/>
    </font>
    <font>
      <sz val="8"/>
      <color theme="0"/>
      <name val="Arial"/>
      <family val="2"/>
    </font>
    <font>
      <sz val="8"/>
      <color theme="1"/>
      <name val="Arial"/>
      <family val="2"/>
    </font>
    <font>
      <u/>
      <sz val="11"/>
      <color theme="10"/>
      <name val="Calibri"/>
      <family val="2"/>
      <scheme val="minor"/>
    </font>
    <font>
      <sz val="10"/>
      <name val="Times New Roman"/>
      <family val="1"/>
    </font>
    <font>
      <sz val="18"/>
      <color theme="3"/>
      <name val="Calibri Light"/>
      <family val="2"/>
      <scheme val="major"/>
    </font>
    <font>
      <sz val="11"/>
      <color indexed="8"/>
      <name val="Calibri"/>
      <family val="2"/>
    </font>
    <font>
      <sz val="11"/>
      <color rgb="FF000000"/>
      <name val="Calibri"/>
      <family val="2"/>
    </font>
    <font>
      <b/>
      <sz val="12"/>
      <color theme="1"/>
      <name val="Arial"/>
      <family val="2"/>
    </font>
    <font>
      <b/>
      <sz val="10"/>
      <color theme="1"/>
      <name val="Arial"/>
      <family val="2"/>
    </font>
    <font>
      <sz val="10"/>
      <color rgb="FFFF0000"/>
      <name val="Arial"/>
      <family val="2"/>
    </font>
    <font>
      <sz val="11"/>
      <color theme="0"/>
      <name val="Arial"/>
      <family val="2"/>
    </font>
    <font>
      <sz val="11"/>
      <color theme="1"/>
      <name val="Arial"/>
      <family val="2"/>
    </font>
    <font>
      <sz val="11"/>
      <color rgb="FF0070C0"/>
      <name val="Arial"/>
      <family val="2"/>
    </font>
    <font>
      <b/>
      <sz val="12"/>
      <color rgb="FF0070C0"/>
      <name val="Arial"/>
      <family val="2"/>
    </font>
    <font>
      <sz val="11"/>
      <name val="Arial"/>
      <family val="2"/>
    </font>
    <font>
      <b/>
      <u/>
      <sz val="11"/>
      <name val="Arial"/>
      <family val="2"/>
    </font>
    <font>
      <b/>
      <u/>
      <sz val="12"/>
      <name val="Arial"/>
      <family val="2"/>
    </font>
    <font>
      <b/>
      <sz val="12"/>
      <name val="Arial"/>
      <family val="2"/>
    </font>
    <font>
      <sz val="12"/>
      <name val="Arial"/>
      <family val="2"/>
    </font>
    <font>
      <u/>
      <sz val="11"/>
      <name val="Arial"/>
      <family val="2"/>
    </font>
    <font>
      <b/>
      <sz val="13"/>
      <name val="Arial"/>
      <family val="2"/>
    </font>
    <font>
      <b/>
      <sz val="16"/>
      <name val="Arial"/>
      <family val="2"/>
    </font>
    <font>
      <sz val="11"/>
      <color theme="1" tint="0.34998626667073579"/>
      <name val="Arial"/>
      <family val="2"/>
    </font>
    <font>
      <sz val="13"/>
      <color theme="1" tint="0.34998626667073579"/>
      <name val="Arial"/>
      <family val="2"/>
    </font>
    <font>
      <b/>
      <u/>
      <sz val="12"/>
      <color theme="1" tint="0.34998626667073579"/>
      <name val="Arial"/>
      <family val="2"/>
    </font>
    <font>
      <b/>
      <sz val="20"/>
      <color theme="0"/>
      <name val="Arial"/>
      <family val="2"/>
    </font>
    <font>
      <sz val="12"/>
      <color theme="1"/>
      <name val="Arial"/>
      <family val="2"/>
    </font>
    <font>
      <b/>
      <sz val="11"/>
      <color theme="1"/>
      <name val="Arial"/>
      <family val="2"/>
    </font>
    <font>
      <b/>
      <sz val="10"/>
      <color theme="0"/>
      <name val="Arial"/>
      <family val="2"/>
    </font>
    <font>
      <b/>
      <i/>
      <sz val="10"/>
      <color theme="1"/>
      <name val="Arial"/>
      <family val="2"/>
    </font>
    <font>
      <u/>
      <sz val="10"/>
      <color theme="10"/>
      <name val="Arial"/>
      <family val="2"/>
    </font>
    <font>
      <sz val="10"/>
      <color rgb="FF000000"/>
      <name val="Arial"/>
      <family val="2"/>
    </font>
    <font>
      <sz val="11"/>
      <color theme="3" tint="-0.249977111117893"/>
      <name val="Arial"/>
      <family val="2"/>
    </font>
    <font>
      <b/>
      <u/>
      <sz val="11"/>
      <color theme="3" tint="-0.249977111117893"/>
      <name val="Arial"/>
      <family val="2"/>
    </font>
    <font>
      <sz val="13"/>
      <color theme="3" tint="-0.249977111117893"/>
      <name val="Arial"/>
      <family val="2"/>
    </font>
    <font>
      <b/>
      <sz val="12"/>
      <color theme="3" tint="-0.249977111117893"/>
      <name val="Arial"/>
      <family val="2"/>
    </font>
    <font>
      <sz val="12"/>
      <color theme="3" tint="-0.249977111117893"/>
      <name val="Arial"/>
      <family val="2"/>
    </font>
    <font>
      <u/>
      <sz val="11"/>
      <color theme="3" tint="-0.249977111117893"/>
      <name val="Arial"/>
      <family val="2"/>
    </font>
    <font>
      <b/>
      <sz val="13"/>
      <color theme="3" tint="-0.249977111117893"/>
      <name val="Arial"/>
      <family val="2"/>
    </font>
    <font>
      <sz val="10"/>
      <color theme="3" tint="-0.249977111117893"/>
      <name val="Arial"/>
      <family val="2"/>
    </font>
    <font>
      <sz val="10"/>
      <name val="Arial"/>
      <family val="2"/>
    </font>
    <font>
      <sz val="10"/>
      <color indexed="8"/>
      <name val="Arial"/>
      <family val="2"/>
    </font>
    <font>
      <sz val="11"/>
      <color rgb="FF9C5700"/>
      <name val="Calibri"/>
      <family val="2"/>
      <scheme val="minor"/>
    </font>
    <font>
      <sz val="11"/>
      <color indexed="8"/>
      <name val="Calibri"/>
      <family val="2"/>
      <scheme val="minor"/>
    </font>
    <font>
      <sz val="9"/>
      <name val="AriaÑ"/>
    </font>
    <font>
      <b/>
      <sz val="10"/>
      <color rgb="FFFFFFFF"/>
      <name val="Arial"/>
      <family val="2"/>
    </font>
    <font>
      <sz val="10"/>
      <color rgb="FFFFFFFF"/>
      <name val="Arial"/>
      <family val="2"/>
    </font>
    <font>
      <b/>
      <u/>
      <sz val="10"/>
      <color rgb="FF000000"/>
      <name val="Arial"/>
      <family val="2"/>
    </font>
    <font>
      <sz val="9"/>
      <color rgb="FFFF0000"/>
      <name val="Arial"/>
      <family val="2"/>
    </font>
    <font>
      <sz val="8"/>
      <color rgb="FFFF0000"/>
      <name val="Arial"/>
      <family val="2"/>
    </font>
    <font>
      <sz val="11"/>
      <color rgb="FFFF0000"/>
      <name val="Arial"/>
      <family val="2"/>
    </font>
    <font>
      <i/>
      <sz val="10"/>
      <color theme="1"/>
      <name val="Arial"/>
      <family val="2"/>
    </font>
    <font>
      <sz val="10"/>
      <name val="Arial"/>
      <family val="2"/>
    </font>
    <font>
      <i/>
      <sz val="10"/>
      <color rgb="FF000000"/>
      <name val="Arial"/>
      <family val="2"/>
    </font>
    <font>
      <sz val="10"/>
      <color theme="0"/>
      <name val="Arial"/>
      <family val="2"/>
    </font>
    <font>
      <sz val="11"/>
      <color theme="1"/>
      <name val="Times New Roman"/>
      <family val="1"/>
    </font>
    <font>
      <sz val="11"/>
      <name val="Calibri"/>
      <family val="2"/>
    </font>
    <font>
      <sz val="10"/>
      <color theme="1"/>
      <name val="Arial"/>
      <family val="2"/>
    </font>
    <font>
      <b/>
      <sz val="10"/>
      <color rgb="FF000000"/>
      <name val="Arial"/>
      <family val="2"/>
    </font>
    <font>
      <sz val="10"/>
      <color rgb="FFFF0000"/>
      <name val="Arial"/>
      <family val="2"/>
    </font>
    <font>
      <sz val="12"/>
      <color theme="1"/>
      <name val="Calibri"/>
      <family val="2"/>
      <scheme val="minor"/>
    </font>
    <font>
      <b/>
      <sz val="16"/>
      <color theme="8" tint="-0.499984740745262"/>
      <name val="Calibri"/>
      <family val="2"/>
    </font>
    <font>
      <b/>
      <sz val="12"/>
      <name val="Calibri"/>
      <family val="2"/>
    </font>
    <font>
      <b/>
      <sz val="10"/>
      <color rgb="FF000000"/>
      <name val="Arial"/>
      <family val="2"/>
    </font>
    <font>
      <b/>
      <sz val="10"/>
      <color theme="1"/>
      <name val="Arial"/>
      <family val="2"/>
    </font>
    <font>
      <sz val="10"/>
      <color theme="1"/>
      <name val="Calibri"/>
      <family val="2"/>
      <scheme val="minor"/>
    </font>
    <font>
      <b/>
      <sz val="12"/>
      <color theme="0"/>
      <name val="Calibri"/>
      <family val="2"/>
      <scheme val="minor"/>
    </font>
    <font>
      <b/>
      <sz val="12"/>
      <name val="Calibri"/>
      <family val="2"/>
      <scheme val="minor"/>
    </font>
    <font>
      <b/>
      <sz val="12"/>
      <color rgb="FF002060"/>
      <name val="Calibri"/>
      <family val="2"/>
      <scheme val="minor"/>
    </font>
    <font>
      <b/>
      <sz val="10"/>
      <color rgb="FF002060"/>
      <name val="Calibri"/>
      <family val="2"/>
      <scheme val="minor"/>
    </font>
    <font>
      <b/>
      <sz val="10"/>
      <color theme="1"/>
      <name val="Calibri"/>
      <family val="2"/>
      <scheme val="minor"/>
    </font>
    <font>
      <sz val="10"/>
      <color theme="0"/>
      <name val="Calibri"/>
      <family val="2"/>
      <scheme val="minor"/>
    </font>
    <font>
      <sz val="11"/>
      <name val="Calibri"/>
      <family val="2"/>
    </font>
    <font>
      <b/>
      <sz val="11"/>
      <name val="Calibri"/>
      <family val="2"/>
    </font>
    <font>
      <sz val="10"/>
      <color rgb="FF000000"/>
      <name val="Calibri"/>
      <family val="2"/>
    </font>
    <font>
      <b/>
      <sz val="10"/>
      <name val="Calibri"/>
      <family val="2"/>
      <scheme val="minor"/>
    </font>
    <font>
      <sz val="10"/>
      <name val="Calibri"/>
      <family val="2"/>
      <scheme val="minor"/>
    </font>
    <font>
      <b/>
      <sz val="11"/>
      <color rgb="FF000000"/>
      <name val="Calibri"/>
      <family val="2"/>
    </font>
    <font>
      <b/>
      <sz val="10"/>
      <color rgb="FF000000"/>
      <name val="Calibri"/>
      <family val="2"/>
    </font>
    <font>
      <sz val="12"/>
      <color theme="0"/>
      <name val="Arial"/>
      <family val="2"/>
    </font>
    <font>
      <b/>
      <sz val="12"/>
      <color theme="0"/>
      <name val="Arial"/>
      <family val="2"/>
    </font>
  </fonts>
  <fills count="5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4" tint="0.39997558519241921"/>
        <bgColor indexed="64"/>
      </patternFill>
    </fill>
    <fill>
      <patternFill patternType="solid">
        <fgColor theme="7" tint="0.59999389629810485"/>
        <bgColor indexed="64"/>
      </patternFill>
    </fill>
    <fill>
      <patternFill patternType="solid">
        <fgColor theme="2" tint="-0.249977111117893"/>
        <bgColor indexed="64"/>
      </patternFill>
    </fill>
    <fill>
      <patternFill patternType="solid">
        <fgColor rgb="FF002060"/>
        <bgColor indexed="64"/>
      </patternFill>
    </fill>
    <fill>
      <patternFill patternType="solid">
        <fgColor theme="9" tint="0.39997558519241921"/>
        <bgColor indexed="64"/>
      </patternFill>
    </fill>
    <fill>
      <patternFill patternType="solid">
        <fgColor theme="6" tint="0.79998168889431442"/>
        <bgColor indexed="64"/>
      </patternFill>
    </fill>
    <fill>
      <patternFill patternType="solid">
        <fgColor theme="2"/>
        <bgColor indexed="64"/>
      </patternFill>
    </fill>
    <fill>
      <patternFill patternType="solid">
        <fgColor theme="2" tint="-0.499984740745262"/>
        <bgColor indexed="64"/>
      </patternFill>
    </fill>
    <fill>
      <patternFill patternType="solid">
        <fgColor rgb="FF00B050"/>
        <bgColor indexed="64"/>
      </patternFill>
    </fill>
    <fill>
      <patternFill patternType="solid">
        <fgColor rgb="FFFFFFCC"/>
        <bgColor indexed="64"/>
      </patternFill>
    </fill>
    <fill>
      <patternFill patternType="solid">
        <fgColor rgb="FF757171"/>
        <bgColor indexed="64"/>
      </patternFill>
    </fill>
    <fill>
      <patternFill patternType="solid">
        <fgColor rgb="FFEDEDED"/>
        <bgColor indexed="64"/>
      </patternFill>
    </fill>
    <fill>
      <patternFill patternType="solid">
        <fgColor rgb="FFFFFF00"/>
        <bgColor indexed="64"/>
      </patternFill>
    </fill>
    <fill>
      <patternFill patternType="solid">
        <fgColor theme="0"/>
        <bgColor indexed="64"/>
      </patternFill>
    </fill>
    <fill>
      <patternFill patternType="solid">
        <fgColor rgb="FFB3CFDF"/>
        <bgColor indexed="64"/>
      </patternFill>
    </fill>
    <fill>
      <patternFill patternType="solid">
        <fgColor theme="0" tint="-0.499984740745262"/>
        <bgColor indexed="64"/>
      </patternFill>
    </fill>
    <fill>
      <patternFill patternType="solid">
        <fgColor theme="8" tint="-0.499984740745262"/>
        <bgColor indexed="64"/>
      </patternFill>
    </fill>
    <fill>
      <patternFill patternType="solid">
        <fgColor theme="0" tint="-0.34998626667073579"/>
        <bgColor indexed="64"/>
      </patternFill>
    </fill>
    <fill>
      <patternFill patternType="solid">
        <fgColor rgb="FFFFC000"/>
        <bgColor indexed="64"/>
      </patternFill>
    </fill>
    <fill>
      <patternFill patternType="solid">
        <fgColor rgb="FFE7E6E6"/>
        <bgColor rgb="FF000000"/>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right/>
      <top/>
      <bottom style="thick">
        <color theme="2" tint="-0.499984740745262"/>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s>
  <cellStyleXfs count="5526">
    <xf numFmtId="0" fontId="0" fillId="0" borderId="0"/>
    <xf numFmtId="168"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7" fillId="0" borderId="0" applyNumberFormat="0" applyFill="0" applyBorder="0" applyAlignment="0" applyProtection="0"/>
    <xf numFmtId="0" fontId="18" fillId="0" borderId="0"/>
    <xf numFmtId="170" fontId="19" fillId="0" borderId="0"/>
    <xf numFmtId="166" fontId="1" fillId="0" borderId="0" applyFont="0" applyFill="0" applyBorder="0" applyAlignment="0" applyProtection="0"/>
    <xf numFmtId="0" fontId="20" fillId="0" borderId="0"/>
    <xf numFmtId="0" fontId="20" fillId="0" borderId="0"/>
    <xf numFmtId="0" fontId="21" fillId="0" borderId="0"/>
    <xf numFmtId="0" fontId="20" fillId="0" borderId="0"/>
    <xf numFmtId="167" fontId="1"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0" fontId="29" fillId="0" borderId="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36" fillId="0" borderId="0" applyNumberFormat="0" applyFill="0" applyBorder="0" applyAlignment="0" applyProtection="0"/>
    <xf numFmtId="0" fontId="20" fillId="0" borderId="0"/>
    <xf numFmtId="0" fontId="38" fillId="0" borderId="0" applyNumberForma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20" fillId="0" borderId="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20" fillId="0" borderId="0" applyNumberForma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0" fontId="39" fillId="0" borderId="0" applyFont="0" applyFill="0" applyBorder="0" applyAlignment="0" applyProtection="0"/>
    <xf numFmtId="43" fontId="20" fillId="0" borderId="0" applyFont="0" applyFill="0" applyBorder="0" applyAlignment="0" applyProtection="0"/>
    <xf numFmtId="0" fontId="20" fillId="0" borderId="0" applyFont="0" applyFill="0" applyBorder="0" applyAlignment="0" applyProtection="0"/>
    <xf numFmtId="0" fontId="20" fillId="0" borderId="0"/>
    <xf numFmtId="0" fontId="20" fillId="0" borderId="0"/>
    <xf numFmtId="168" fontId="1" fillId="0" borderId="0" applyFont="0" applyFill="0" applyBorder="0" applyAlignment="0" applyProtection="0"/>
    <xf numFmtId="9" fontId="20" fillId="0" borderId="0" applyFont="0" applyFill="0" applyBorder="0" applyAlignment="0" applyProtection="0"/>
    <xf numFmtId="0" fontId="1" fillId="0" borderId="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0" fontId="20" fillId="0" borderId="0"/>
    <xf numFmtId="0" fontId="1" fillId="0" borderId="0"/>
    <xf numFmtId="168" fontId="1" fillId="0" borderId="0" applyFont="0" applyFill="0" applyBorder="0" applyAlignment="0" applyProtection="0"/>
    <xf numFmtId="175" fontId="20" fillId="0" borderId="0" applyFont="0" applyFill="0" applyBorder="0" applyAlignment="0" applyProtection="0"/>
    <xf numFmtId="43" fontId="1" fillId="0" borderId="0" applyFont="0" applyFill="0" applyBorder="0" applyAlignment="0" applyProtection="0"/>
    <xf numFmtId="0" fontId="40" fillId="0" borderId="0"/>
    <xf numFmtId="0" fontId="20" fillId="0" borderId="0"/>
    <xf numFmtId="41" fontId="1" fillId="0" borderId="0" applyFont="0" applyFill="0" applyBorder="0" applyAlignment="0" applyProtection="0"/>
    <xf numFmtId="168"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16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1" fillId="0" borderId="0" applyFont="0" applyFill="0" applyBorder="0" applyAlignment="0" applyProtection="0"/>
    <xf numFmtId="165" fontId="1" fillId="0" borderId="0" applyFont="0" applyFill="0" applyBorder="0" applyAlignment="0" applyProtection="0"/>
    <xf numFmtId="168" fontId="1" fillId="0" borderId="0" applyFont="0" applyFill="0" applyBorder="0" applyAlignment="0" applyProtection="0"/>
    <xf numFmtId="17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74" fillId="0" borderId="0"/>
    <xf numFmtId="0" fontId="76" fillId="4" borderId="0" applyNumberFormat="0" applyBorder="0" applyAlignment="0" applyProtection="0"/>
    <xf numFmtId="43" fontId="1" fillId="0" borderId="0" applyFont="0" applyFill="0" applyBorder="0" applyAlignment="0" applyProtection="0"/>
    <xf numFmtId="0" fontId="1" fillId="12" borderId="0" applyNumberFormat="0" applyBorder="0" applyAlignment="0" applyProtection="0"/>
    <xf numFmtId="43" fontId="1" fillId="0" borderId="0" applyFont="0" applyFill="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0" borderId="0"/>
    <xf numFmtId="9" fontId="1" fillId="0" borderId="0" applyFont="0" applyFill="0" applyBorder="0" applyAlignment="0" applyProtection="0"/>
    <xf numFmtId="0" fontId="45" fillId="0" borderId="0"/>
    <xf numFmtId="41" fontId="1" fillId="0" borderId="0" applyFont="0" applyFill="0" applyBorder="0" applyAlignment="0" applyProtection="0"/>
    <xf numFmtId="0" fontId="75" fillId="0" borderId="0">
      <alignment vertical="top"/>
    </xf>
    <xf numFmtId="41" fontId="75"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1" fontId="18" fillId="0" borderId="0" applyFont="0" applyFill="0" applyBorder="0" applyAlignment="0" applyProtection="0"/>
    <xf numFmtId="173" fontId="1" fillId="0" borderId="0" applyFont="0" applyFill="0" applyBorder="0" applyAlignment="0" applyProtection="0"/>
    <xf numFmtId="0" fontId="64" fillId="0" borderId="0" applyNumberFormat="0" applyFill="0" applyBorder="0" applyAlignment="0" applyProtection="0"/>
    <xf numFmtId="165" fontId="20"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0" fontId="1" fillId="0" borderId="0"/>
    <xf numFmtId="165" fontId="1" fillId="0" borderId="0" applyFont="0" applyFill="0" applyBorder="0" applyAlignment="0" applyProtection="0"/>
    <xf numFmtId="41" fontId="1" fillId="0" borderId="0" applyFont="0" applyFill="0" applyBorder="0" applyAlignment="0" applyProtection="0"/>
    <xf numFmtId="0" fontId="77" fillId="0" borderId="0"/>
    <xf numFmtId="0" fontId="20"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45" fillId="0" borderId="0"/>
    <xf numFmtId="0" fontId="1" fillId="0" borderId="0"/>
    <xf numFmtId="9"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165"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0" fontId="7" fillId="4"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41" fontId="75" fillId="0" borderId="0" applyFont="0" applyFill="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9" fontId="20"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165" fontId="1" fillId="0" borderId="0" applyFont="0" applyFill="0" applyBorder="0" applyAlignment="0" applyProtection="0"/>
    <xf numFmtId="0" fontId="64" fillId="0" borderId="0" applyNumberFormat="0" applyFill="0" applyBorder="0" applyAlignment="0" applyProtection="0"/>
    <xf numFmtId="0" fontId="1" fillId="0" borderId="0"/>
    <xf numFmtId="41" fontId="1"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0" fontId="1" fillId="8" borderId="8" applyNumberFormat="0" applyFont="0" applyAlignment="0" applyProtection="0"/>
    <xf numFmtId="41" fontId="18"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7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0" fontId="1" fillId="0" borderId="0"/>
    <xf numFmtId="165" fontId="1" fillId="0" borderId="0" applyFont="0" applyFill="0" applyBorder="0" applyAlignment="0" applyProtection="0"/>
    <xf numFmtId="41"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165" fontId="1"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8"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165"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5"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77" fillId="0" borderId="0" applyFont="0" applyFill="0" applyBorder="0" applyAlignment="0" applyProtection="0"/>
    <xf numFmtId="165"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7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5" fontId="77" fillId="0" borderId="0" applyFont="0" applyFill="0" applyBorder="0" applyAlignment="0" applyProtection="0"/>
    <xf numFmtId="43" fontId="1" fillId="0" borderId="0" applyFont="0" applyFill="0" applyBorder="0" applyAlignment="0" applyProtection="0"/>
    <xf numFmtId="165"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8" fillId="42" borderId="0" applyBorder="0" applyAlignment="0" applyProtection="0"/>
    <xf numFmtId="43" fontId="1" fillId="0" borderId="0" applyFont="0" applyFill="0" applyBorder="0" applyAlignment="0" applyProtection="0"/>
    <xf numFmtId="9" fontId="20" fillId="0" borderId="0" applyFont="0" applyFill="0" applyBorder="0" applyAlignment="0" applyProtection="0"/>
    <xf numFmtId="0" fontId="1" fillId="0" borderId="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86" fillId="0" borderId="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7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0" fillId="0" borderId="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7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0" fillId="0" borderId="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7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7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7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7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7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7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7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7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7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7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7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7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20" fillId="0" borderId="0" applyFont="0" applyFill="0" applyBorder="0" applyAlignment="0" applyProtection="0"/>
    <xf numFmtId="43" fontId="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3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3" fontId="1"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77"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8"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90" fillId="0" borderId="0"/>
    <xf numFmtId="41" fontId="90" fillId="0" borderId="0" applyFont="0" applyFill="0" applyBorder="0" applyAlignment="0" applyProtection="0"/>
    <xf numFmtId="41" fontId="1" fillId="0" borderId="0" applyFont="0" applyFill="0" applyBorder="0" applyAlignment="0" applyProtection="0"/>
    <xf numFmtId="0" fontId="20" fillId="0" borderId="0" applyNumberFormat="0" applyFont="0" applyFill="0" applyBorder="0" applyAlignment="0" applyProtection="0"/>
    <xf numFmtId="41" fontId="20" fillId="0" borderId="0" applyNumberFormat="0" applyFont="0" applyFill="0" applyBorder="0" applyAlignment="0" applyProtection="0"/>
    <xf numFmtId="41"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Font="0" applyFill="0" applyBorder="0" applyAlignment="0" applyProtection="0"/>
    <xf numFmtId="9" fontId="20" fillId="0" borderId="0" applyFont="0" applyFill="0" applyBorder="0" applyAlignment="0" applyProtection="0"/>
    <xf numFmtId="0" fontId="20" fillId="0" borderId="0" applyNumberFormat="0" applyFont="0" applyFill="0" applyBorder="0" applyAlignment="0" applyProtection="0"/>
    <xf numFmtId="41" fontId="20" fillId="0" borderId="0" applyNumberFormat="0" applyFont="0" applyFill="0" applyBorder="0" applyAlignment="0" applyProtection="0"/>
    <xf numFmtId="0" fontId="20" fillId="0" borderId="0" applyNumberFormat="0" applyFont="0" applyFill="0" applyBorder="0" applyAlignment="0" applyProtection="0"/>
    <xf numFmtId="165" fontId="20"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81" fontId="20" fillId="0" borderId="0" applyFont="0" applyFill="0" applyBorder="0" applyAlignment="0" applyProtection="0"/>
    <xf numFmtId="0" fontId="20" fillId="0" borderId="0"/>
    <xf numFmtId="0" fontId="20" fillId="0" borderId="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36" fillId="0" borderId="0" applyNumberFormat="0" applyFill="0" applyBorder="0" applyAlignment="0" applyProtection="0"/>
    <xf numFmtId="0" fontId="20" fillId="0" borderId="0"/>
    <xf numFmtId="0" fontId="39" fillId="0" borderId="0"/>
    <xf numFmtId="0" fontId="45" fillId="0" borderId="0"/>
    <xf numFmtId="41" fontId="1" fillId="0" borderId="0" applyFont="0" applyFill="0" applyBorder="0" applyAlignment="0" applyProtection="0"/>
    <xf numFmtId="41" fontId="75" fillId="0" borderId="0" applyFont="0" applyFill="0" applyBorder="0" applyAlignment="0" applyProtection="0"/>
    <xf numFmtId="0" fontId="20" fillId="0" borderId="0"/>
    <xf numFmtId="168" fontId="1" fillId="0" borderId="0" applyFont="0" applyFill="0" applyBorder="0" applyAlignment="0" applyProtection="0"/>
    <xf numFmtId="0" fontId="20" fillId="0" borderId="0"/>
    <xf numFmtId="168" fontId="20"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165" fontId="1" fillId="0" borderId="0" applyFont="0" applyFill="0" applyBorder="0" applyAlignment="0" applyProtection="0"/>
    <xf numFmtId="168" fontId="94" fillId="0" borderId="0" applyFont="0" applyFill="0" applyBorder="0" applyAlignment="0" applyProtection="0"/>
    <xf numFmtId="0" fontId="20" fillId="0" borderId="0"/>
    <xf numFmtId="41" fontId="1" fillId="0" borderId="0" applyFont="0" applyFill="0" applyBorder="0" applyAlignment="0" applyProtection="0"/>
    <xf numFmtId="41" fontId="7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1" fontId="1" fillId="0" borderId="0" applyFont="0" applyFill="0" applyBorder="0" applyAlignment="0" applyProtection="0"/>
    <xf numFmtId="168"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75"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8"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3" fontId="1"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20" fillId="0" borderId="0" applyNumberFormat="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82" fontId="20" fillId="0" borderId="0" applyBorder="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06" fillId="0" borderId="0"/>
    <xf numFmtId="41" fontId="1" fillId="0" borderId="0" applyFont="0" applyFill="0" applyBorder="0" applyAlignment="0" applyProtection="0"/>
  </cellStyleXfs>
  <cellXfs count="732">
    <xf numFmtId="0" fontId="0" fillId="0" borderId="0" xfId="0"/>
    <xf numFmtId="0" fontId="26" fillId="0" borderId="0" xfId="0" applyFont="1"/>
    <xf numFmtId="168" fontId="33" fillId="37" borderId="10" xfId="1" applyFont="1" applyFill="1" applyBorder="1" applyAlignment="1">
      <alignment horizontal="center" vertical="center" wrapText="1"/>
    </xf>
    <xf numFmtId="14" fontId="33" fillId="37" borderId="10" xfId="1" applyNumberFormat="1" applyFont="1" applyFill="1" applyBorder="1" applyAlignment="1">
      <alignment horizontal="center" vertical="center" wrapText="1"/>
    </xf>
    <xf numFmtId="0" fontId="33" fillId="37" borderId="10" xfId="0" applyFont="1" applyFill="1" applyBorder="1" applyAlignment="1">
      <alignment horizontal="center" vertical="center" wrapText="1"/>
    </xf>
    <xf numFmtId="0" fontId="0" fillId="0" borderId="0" xfId="0" applyAlignment="1">
      <alignment vertical="center"/>
    </xf>
    <xf numFmtId="0" fontId="27" fillId="0" borderId="10" xfId="0" applyFont="1" applyBorder="1" applyAlignment="1">
      <alignment horizontal="left"/>
    </xf>
    <xf numFmtId="0" fontId="23" fillId="0" borderId="10" xfId="0" applyFont="1" applyBorder="1" applyAlignment="1">
      <alignment horizontal="left" vertical="center"/>
    </xf>
    <xf numFmtId="0" fontId="22" fillId="0" borderId="0" xfId="0" applyFont="1" applyAlignment="1">
      <alignment vertical="center"/>
    </xf>
    <xf numFmtId="0" fontId="23" fillId="0" borderId="10" xfId="0" applyFont="1" applyBorder="1" applyAlignment="1">
      <alignment vertical="center"/>
    </xf>
    <xf numFmtId="0" fontId="24" fillId="0" borderId="0" xfId="0" applyFont="1" applyAlignment="1">
      <alignment vertical="center"/>
    </xf>
    <xf numFmtId="3" fontId="24" fillId="0" borderId="0" xfId="0" applyNumberFormat="1" applyFont="1" applyAlignment="1">
      <alignment vertical="center"/>
    </xf>
    <xf numFmtId="3" fontId="23" fillId="0" borderId="0" xfId="0" applyNumberFormat="1" applyFont="1" applyAlignment="1">
      <alignment vertical="center"/>
    </xf>
    <xf numFmtId="0" fontId="23" fillId="0" borderId="0" xfId="0" applyFont="1" applyAlignment="1">
      <alignment vertical="center"/>
    </xf>
    <xf numFmtId="0" fontId="35" fillId="0" borderId="10" xfId="0" applyFont="1" applyBorder="1" applyAlignment="1">
      <alignment horizontal="left" vertical="center"/>
    </xf>
    <xf numFmtId="0" fontId="32" fillId="35" borderId="13" xfId="0" applyFont="1" applyFill="1" applyBorder="1" applyAlignment="1">
      <alignment vertical="center"/>
    </xf>
    <xf numFmtId="168" fontId="0" fillId="0" borderId="0" xfId="1" applyFont="1" applyAlignment="1">
      <alignment vertical="center"/>
    </xf>
    <xf numFmtId="168" fontId="30" fillId="0" borderId="0" xfId="1" applyFont="1" applyAlignment="1">
      <alignment vertical="center"/>
    </xf>
    <xf numFmtId="0" fontId="0" fillId="0" borderId="17" xfId="0" applyBorder="1" applyAlignment="1">
      <alignment vertical="center"/>
    </xf>
    <xf numFmtId="3" fontId="0" fillId="0" borderId="17" xfId="0" applyNumberFormat="1" applyBorder="1" applyAlignment="1">
      <alignment vertical="center"/>
    </xf>
    <xf numFmtId="168" fontId="30" fillId="0" borderId="17" xfId="1" applyFont="1" applyBorder="1" applyAlignment="1">
      <alignment vertical="center"/>
    </xf>
    <xf numFmtId="41" fontId="0" fillId="0" borderId="0" xfId="51" applyFont="1" applyBorder="1" applyAlignment="1">
      <alignment vertical="center"/>
    </xf>
    <xf numFmtId="168" fontId="0" fillId="0" borderId="0" xfId="1" applyFont="1" applyBorder="1" applyAlignment="1">
      <alignment vertical="center"/>
    </xf>
    <xf numFmtId="168" fontId="30" fillId="0" borderId="0" xfId="1" applyFont="1" applyBorder="1" applyAlignment="1">
      <alignment vertical="center"/>
    </xf>
    <xf numFmtId="3" fontId="0" fillId="0" borderId="0" xfId="0" applyNumberFormat="1" applyAlignment="1">
      <alignment vertical="center"/>
    </xf>
    <xf numFmtId="168" fontId="23" fillId="0" borderId="0" xfId="1" applyFont="1" applyAlignment="1">
      <alignment horizontal="right" vertical="center"/>
    </xf>
    <xf numFmtId="168" fontId="23" fillId="0" borderId="0" xfId="1" applyFont="1" applyFill="1" applyBorder="1" applyAlignment="1">
      <alignment vertical="center"/>
    </xf>
    <xf numFmtId="0" fontId="44" fillId="0" borderId="0" xfId="0" applyFont="1"/>
    <xf numFmtId="0" fontId="45" fillId="0" borderId="0" xfId="0" applyFont="1"/>
    <xf numFmtId="0" fontId="46" fillId="0" borderId="0" xfId="0" applyFont="1"/>
    <xf numFmtId="0" fontId="47" fillId="0" borderId="0" xfId="0" applyFont="1" applyAlignment="1">
      <alignment vertical="center"/>
    </xf>
    <xf numFmtId="0" fontId="48" fillId="0" borderId="0" xfId="0" applyFont="1"/>
    <xf numFmtId="0" fontId="56" fillId="0" borderId="0" xfId="0" applyFont="1"/>
    <xf numFmtId="0" fontId="48" fillId="40" borderId="0" xfId="0" applyFont="1" applyFill="1"/>
    <xf numFmtId="0" fontId="49" fillId="40" borderId="0" xfId="0" applyFont="1" applyFill="1" applyAlignment="1">
      <alignment horizontal="center"/>
    </xf>
    <xf numFmtId="0" fontId="50" fillId="40" borderId="0" xfId="0" applyFont="1" applyFill="1" applyAlignment="1">
      <alignment horizontal="center"/>
    </xf>
    <xf numFmtId="0" fontId="56" fillId="40" borderId="0" xfId="0" applyFont="1" applyFill="1"/>
    <xf numFmtId="0" fontId="57" fillId="40" borderId="0" xfId="0" applyFont="1" applyFill="1"/>
    <xf numFmtId="0" fontId="54" fillId="40" borderId="0" xfId="0" applyFont="1" applyFill="1"/>
    <xf numFmtId="0" fontId="51" fillId="40" borderId="0" xfId="0" applyFont="1" applyFill="1"/>
    <xf numFmtId="0" fontId="52" fillId="40" borderId="0" xfId="0" applyFont="1" applyFill="1"/>
    <xf numFmtId="0" fontId="53" fillId="40" borderId="0" xfId="58" applyFont="1" applyFill="1" applyBorder="1" applyAlignment="1">
      <alignment horizontal="center"/>
    </xf>
    <xf numFmtId="0" fontId="20" fillId="40" borderId="0" xfId="0" applyFont="1" applyFill="1" applyAlignment="1">
      <alignment horizontal="center"/>
    </xf>
    <xf numFmtId="0" fontId="58" fillId="40" borderId="0" xfId="0" applyFont="1" applyFill="1" applyAlignment="1">
      <alignment horizontal="center"/>
    </xf>
    <xf numFmtId="0" fontId="60" fillId="40" borderId="0" xfId="0" applyFont="1" applyFill="1"/>
    <xf numFmtId="0" fontId="41" fillId="40" borderId="0" xfId="0" applyFont="1" applyFill="1" applyAlignment="1">
      <alignment horizontal="center"/>
    </xf>
    <xf numFmtId="0" fontId="60" fillId="0" borderId="0" xfId="0" applyFont="1"/>
    <xf numFmtId="0" fontId="41" fillId="0" borderId="0" xfId="0" applyFont="1"/>
    <xf numFmtId="0" fontId="26" fillId="0" borderId="0" xfId="0" applyFont="1" applyAlignment="1">
      <alignment wrapText="1"/>
    </xf>
    <xf numFmtId="0" fontId="64" fillId="0" borderId="0" xfId="58" applyFont="1" applyFill="1" applyAlignment="1">
      <alignment horizontal="center"/>
    </xf>
    <xf numFmtId="0" fontId="42" fillId="0" borderId="0" xfId="0" applyFont="1" applyAlignment="1">
      <alignment vertical="center"/>
    </xf>
    <xf numFmtId="0" fontId="26" fillId="0" borderId="0" xfId="0" applyFont="1" applyAlignment="1">
      <alignment vertical="center"/>
    </xf>
    <xf numFmtId="0" fontId="26" fillId="40" borderId="0" xfId="0" applyFont="1" applyFill="1" applyAlignment="1">
      <alignment vertical="center"/>
    </xf>
    <xf numFmtId="0" fontId="42" fillId="40" borderId="0" xfId="0" applyFont="1" applyFill="1" applyAlignment="1">
      <alignment horizontal="center" vertical="center"/>
    </xf>
    <xf numFmtId="0" fontId="26" fillId="40" borderId="18" xfId="0" applyFont="1" applyFill="1" applyBorder="1" applyAlignment="1">
      <alignment vertical="center"/>
    </xf>
    <xf numFmtId="0" fontId="42" fillId="40" borderId="18" xfId="0" applyFont="1" applyFill="1" applyBorder="1" applyAlignment="1">
      <alignment horizontal="center" vertical="center"/>
    </xf>
    <xf numFmtId="0" fontId="63" fillId="0" borderId="0" xfId="0" applyFont="1" applyAlignment="1">
      <alignment vertical="center"/>
    </xf>
    <xf numFmtId="170" fontId="22" fillId="33" borderId="0" xfId="44" applyFont="1" applyFill="1" applyAlignment="1">
      <alignment vertical="center"/>
    </xf>
    <xf numFmtId="0" fontId="42" fillId="0" borderId="0" xfId="0" applyFont="1" applyAlignment="1">
      <alignment horizontal="center" vertical="center" wrapText="1"/>
    </xf>
    <xf numFmtId="0" fontId="42" fillId="0" borderId="0" xfId="0" applyFont="1" applyAlignment="1">
      <alignment horizontal="center" vertical="center"/>
    </xf>
    <xf numFmtId="0" fontId="20" fillId="0" borderId="0" xfId="49" applyAlignment="1">
      <alignment vertical="center"/>
    </xf>
    <xf numFmtId="0" fontId="20" fillId="0" borderId="15" xfId="49" applyBorder="1" applyAlignment="1">
      <alignment vertical="center"/>
    </xf>
    <xf numFmtId="0" fontId="22" fillId="0" borderId="0" xfId="49" quotePrefix="1" applyFont="1" applyAlignment="1">
      <alignment horizontal="center" vertical="center"/>
    </xf>
    <xf numFmtId="0" fontId="22" fillId="0" borderId="0" xfId="49" applyFont="1" applyAlignment="1">
      <alignment horizontal="center" vertical="center"/>
    </xf>
    <xf numFmtId="0" fontId="20" fillId="0" borderId="0" xfId="49" quotePrefix="1" applyAlignment="1">
      <alignment horizontal="center" vertical="center"/>
    </xf>
    <xf numFmtId="0" fontId="20" fillId="0" borderId="0" xfId="49" applyAlignment="1">
      <alignment horizontal="center" vertical="center"/>
    </xf>
    <xf numFmtId="0" fontId="27" fillId="0" borderId="0" xfId="0" applyFont="1" applyAlignment="1">
      <alignment vertical="center"/>
    </xf>
    <xf numFmtId="0" fontId="28" fillId="0" borderId="0" xfId="0" applyFont="1" applyAlignment="1">
      <alignment vertical="center"/>
    </xf>
    <xf numFmtId="169" fontId="26" fillId="0" borderId="0" xfId="1" applyNumberFormat="1" applyFont="1"/>
    <xf numFmtId="168" fontId="22" fillId="0" borderId="0" xfId="1" applyFont="1" applyAlignment="1">
      <alignment vertical="center"/>
    </xf>
    <xf numFmtId="168" fontId="24" fillId="38" borderId="10" xfId="1" applyFont="1" applyFill="1" applyBorder="1" applyAlignment="1">
      <alignment horizontal="center" vertical="center" wrapText="1"/>
    </xf>
    <xf numFmtId="168" fontId="24" fillId="34" borderId="10" xfId="1" applyFont="1" applyFill="1" applyBorder="1" applyAlignment="1">
      <alignment horizontal="center" vertical="center" wrapText="1"/>
    </xf>
    <xf numFmtId="168" fontId="23" fillId="0" borderId="17" xfId="1" applyFont="1" applyFill="1" applyBorder="1" applyAlignment="1">
      <alignment vertical="center"/>
    </xf>
    <xf numFmtId="168" fontId="25" fillId="0" borderId="0" xfId="1" applyFont="1" applyAlignment="1">
      <alignment vertical="center"/>
    </xf>
    <xf numFmtId="0" fontId="26" fillId="0" borderId="0" xfId="0" applyFont="1" applyAlignment="1">
      <alignment horizontal="left" vertical="center" wrapText="1"/>
    </xf>
    <xf numFmtId="0" fontId="26" fillId="0" borderId="0" xfId="0" applyFont="1" applyAlignment="1">
      <alignment horizontal="center" vertical="center"/>
    </xf>
    <xf numFmtId="0" fontId="45" fillId="0" borderId="0" xfId="0" applyFont="1" applyAlignment="1">
      <alignment vertical="center"/>
    </xf>
    <xf numFmtId="0" fontId="20" fillId="0" borderId="0" xfId="49" quotePrefix="1" applyAlignment="1">
      <alignment vertical="center"/>
    </xf>
    <xf numFmtId="0" fontId="22" fillId="0" borderId="0" xfId="49" quotePrefix="1" applyFont="1" applyAlignment="1">
      <alignment horizontal="left" vertical="center"/>
    </xf>
    <xf numFmtId="0" fontId="61" fillId="0" borderId="0" xfId="0" applyFont="1" applyAlignment="1">
      <alignment horizontal="center" vertical="center" wrapText="1"/>
    </xf>
    <xf numFmtId="10" fontId="20" fillId="0" borderId="10" xfId="57" applyNumberFormat="1" applyFont="1" applyFill="1" applyBorder="1" applyAlignment="1">
      <alignment horizontal="right" vertical="center"/>
    </xf>
    <xf numFmtId="0" fontId="31" fillId="39" borderId="11" xfId="0" applyFont="1" applyFill="1" applyBorder="1" applyAlignment="1">
      <alignment vertical="center" wrapText="1"/>
    </xf>
    <xf numFmtId="0" fontId="31" fillId="39" borderId="12" xfId="0" applyFont="1" applyFill="1" applyBorder="1" applyAlignment="1">
      <alignment vertical="center" wrapText="1"/>
    </xf>
    <xf numFmtId="0" fontId="31" fillId="0" borderId="0" xfId="0" applyFont="1" applyAlignment="1">
      <alignment horizontal="left" vertical="center" wrapText="1"/>
    </xf>
    <xf numFmtId="172" fontId="62" fillId="41" borderId="10" xfId="49" applyNumberFormat="1" applyFont="1" applyFill="1" applyBorder="1" applyAlignment="1">
      <alignment horizontal="center" vertical="center" wrapText="1"/>
    </xf>
    <xf numFmtId="0" fontId="22" fillId="0" borderId="0" xfId="49" applyFont="1" applyAlignment="1">
      <alignment vertical="center"/>
    </xf>
    <xf numFmtId="172" fontId="20" fillId="0" borderId="0" xfId="49" applyNumberFormat="1" applyAlignment="1">
      <alignment vertical="center"/>
    </xf>
    <xf numFmtId="0" fontId="20" fillId="0" borderId="11" xfId="49" applyBorder="1" applyAlignment="1">
      <alignment vertical="center"/>
    </xf>
    <xf numFmtId="0" fontId="20" fillId="0" borderId="12" xfId="49" applyBorder="1" applyAlignment="1">
      <alignment vertical="center"/>
    </xf>
    <xf numFmtId="168" fontId="42" fillId="0" borderId="0" xfId="1" applyFont="1" applyBorder="1" applyAlignment="1">
      <alignment vertical="center"/>
    </xf>
    <xf numFmtId="168" fontId="20" fillId="0" borderId="0" xfId="49" applyNumberFormat="1" applyAlignment="1">
      <alignment vertical="center"/>
    </xf>
    <xf numFmtId="0" fontId="22" fillId="39" borderId="11" xfId="49" applyFont="1" applyFill="1" applyBorder="1" applyAlignment="1">
      <alignment vertical="center"/>
    </xf>
    <xf numFmtId="0" fontId="22" fillId="39" borderId="12" xfId="49" applyFont="1" applyFill="1" applyBorder="1" applyAlignment="1">
      <alignment vertical="center"/>
    </xf>
    <xf numFmtId="171" fontId="22" fillId="39" borderId="10" xfId="45" applyNumberFormat="1" applyFont="1" applyFill="1" applyBorder="1" applyAlignment="1">
      <alignment vertical="center"/>
    </xf>
    <xf numFmtId="41" fontId="22" fillId="39" borderId="10" xfId="51" applyFont="1" applyFill="1" applyBorder="1" applyAlignment="1">
      <alignment horizontal="left" vertical="center"/>
    </xf>
    <xf numFmtId="3" fontId="20" fillId="0" borderId="0" xfId="46" applyNumberFormat="1" applyAlignment="1">
      <alignment vertical="center"/>
    </xf>
    <xf numFmtId="0" fontId="20" fillId="0" borderId="0" xfId="46" applyAlignment="1">
      <alignment vertical="center"/>
    </xf>
    <xf numFmtId="172" fontId="20" fillId="0" borderId="0" xfId="46" applyNumberFormat="1" applyAlignment="1">
      <alignment vertical="center"/>
    </xf>
    <xf numFmtId="0" fontId="20" fillId="0" borderId="0" xfId="49" applyAlignment="1">
      <alignment horizontal="left" vertical="center"/>
    </xf>
    <xf numFmtId="0" fontId="20" fillId="0" borderId="0" xfId="49" applyAlignment="1">
      <alignment horizontal="left" vertical="center" wrapText="1"/>
    </xf>
    <xf numFmtId="0" fontId="22" fillId="0" borderId="0" xfId="49" applyFont="1" applyAlignment="1">
      <alignment horizontal="left" vertical="center"/>
    </xf>
    <xf numFmtId="168" fontId="20" fillId="0" borderId="0" xfId="46" applyNumberFormat="1" applyAlignment="1">
      <alignment vertical="center"/>
    </xf>
    <xf numFmtId="10" fontId="20" fillId="0" borderId="0" xfId="57" applyNumberFormat="1" applyFont="1" applyAlignment="1">
      <alignment vertical="center"/>
    </xf>
    <xf numFmtId="169" fontId="24" fillId="0" borderId="10" xfId="1" applyNumberFormat="1" applyFont="1" applyFill="1" applyBorder="1" applyAlignment="1">
      <alignment horizontal="center" vertical="center" wrapText="1"/>
    </xf>
    <xf numFmtId="169" fontId="24" fillId="0" borderId="10" xfId="1" applyNumberFormat="1" applyFont="1" applyBorder="1" applyAlignment="1">
      <alignment horizontal="center" vertical="center" wrapText="1"/>
    </xf>
    <xf numFmtId="169" fontId="32" fillId="35" borderId="13" xfId="1" applyNumberFormat="1" applyFont="1" applyFill="1" applyBorder="1" applyAlignment="1">
      <alignment vertical="center"/>
    </xf>
    <xf numFmtId="169" fontId="32" fillId="35" borderId="13" xfId="0" applyNumberFormat="1" applyFont="1" applyFill="1" applyBorder="1" applyAlignment="1">
      <alignment vertical="center"/>
    </xf>
    <xf numFmtId="169" fontId="24" fillId="35" borderId="10" xfId="1" applyNumberFormat="1" applyFont="1" applyFill="1" applyBorder="1" applyAlignment="1">
      <alignment vertical="center"/>
    </xf>
    <xf numFmtId="169" fontId="24" fillId="35" borderId="10" xfId="1" applyNumberFormat="1" applyFont="1" applyFill="1" applyBorder="1" applyAlignment="1">
      <alignment horizontal="center" vertical="center" wrapText="1"/>
    </xf>
    <xf numFmtId="169" fontId="0" fillId="0" borderId="0" xfId="1" applyNumberFormat="1" applyFont="1" applyAlignment="1">
      <alignment vertical="center"/>
    </xf>
    <xf numFmtId="169" fontId="30" fillId="0" borderId="0" xfId="1" applyNumberFormat="1" applyFont="1" applyAlignment="1">
      <alignment vertical="center"/>
    </xf>
    <xf numFmtId="169" fontId="23" fillId="0" borderId="13" xfId="1" applyNumberFormat="1" applyFont="1" applyFill="1" applyBorder="1" applyAlignment="1">
      <alignment vertical="center"/>
    </xf>
    <xf numFmtId="10" fontId="20" fillId="0" borderId="0" xfId="46" applyNumberFormat="1" applyAlignment="1">
      <alignment vertical="center"/>
    </xf>
    <xf numFmtId="10" fontId="20" fillId="0" borderId="0" xfId="49" applyNumberFormat="1" applyAlignment="1">
      <alignment vertical="center"/>
    </xf>
    <xf numFmtId="0" fontId="66" fillId="40" borderId="0" xfId="0" applyFont="1" applyFill="1"/>
    <xf numFmtId="0" fontId="67" fillId="40" borderId="0" xfId="0" applyFont="1" applyFill="1" applyAlignment="1">
      <alignment horizontal="center"/>
    </xf>
    <xf numFmtId="0" fontId="66" fillId="0" borderId="0" xfId="0" applyFont="1"/>
    <xf numFmtId="0" fontId="68" fillId="40" borderId="0" xfId="0" applyFont="1" applyFill="1"/>
    <xf numFmtId="0" fontId="69" fillId="40" borderId="0" xfId="0" applyFont="1" applyFill="1"/>
    <xf numFmtId="0" fontId="70" fillId="40" borderId="0" xfId="0" applyFont="1" applyFill="1"/>
    <xf numFmtId="0" fontId="71" fillId="40" borderId="0" xfId="58" applyFont="1" applyFill="1" applyBorder="1" applyAlignment="1">
      <alignment horizontal="center"/>
    </xf>
    <xf numFmtId="0" fontId="71" fillId="40" borderId="0" xfId="58" quotePrefix="1" applyFont="1" applyFill="1"/>
    <xf numFmtId="0" fontId="66" fillId="40" borderId="0" xfId="0" applyFont="1" applyFill="1" applyAlignment="1">
      <alignment horizontal="center"/>
    </xf>
    <xf numFmtId="0" fontId="71" fillId="40" borderId="0" xfId="58" quotePrefix="1" applyFont="1" applyFill="1" applyBorder="1" applyAlignment="1">
      <alignment horizontal="center"/>
    </xf>
    <xf numFmtId="0" fontId="72" fillId="40" borderId="0" xfId="0" applyFont="1" applyFill="1"/>
    <xf numFmtId="0" fontId="73" fillId="40" borderId="0" xfId="0" applyFont="1" applyFill="1" applyAlignment="1">
      <alignment horizontal="center"/>
    </xf>
    <xf numFmtId="166" fontId="78" fillId="0" borderId="0" xfId="703" applyNumberFormat="1" applyFont="1" applyAlignment="1">
      <alignment horizontal="right" vertical="center"/>
    </xf>
    <xf numFmtId="169" fontId="24" fillId="43" borderId="10" xfId="1" applyNumberFormat="1" applyFont="1" applyFill="1" applyBorder="1" applyAlignment="1">
      <alignment vertical="center"/>
    </xf>
    <xf numFmtId="169" fontId="24" fillId="43" borderId="10" xfId="1" applyNumberFormat="1" applyFont="1" applyFill="1" applyBorder="1" applyAlignment="1">
      <alignment horizontal="center" vertical="center" wrapText="1"/>
    </xf>
    <xf numFmtId="0" fontId="24" fillId="43" borderId="10" xfId="0" applyFont="1" applyFill="1" applyBorder="1" applyAlignment="1">
      <alignment horizontal="left" vertical="center"/>
    </xf>
    <xf numFmtId="0" fontId="24" fillId="43" borderId="10" xfId="0" applyFont="1" applyFill="1" applyBorder="1" applyAlignment="1">
      <alignment vertical="center"/>
    </xf>
    <xf numFmtId="0" fontId="15" fillId="0" borderId="0" xfId="0" applyFont="1" applyAlignment="1">
      <alignment vertical="center"/>
    </xf>
    <xf numFmtId="3" fontId="32" fillId="0" borderId="0" xfId="0" applyNumberFormat="1" applyFont="1" applyAlignment="1">
      <alignment vertical="center"/>
    </xf>
    <xf numFmtId="0" fontId="32" fillId="0" borderId="0" xfId="0" applyFont="1" applyAlignment="1">
      <alignment vertical="center"/>
    </xf>
    <xf numFmtId="168" fontId="34" fillId="0" borderId="0" xfId="1" applyFont="1" applyFill="1" applyBorder="1" applyAlignment="1">
      <alignment vertical="center"/>
    </xf>
    <xf numFmtId="168" fontId="34" fillId="0" borderId="0" xfId="1" applyFont="1" applyFill="1" applyAlignment="1">
      <alignment vertical="center"/>
    </xf>
    <xf numFmtId="41" fontId="43" fillId="0" borderId="0" xfId="51" applyFont="1" applyAlignment="1">
      <alignment vertical="center"/>
    </xf>
    <xf numFmtId="0" fontId="43" fillId="0" borderId="0" xfId="46" applyFont="1" applyAlignment="1">
      <alignment vertical="center"/>
    </xf>
    <xf numFmtId="0" fontId="43" fillId="0" borderId="0" xfId="49" applyFont="1" applyAlignment="1">
      <alignment vertical="center"/>
    </xf>
    <xf numFmtId="0" fontId="35" fillId="0" borderId="13" xfId="0" applyFont="1" applyBorder="1" applyAlignment="1">
      <alignment horizontal="left" vertical="center"/>
    </xf>
    <xf numFmtId="0" fontId="22" fillId="39" borderId="16" xfId="46" applyFont="1" applyFill="1" applyBorder="1" applyAlignment="1">
      <alignment vertical="center"/>
    </xf>
    <xf numFmtId="0" fontId="62" fillId="41" borderId="11" xfId="0" applyFont="1" applyFill="1" applyBorder="1" applyAlignment="1">
      <alignment horizontal="center" vertical="center" wrapText="1"/>
    </xf>
    <xf numFmtId="0" fontId="62" fillId="41" borderId="12" xfId="0" applyFont="1" applyFill="1" applyBorder="1" applyAlignment="1">
      <alignment horizontal="center" vertical="center" wrapText="1"/>
    </xf>
    <xf numFmtId="0" fontId="65" fillId="0" borderId="11" xfId="0" applyFont="1" applyBorder="1" applyAlignment="1">
      <alignment horizontal="left" vertical="center"/>
    </xf>
    <xf numFmtId="0" fontId="65" fillId="0" borderId="12" xfId="0" applyFont="1" applyBorder="1" applyAlignment="1">
      <alignment horizontal="left" vertical="center"/>
    </xf>
    <xf numFmtId="41" fontId="43" fillId="0" borderId="0" xfId="51" applyFont="1"/>
    <xf numFmtId="41" fontId="82" fillId="0" borderId="0" xfId="0" applyNumberFormat="1" applyFont="1"/>
    <xf numFmtId="0" fontId="24" fillId="43" borderId="14" xfId="0" applyFont="1" applyFill="1" applyBorder="1" applyAlignment="1">
      <alignment horizontal="left" vertical="center"/>
    </xf>
    <xf numFmtId="0" fontId="35" fillId="0" borderId="16" xfId="0" applyFont="1" applyBorder="1" applyAlignment="1">
      <alignment horizontal="left" vertical="center"/>
    </xf>
    <xf numFmtId="169" fontId="24" fillId="0" borderId="16" xfId="1" applyNumberFormat="1" applyFont="1" applyBorder="1" applyAlignment="1">
      <alignment horizontal="center" vertical="center" wrapText="1"/>
    </xf>
    <xf numFmtId="169" fontId="24" fillId="0" borderId="16" xfId="1" applyNumberFormat="1" applyFont="1" applyFill="1" applyBorder="1" applyAlignment="1">
      <alignment horizontal="center" vertical="center" wrapText="1"/>
    </xf>
    <xf numFmtId="168" fontId="24" fillId="36" borderId="13" xfId="1" applyFont="1" applyFill="1" applyBorder="1" applyAlignment="1">
      <alignment vertical="center" wrapText="1"/>
    </xf>
    <xf numFmtId="168" fontId="24" fillId="36" borderId="14" xfId="1" applyFont="1" applyFill="1" applyBorder="1" applyAlignment="1">
      <alignment horizontal="center" vertical="top" wrapText="1"/>
    </xf>
    <xf numFmtId="41" fontId="43" fillId="0" borderId="0" xfId="0" applyNumberFormat="1" applyFont="1" applyAlignment="1">
      <alignment horizontal="left" vertical="center" wrapText="1"/>
    </xf>
    <xf numFmtId="0" fontId="22" fillId="39" borderId="20" xfId="46" applyFont="1" applyFill="1" applyBorder="1" applyAlignment="1">
      <alignment vertical="center"/>
    </xf>
    <xf numFmtId="0" fontId="22" fillId="39" borderId="21" xfId="46" applyFont="1" applyFill="1" applyBorder="1" applyAlignment="1">
      <alignment vertical="center"/>
    </xf>
    <xf numFmtId="0" fontId="20" fillId="39" borderId="16" xfId="46" applyFill="1" applyBorder="1" applyAlignment="1">
      <alignment vertical="center"/>
    </xf>
    <xf numFmtId="10" fontId="20" fillId="39" borderId="16" xfId="46" applyNumberFormat="1" applyFill="1" applyBorder="1" applyAlignment="1">
      <alignment vertical="center"/>
    </xf>
    <xf numFmtId="10" fontId="20" fillId="39" borderId="12" xfId="46" applyNumberFormat="1" applyFill="1" applyBorder="1" applyAlignment="1">
      <alignment vertical="center"/>
    </xf>
    <xf numFmtId="0" fontId="20" fillId="39" borderId="21" xfId="46" applyFill="1" applyBorder="1" applyAlignment="1">
      <alignment vertical="center"/>
    </xf>
    <xf numFmtId="10" fontId="20" fillId="39" borderId="21" xfId="46" applyNumberFormat="1" applyFill="1" applyBorder="1" applyAlignment="1">
      <alignment vertical="center"/>
    </xf>
    <xf numFmtId="10" fontId="20" fillId="39" borderId="22" xfId="46" applyNumberFormat="1" applyFill="1" applyBorder="1" applyAlignment="1">
      <alignment vertical="center"/>
    </xf>
    <xf numFmtId="0" fontId="20" fillId="0" borderId="0" xfId="46" applyAlignment="1">
      <alignment vertical="center" wrapText="1"/>
    </xf>
    <xf numFmtId="9" fontId="60" fillId="0" borderId="0" xfId="0" applyNumberFormat="1" applyFont="1"/>
    <xf numFmtId="169" fontId="23" fillId="0" borderId="10" xfId="1" applyNumberFormat="1" applyFont="1" applyBorder="1" applyAlignment="1">
      <alignment horizontal="center" vertical="center" wrapText="1"/>
    </xf>
    <xf numFmtId="169" fontId="23" fillId="43" borderId="10" xfId="1" applyNumberFormat="1" applyFont="1" applyFill="1" applyBorder="1" applyAlignment="1">
      <alignment horizontal="center" vertical="center" wrapText="1"/>
    </xf>
    <xf numFmtId="169" fontId="23" fillId="0" borderId="10" xfId="1" applyNumberFormat="1" applyFont="1" applyFill="1" applyBorder="1" applyAlignment="1">
      <alignment horizontal="center" vertical="center" wrapText="1"/>
    </xf>
    <xf numFmtId="169" fontId="23" fillId="0" borderId="16" xfId="1" applyNumberFormat="1" applyFont="1" applyFill="1" applyBorder="1" applyAlignment="1">
      <alignment horizontal="center" vertical="center" wrapText="1"/>
    </xf>
    <xf numFmtId="169" fontId="23" fillId="0" borderId="16" xfId="1" applyNumberFormat="1" applyFont="1" applyBorder="1" applyAlignment="1">
      <alignment horizontal="center" vertical="center" wrapText="1"/>
    </xf>
    <xf numFmtId="0" fontId="87" fillId="0" borderId="0" xfId="0" applyFont="1" applyAlignment="1">
      <alignment horizontal="left" vertical="center" wrapText="1"/>
    </xf>
    <xf numFmtId="0" fontId="61" fillId="0" borderId="0" xfId="0" applyFont="1" applyAlignment="1">
      <alignment vertical="center"/>
    </xf>
    <xf numFmtId="168" fontId="33" fillId="37" borderId="10" xfId="1" applyFont="1" applyFill="1" applyBorder="1" applyAlignment="1">
      <alignment vertical="center"/>
    </xf>
    <xf numFmtId="0" fontId="85" fillId="0" borderId="0" xfId="0" applyFont="1" applyAlignment="1">
      <alignment vertical="center"/>
    </xf>
    <xf numFmtId="0" fontId="26" fillId="0" borderId="0" xfId="0" applyFont="1" applyAlignment="1">
      <alignment vertical="center" wrapText="1"/>
    </xf>
    <xf numFmtId="0" fontId="55" fillId="0" borderId="0" xfId="0" applyFont="1"/>
    <xf numFmtId="169" fontId="45" fillId="0" borderId="0" xfId="1" applyNumberFormat="1" applyFont="1"/>
    <xf numFmtId="0" fontId="33" fillId="37" borderId="13" xfId="0" applyFont="1" applyFill="1" applyBorder="1" applyAlignment="1">
      <alignment vertical="center" wrapText="1"/>
    </xf>
    <xf numFmtId="0" fontId="33" fillId="37" borderId="14" xfId="0" applyFont="1" applyFill="1" applyBorder="1" applyAlignment="1">
      <alignment horizontal="center" vertical="top" wrapText="1"/>
    </xf>
    <xf numFmtId="0" fontId="26" fillId="39" borderId="15" xfId="0" applyFont="1" applyFill="1" applyBorder="1" applyAlignment="1">
      <alignment horizontal="left" indent="1"/>
    </xf>
    <xf numFmtId="0" fontId="26" fillId="39" borderId="0" xfId="0" applyFont="1" applyFill="1"/>
    <xf numFmtId="0" fontId="42" fillId="39" borderId="0" xfId="0" applyFont="1" applyFill="1"/>
    <xf numFmtId="179" fontId="26" fillId="39" borderId="23" xfId="1" applyNumberFormat="1" applyFont="1" applyFill="1" applyBorder="1" applyAlignment="1">
      <alignment horizontal="left" vertical="center" indent="1"/>
    </xf>
    <xf numFmtId="0" fontId="65" fillId="45" borderId="15" xfId="0" applyFont="1" applyFill="1" applyBorder="1" applyAlignment="1">
      <alignment horizontal="left" vertical="center" indent="1"/>
    </xf>
    <xf numFmtId="0" fontId="26" fillId="45" borderId="0" xfId="0" applyFont="1" applyFill="1" applyAlignment="1">
      <alignment vertical="center"/>
    </xf>
    <xf numFmtId="178" fontId="65" fillId="45" borderId="14" xfId="51" applyNumberFormat="1" applyFont="1" applyFill="1" applyBorder="1" applyAlignment="1">
      <alignment horizontal="right" vertical="center" indent="1"/>
    </xf>
    <xf numFmtId="0" fontId="65" fillId="45" borderId="0" xfId="0" applyFont="1" applyFill="1" applyAlignment="1">
      <alignment horizontal="left" vertical="center" indent="1"/>
    </xf>
    <xf numFmtId="0" fontId="65" fillId="45" borderId="0" xfId="0" applyFont="1" applyFill="1" applyAlignment="1">
      <alignment vertical="center"/>
    </xf>
    <xf numFmtId="0" fontId="64" fillId="45" borderId="0" xfId="58" applyFont="1" applyFill="1" applyBorder="1" applyAlignment="1">
      <alignment horizontal="center" vertical="center"/>
    </xf>
    <xf numFmtId="0" fontId="31" fillId="45" borderId="0" xfId="0" applyFont="1" applyFill="1" applyAlignment="1">
      <alignment vertical="center"/>
    </xf>
    <xf numFmtId="0" fontId="45" fillId="45" borderId="0" xfId="0" applyFont="1" applyFill="1" applyAlignment="1">
      <alignment horizontal="center" vertical="center"/>
    </xf>
    <xf numFmtId="0" fontId="31" fillId="45" borderId="0" xfId="0" applyFont="1" applyFill="1" applyAlignment="1">
      <alignment horizontal="center" vertical="center"/>
    </xf>
    <xf numFmtId="0" fontId="22" fillId="45" borderId="0" xfId="0" applyFont="1" applyFill="1" applyAlignment="1">
      <alignment vertical="center"/>
    </xf>
    <xf numFmtId="0" fontId="48" fillId="45" borderId="0" xfId="0" applyFont="1" applyFill="1" applyAlignment="1">
      <alignment vertical="center"/>
    </xf>
    <xf numFmtId="0" fontId="31" fillId="45" borderId="15" xfId="0" applyFont="1" applyFill="1" applyBorder="1" applyAlignment="1">
      <alignment horizontal="left" vertical="center" indent="1"/>
    </xf>
    <xf numFmtId="0" fontId="42" fillId="39" borderId="15" xfId="0" applyFont="1" applyFill="1" applyBorder="1" applyAlignment="1">
      <alignment horizontal="left" indent="1"/>
    </xf>
    <xf numFmtId="0" fontId="22" fillId="39" borderId="15" xfId="0" applyFont="1" applyFill="1" applyBorder="1" applyAlignment="1">
      <alignment horizontal="left" indent="1"/>
    </xf>
    <xf numFmtId="0" fontId="22" fillId="39" borderId="20" xfId="0" applyFont="1" applyFill="1" applyBorder="1" applyAlignment="1">
      <alignment horizontal="left" vertical="center" indent="1"/>
    </xf>
    <xf numFmtId="0" fontId="20" fillId="45" borderId="21" xfId="0" applyFont="1" applyFill="1" applyBorder="1" applyAlignment="1">
      <alignment vertical="center"/>
    </xf>
    <xf numFmtId="0" fontId="48" fillId="45" borderId="21" xfId="0" applyFont="1" applyFill="1" applyBorder="1" applyAlignment="1">
      <alignment vertical="center"/>
    </xf>
    <xf numFmtId="14" fontId="79" fillId="44" borderId="13" xfId="0" applyNumberFormat="1" applyFont="1" applyFill="1" applyBorder="1" applyAlignment="1">
      <alignment horizontal="center" vertical="center" wrapText="1"/>
    </xf>
    <xf numFmtId="1" fontId="65" fillId="45" borderId="23" xfId="51" applyNumberFormat="1" applyFont="1" applyFill="1" applyBorder="1" applyAlignment="1">
      <alignment horizontal="right" vertical="center" wrapText="1" indent="1"/>
    </xf>
    <xf numFmtId="0" fontId="31" fillId="45" borderId="0" xfId="0" applyFont="1" applyFill="1" applyAlignment="1">
      <alignment horizontal="left" vertical="center" indent="1"/>
    </xf>
    <xf numFmtId="178" fontId="65" fillId="45" borderId="14" xfId="51" applyNumberFormat="1" applyFont="1" applyFill="1" applyBorder="1" applyAlignment="1">
      <alignment horizontal="right" vertical="center" wrapText="1" indent="1"/>
    </xf>
    <xf numFmtId="169" fontId="20" fillId="0" borderId="0" xfId="0" applyNumberFormat="1" applyFont="1"/>
    <xf numFmtId="0" fontId="65" fillId="45" borderId="15" xfId="0" applyFont="1" applyFill="1" applyBorder="1" applyAlignment="1">
      <alignment vertical="center"/>
    </xf>
    <xf numFmtId="0" fontId="80" fillId="44" borderId="17" xfId="0" applyFont="1" applyFill="1" applyBorder="1" applyAlignment="1">
      <alignment vertical="center"/>
    </xf>
    <xf numFmtId="0" fontId="65" fillId="45" borderId="0" xfId="0" applyFont="1" applyFill="1" applyAlignment="1">
      <alignment vertical="center" wrapText="1"/>
    </xf>
    <xf numFmtId="0" fontId="31" fillId="45" borderId="0" xfId="0" applyFont="1" applyFill="1" applyAlignment="1">
      <alignment vertical="center" wrapText="1"/>
    </xf>
    <xf numFmtId="0" fontId="80" fillId="44" borderId="19" xfId="0" applyFont="1" applyFill="1" applyBorder="1" applyAlignment="1">
      <alignment vertical="center"/>
    </xf>
    <xf numFmtId="0" fontId="65" fillId="45" borderId="25" xfId="0" applyFont="1" applyFill="1" applyBorder="1" applyAlignment="1">
      <alignment horizontal="right" vertical="center"/>
    </xf>
    <xf numFmtId="0" fontId="65" fillId="45" borderId="15" xfId="0" applyFont="1" applyFill="1" applyBorder="1" applyAlignment="1">
      <alignment vertical="center" wrapText="1"/>
    </xf>
    <xf numFmtId="0" fontId="31" fillId="45" borderId="21" xfId="0" applyFont="1" applyFill="1" applyBorder="1" applyAlignment="1">
      <alignment vertical="center" wrapText="1"/>
    </xf>
    <xf numFmtId="0" fontId="65" fillId="45" borderId="23" xfId="0" applyFont="1" applyFill="1" applyBorder="1" applyAlignment="1">
      <alignment horizontal="right" vertical="center"/>
    </xf>
    <xf numFmtId="0" fontId="42" fillId="0" borderId="0" xfId="0" applyFont="1"/>
    <xf numFmtId="0" fontId="79" fillId="44" borderId="19" xfId="0" applyFont="1" applyFill="1" applyBorder="1" applyAlignment="1">
      <alignment horizontal="center" vertical="center" wrapText="1"/>
    </xf>
    <xf numFmtId="0" fontId="79" fillId="44" borderId="24" xfId="0" applyFont="1" applyFill="1" applyBorder="1" applyAlignment="1">
      <alignment horizontal="center" vertical="center" wrapText="1"/>
    </xf>
    <xf numFmtId="0" fontId="79" fillId="44" borderId="13" xfId="0" applyFont="1" applyFill="1" applyBorder="1" applyAlignment="1">
      <alignment horizontal="center" vertical="center" wrapText="1"/>
    </xf>
    <xf numFmtId="169" fontId="26" fillId="0" borderId="0" xfId="1" applyNumberFormat="1" applyFont="1" applyFill="1" applyAlignment="1">
      <alignment vertical="center"/>
    </xf>
    <xf numFmtId="41" fontId="26" fillId="0" borderId="0" xfId="51" applyFont="1" applyFill="1" applyAlignment="1">
      <alignment vertical="center"/>
    </xf>
    <xf numFmtId="41" fontId="84" fillId="0" borderId="0" xfId="51" applyFont="1"/>
    <xf numFmtId="0" fontId="31" fillId="40" borderId="11" xfId="0" applyFont="1" applyFill="1" applyBorder="1" applyAlignment="1">
      <alignment vertical="center" wrapText="1"/>
    </xf>
    <xf numFmtId="0" fontId="31" fillId="40" borderId="12" xfId="0" applyFont="1" applyFill="1" applyBorder="1" applyAlignment="1">
      <alignment vertical="center" wrapText="1"/>
    </xf>
    <xf numFmtId="0" fontId="31" fillId="45" borderId="20" xfId="0" applyFont="1" applyFill="1" applyBorder="1" applyAlignment="1">
      <alignment horizontal="left" vertical="center" indent="1"/>
    </xf>
    <xf numFmtId="0" fontId="81" fillId="45" borderId="15" xfId="0" applyFont="1" applyFill="1" applyBorder="1" applyAlignment="1">
      <alignment horizontal="left" vertical="center" indent="1"/>
    </xf>
    <xf numFmtId="0" fontId="81" fillId="39" borderId="11" xfId="0" applyFont="1" applyFill="1" applyBorder="1" applyAlignment="1">
      <alignment horizontal="center" vertical="center" wrapText="1"/>
    </xf>
    <xf numFmtId="0" fontId="31" fillId="39" borderId="15" xfId="0" applyFont="1" applyFill="1" applyBorder="1" applyAlignment="1">
      <alignment horizontal="left" vertical="center" indent="1"/>
    </xf>
    <xf numFmtId="176" fontId="31" fillId="39" borderId="23" xfId="0" applyNumberFormat="1" applyFont="1" applyFill="1" applyBorder="1" applyAlignment="1">
      <alignment horizontal="right" vertical="center" wrapText="1" indent="1"/>
    </xf>
    <xf numFmtId="176" fontId="31" fillId="39" borderId="23" xfId="0" applyNumberFormat="1" applyFont="1" applyFill="1" applyBorder="1" applyAlignment="1">
      <alignment horizontal="right" vertical="center"/>
    </xf>
    <xf numFmtId="0" fontId="31" fillId="39" borderId="25" xfId="0" applyFont="1" applyFill="1" applyBorder="1" applyAlignment="1">
      <alignment vertical="center" wrapText="1"/>
    </xf>
    <xf numFmtId="0" fontId="65" fillId="39" borderId="15" xfId="0" applyFont="1" applyFill="1" applyBorder="1" applyAlignment="1">
      <alignment horizontal="left" vertical="center" indent="1"/>
    </xf>
    <xf numFmtId="0" fontId="26" fillId="39" borderId="14" xfId="0" applyFont="1" applyFill="1" applyBorder="1" applyAlignment="1">
      <alignment vertical="center" wrapText="1"/>
    </xf>
    <xf numFmtId="1" fontId="42" fillId="39" borderId="14" xfId="51" applyNumberFormat="1" applyFont="1" applyFill="1" applyBorder="1" applyAlignment="1">
      <alignment vertical="center" wrapText="1"/>
    </xf>
    <xf numFmtId="0" fontId="31" fillId="39" borderId="20" xfId="0" applyFont="1" applyFill="1" applyBorder="1" applyAlignment="1">
      <alignment vertical="center" wrapText="1"/>
    </xf>
    <xf numFmtId="176" fontId="31" fillId="39" borderId="14" xfId="0" applyNumberFormat="1" applyFont="1" applyFill="1" applyBorder="1" applyAlignment="1">
      <alignment horizontal="right" vertical="center" indent="1"/>
    </xf>
    <xf numFmtId="176" fontId="31" fillId="39" borderId="14" xfId="0" applyNumberFormat="1" applyFont="1" applyFill="1" applyBorder="1" applyAlignment="1">
      <alignment horizontal="left" vertical="center" indent="1"/>
    </xf>
    <xf numFmtId="41" fontId="88" fillId="0" borderId="0" xfId="49" applyNumberFormat="1" applyFont="1" applyAlignment="1">
      <alignment vertical="center"/>
    </xf>
    <xf numFmtId="178" fontId="65" fillId="45" borderId="23" xfId="51" applyNumberFormat="1" applyFont="1" applyFill="1" applyBorder="1" applyAlignment="1">
      <alignment horizontal="right" vertical="center" wrapText="1" indent="1"/>
    </xf>
    <xf numFmtId="178" fontId="42" fillId="39" borderId="23" xfId="51" applyNumberFormat="1" applyFont="1" applyFill="1" applyBorder="1" applyAlignment="1">
      <alignment horizontal="left" vertical="center" indent="1"/>
    </xf>
    <xf numFmtId="178" fontId="26" fillId="0" borderId="10" xfId="51" applyNumberFormat="1" applyFont="1" applyBorder="1" applyAlignment="1">
      <alignment horizontal="right" vertical="center"/>
    </xf>
    <xf numFmtId="178" fontId="31" fillId="39" borderId="10" xfId="51" applyNumberFormat="1" applyFont="1" applyFill="1" applyBorder="1" applyAlignment="1">
      <alignment horizontal="right" vertical="center"/>
    </xf>
    <xf numFmtId="178" fontId="31" fillId="45" borderId="10" xfId="51" applyNumberFormat="1" applyFont="1" applyFill="1" applyBorder="1" applyAlignment="1">
      <alignment horizontal="right" vertical="center"/>
    </xf>
    <xf numFmtId="178" fontId="20" fillId="0" borderId="10" xfId="51" applyNumberFormat="1" applyFont="1" applyFill="1" applyBorder="1" applyAlignment="1">
      <alignment horizontal="right" vertical="center"/>
    </xf>
    <xf numFmtId="178" fontId="22" fillId="39" borderId="16" xfId="51" applyNumberFormat="1" applyFont="1" applyFill="1" applyBorder="1" applyAlignment="1">
      <alignment horizontal="right" vertical="center"/>
    </xf>
    <xf numFmtId="178" fontId="20" fillId="0" borderId="0" xfId="51" applyNumberFormat="1" applyFont="1" applyAlignment="1">
      <alignment vertical="center"/>
    </xf>
    <xf numFmtId="178" fontId="43" fillId="0" borderId="0" xfId="51" applyNumberFormat="1" applyFont="1" applyAlignment="1">
      <alignment vertical="center"/>
    </xf>
    <xf numFmtId="2" fontId="26" fillId="0" borderId="10" xfId="51" applyNumberFormat="1" applyFont="1" applyBorder="1" applyAlignment="1">
      <alignment horizontal="right" vertical="center"/>
    </xf>
    <xf numFmtId="2" fontId="31" fillId="39" borderId="10" xfId="51" applyNumberFormat="1" applyFont="1" applyFill="1" applyBorder="1" applyAlignment="1">
      <alignment horizontal="right" vertical="center"/>
    </xf>
    <xf numFmtId="2" fontId="20" fillId="0" borderId="0" xfId="51" applyNumberFormat="1" applyFont="1" applyAlignment="1">
      <alignment vertical="center"/>
    </xf>
    <xf numFmtId="2" fontId="31" fillId="0" borderId="0" xfId="51" applyNumberFormat="1" applyFont="1" applyAlignment="1">
      <alignment vertical="center"/>
    </xf>
    <xf numFmtId="2" fontId="62" fillId="41" borderId="10" xfId="51" applyNumberFormat="1" applyFont="1" applyFill="1" applyBorder="1" applyAlignment="1">
      <alignment horizontal="center" vertical="center" wrapText="1"/>
    </xf>
    <xf numFmtId="2" fontId="26" fillId="0" borderId="10" xfId="51" applyNumberFormat="1" applyFont="1" applyBorder="1" applyAlignment="1">
      <alignment vertical="center"/>
    </xf>
    <xf numFmtId="1" fontId="26" fillId="40" borderId="0" xfId="0" applyNumberFormat="1" applyFont="1" applyFill="1" applyAlignment="1">
      <alignment vertical="center"/>
    </xf>
    <xf numFmtId="1" fontId="60" fillId="40" borderId="0" xfId="0" applyNumberFormat="1" applyFont="1" applyFill="1"/>
    <xf numFmtId="1" fontId="26" fillId="40" borderId="18" xfId="0" applyNumberFormat="1" applyFont="1" applyFill="1" applyBorder="1" applyAlignment="1">
      <alignment vertical="center"/>
    </xf>
    <xf numFmtId="1" fontId="26" fillId="0" borderId="0" xfId="0" applyNumberFormat="1" applyFont="1" applyAlignment="1">
      <alignment vertical="center"/>
    </xf>
    <xf numFmtId="1" fontId="64" fillId="0" borderId="0" xfId="58" applyNumberFormat="1" applyFont="1" applyFill="1" applyAlignment="1">
      <alignment horizontal="center"/>
    </xf>
    <xf numFmtId="1" fontId="26" fillId="0" borderId="0" xfId="0" applyNumberFormat="1" applyFont="1"/>
    <xf numFmtId="1" fontId="60" fillId="0" borderId="0" xfId="0" applyNumberFormat="1" applyFont="1"/>
    <xf numFmtId="1" fontId="26" fillId="39" borderId="25" xfId="1" applyNumberFormat="1" applyFont="1" applyFill="1" applyBorder="1" applyAlignment="1">
      <alignment horizontal="left" vertical="center" indent="1"/>
    </xf>
    <xf numFmtId="1" fontId="45" fillId="0" borderId="0" xfId="0" applyNumberFormat="1" applyFont="1"/>
    <xf numFmtId="1" fontId="42" fillId="0" borderId="0" xfId="0" applyNumberFormat="1" applyFont="1" applyAlignment="1">
      <alignment horizontal="center" vertical="center"/>
    </xf>
    <xf numFmtId="1" fontId="20" fillId="0" borderId="0" xfId="49" quotePrefix="1" applyNumberFormat="1" applyAlignment="1">
      <alignment horizontal="center" vertical="center"/>
    </xf>
    <xf numFmtId="2" fontId="20" fillId="0" borderId="0" xfId="49" applyNumberFormat="1" applyAlignment="1">
      <alignment vertical="center"/>
    </xf>
    <xf numFmtId="0" fontId="36" fillId="45" borderId="0" xfId="58" applyFill="1" applyBorder="1" applyAlignment="1">
      <alignment horizontal="center" vertical="center"/>
    </xf>
    <xf numFmtId="166" fontId="31" fillId="0" borderId="0" xfId="45" applyFont="1" applyAlignment="1">
      <alignment vertical="center"/>
    </xf>
    <xf numFmtId="0" fontId="87" fillId="47" borderId="0" xfId="0" applyFont="1" applyFill="1" applyAlignment="1">
      <alignment horizontal="left" vertical="center" wrapText="1"/>
    </xf>
    <xf numFmtId="41" fontId="43" fillId="47" borderId="0" xfId="51" applyFont="1" applyFill="1" applyAlignment="1">
      <alignment vertical="center"/>
    </xf>
    <xf numFmtId="2" fontId="43" fillId="47" borderId="0" xfId="51" applyNumberFormat="1" applyFont="1" applyFill="1" applyAlignment="1">
      <alignment vertical="center"/>
    </xf>
    <xf numFmtId="0" fontId="31" fillId="47" borderId="0" xfId="0" applyFont="1" applyFill="1" applyAlignment="1">
      <alignment vertical="center" wrapText="1"/>
    </xf>
    <xf numFmtId="176" fontId="31" fillId="47" borderId="0" xfId="0" applyNumberFormat="1" applyFont="1" applyFill="1" applyAlignment="1">
      <alignment horizontal="right" vertical="center"/>
    </xf>
    <xf numFmtId="2" fontId="31" fillId="47" borderId="0" xfId="0" applyNumberFormat="1" applyFont="1" applyFill="1" applyAlignment="1">
      <alignment horizontal="right" vertical="center"/>
    </xf>
    <xf numFmtId="167" fontId="65" fillId="45" borderId="23" xfId="51" applyNumberFormat="1" applyFont="1" applyFill="1" applyBorder="1" applyAlignment="1">
      <alignment horizontal="right" vertical="center"/>
    </xf>
    <xf numFmtId="167" fontId="31" fillId="45" borderId="23" xfId="51" applyNumberFormat="1" applyFont="1" applyFill="1" applyBorder="1" applyAlignment="1">
      <alignment horizontal="right" vertical="center"/>
    </xf>
    <xf numFmtId="167" fontId="65" fillId="45" borderId="23" xfId="0" applyNumberFormat="1" applyFont="1" applyFill="1" applyBorder="1" applyAlignment="1">
      <alignment horizontal="right" vertical="center"/>
    </xf>
    <xf numFmtId="2" fontId="65" fillId="45" borderId="25" xfId="51" applyNumberFormat="1" applyFont="1" applyFill="1" applyBorder="1" applyAlignment="1">
      <alignment horizontal="right" vertical="center" wrapText="1" indent="1"/>
    </xf>
    <xf numFmtId="2" fontId="65" fillId="45" borderId="22" xfId="51" applyNumberFormat="1" applyFont="1" applyFill="1" applyBorder="1" applyAlignment="1">
      <alignment horizontal="right" vertical="center" indent="1"/>
    </xf>
    <xf numFmtId="2" fontId="42" fillId="39" borderId="23" xfId="1" applyNumberFormat="1" applyFont="1" applyFill="1" applyBorder="1" applyAlignment="1">
      <alignment horizontal="left" vertical="center" indent="1"/>
    </xf>
    <xf numFmtId="2" fontId="79" fillId="44" borderId="24" xfId="51" applyNumberFormat="1" applyFont="1" applyFill="1" applyBorder="1" applyAlignment="1">
      <alignment vertical="center" wrapText="1"/>
    </xf>
    <xf numFmtId="2" fontId="65" fillId="45" borderId="22" xfId="51" applyNumberFormat="1" applyFont="1" applyFill="1" applyBorder="1" applyAlignment="1">
      <alignment horizontal="right" vertical="center" wrapText="1" indent="1"/>
    </xf>
    <xf numFmtId="2" fontId="31" fillId="45" borderId="25" xfId="51" applyNumberFormat="1" applyFont="1" applyFill="1" applyBorder="1" applyAlignment="1">
      <alignment horizontal="right" vertical="center" indent="1"/>
    </xf>
    <xf numFmtId="2" fontId="65" fillId="39" borderId="23" xfId="0" applyNumberFormat="1" applyFont="1" applyFill="1" applyBorder="1" applyAlignment="1">
      <alignment horizontal="right" vertical="center" wrapText="1" indent="1"/>
    </xf>
    <xf numFmtId="167" fontId="65" fillId="39" borderId="23" xfId="0" applyNumberFormat="1" applyFont="1" applyFill="1" applyBorder="1" applyAlignment="1">
      <alignment horizontal="right" vertical="center" wrapText="1" indent="1"/>
    </xf>
    <xf numFmtId="167" fontId="26" fillId="39" borderId="15" xfId="51" applyNumberFormat="1" applyFont="1" applyFill="1" applyBorder="1" applyAlignment="1">
      <alignment vertical="center" wrapText="1"/>
    </xf>
    <xf numFmtId="167" fontId="31" fillId="39" borderId="10" xfId="0" applyNumberFormat="1" applyFont="1" applyFill="1" applyBorder="1" applyAlignment="1">
      <alignment horizontal="right" vertical="center" wrapText="1" indent="1"/>
    </xf>
    <xf numFmtId="178" fontId="43" fillId="0" borderId="0" xfId="49" applyNumberFormat="1" applyFont="1" applyAlignment="1">
      <alignment vertical="center"/>
    </xf>
    <xf numFmtId="0" fontId="26" fillId="0" borderId="0" xfId="0" applyFont="1" applyAlignment="1">
      <alignment horizontal="justify" vertical="justify" wrapText="1"/>
    </xf>
    <xf numFmtId="167" fontId="26" fillId="0" borderId="10" xfId="51" applyNumberFormat="1" applyFont="1" applyBorder="1" applyAlignment="1">
      <alignment horizontal="right" vertical="center"/>
    </xf>
    <xf numFmtId="167" fontId="31" fillId="40" borderId="10" xfId="0" applyNumberFormat="1" applyFont="1" applyFill="1" applyBorder="1" applyAlignment="1">
      <alignment horizontal="right" vertical="center"/>
    </xf>
    <xf numFmtId="167" fontId="31" fillId="39" borderId="10" xfId="0" applyNumberFormat="1" applyFont="1" applyFill="1" applyBorder="1" applyAlignment="1">
      <alignment horizontal="right" vertical="center"/>
    </xf>
    <xf numFmtId="2" fontId="26" fillId="0" borderId="10" xfId="51" applyNumberFormat="1" applyFont="1" applyBorder="1" applyAlignment="1">
      <alignment horizontal="right" vertical="center" indent="1"/>
    </xf>
    <xf numFmtId="0" fontId="64" fillId="0" borderId="0" xfId="58" applyFont="1" applyFill="1" applyBorder="1" applyAlignment="1">
      <alignment horizontal="center" vertical="center"/>
    </xf>
    <xf numFmtId="0" fontId="89" fillId="0" borderId="0" xfId="0" applyFont="1" applyAlignment="1">
      <alignment horizontal="left" vertical="center"/>
    </xf>
    <xf numFmtId="9" fontId="26" fillId="0" borderId="0" xfId="0" applyNumberFormat="1" applyFont="1" applyAlignment="1">
      <alignment horizontal="center" vertical="center"/>
    </xf>
    <xf numFmtId="178" fontId="43" fillId="0" borderId="0" xfId="51" applyNumberFormat="1" applyFont="1"/>
    <xf numFmtId="168" fontId="23" fillId="0" borderId="10" xfId="1" applyFont="1" applyBorder="1" applyAlignment="1">
      <alignment horizontal="center" vertical="center" wrapText="1"/>
    </xf>
    <xf numFmtId="168" fontId="22" fillId="0" borderId="0" xfId="0" applyNumberFormat="1" applyFont="1" applyAlignment="1">
      <alignment vertical="center"/>
    </xf>
    <xf numFmtId="168" fontId="32" fillId="43" borderId="10" xfId="1" applyFont="1" applyFill="1" applyBorder="1" applyAlignment="1">
      <alignment vertical="center"/>
    </xf>
    <xf numFmtId="168" fontId="23" fillId="0" borderId="16" xfId="1" applyFont="1" applyBorder="1" applyAlignment="1">
      <alignment horizontal="center" vertical="center" wrapText="1"/>
    </xf>
    <xf numFmtId="168" fontId="83" fillId="43" borderId="10" xfId="1" applyFont="1" applyFill="1" applyBorder="1" applyAlignment="1">
      <alignment vertical="center"/>
    </xf>
    <xf numFmtId="168" fontId="23" fillId="0" borderId="10" xfId="1" applyFont="1" applyFill="1" applyBorder="1" applyAlignment="1">
      <alignment horizontal="center" vertical="center" wrapText="1"/>
    </xf>
    <xf numFmtId="168" fontId="24" fillId="0" borderId="16" xfId="1" applyFont="1" applyBorder="1" applyAlignment="1">
      <alignment horizontal="center" vertical="center" wrapText="1"/>
    </xf>
    <xf numFmtId="168" fontId="32" fillId="35" borderId="13" xfId="1" applyFont="1" applyFill="1" applyBorder="1" applyAlignment="1">
      <alignment vertical="center"/>
    </xf>
    <xf numFmtId="168" fontId="0" fillId="0" borderId="17" xfId="1" applyFont="1" applyBorder="1" applyAlignment="1">
      <alignment vertical="center"/>
    </xf>
    <xf numFmtId="168" fontId="24" fillId="0" borderId="10" xfId="1" applyFont="1" applyBorder="1" applyAlignment="1">
      <alignment horizontal="center" vertical="center" wrapText="1"/>
    </xf>
    <xf numFmtId="168" fontId="23" fillId="43" borderId="10" xfId="1" applyFont="1" applyFill="1" applyBorder="1" applyAlignment="1">
      <alignment horizontal="center" vertical="center" wrapText="1"/>
    </xf>
    <xf numFmtId="168" fontId="23" fillId="0" borderId="10" xfId="1" applyFont="1" applyFill="1" applyBorder="1" applyAlignment="1"/>
    <xf numFmtId="168" fontId="23" fillId="0" borderId="10" xfId="1" applyFont="1" applyFill="1" applyBorder="1" applyAlignment="1">
      <alignment vertical="center"/>
    </xf>
    <xf numFmtId="168" fontId="23" fillId="0" borderId="16" xfId="1" applyFont="1" applyFill="1" applyBorder="1" applyAlignment="1">
      <alignment vertical="center"/>
    </xf>
    <xf numFmtId="168" fontId="23" fillId="43" borderId="10" xfId="1" applyFont="1" applyFill="1" applyBorder="1" applyAlignment="1">
      <alignment vertical="center"/>
    </xf>
    <xf numFmtId="168" fontId="24" fillId="0" borderId="16" xfId="1" applyFont="1" applyFill="1" applyBorder="1" applyAlignment="1">
      <alignment vertical="center"/>
    </xf>
    <xf numFmtId="168" fontId="24" fillId="35" borderId="10" xfId="1" applyFont="1" applyFill="1" applyBorder="1" applyAlignment="1">
      <alignment horizontal="center" vertical="center" wrapText="1"/>
    </xf>
    <xf numFmtId="168" fontId="32" fillId="35" borderId="10" xfId="1" applyFont="1" applyFill="1" applyBorder="1" applyAlignment="1">
      <alignment vertical="center"/>
    </xf>
    <xf numFmtId="168" fontId="23" fillId="0" borderId="13" xfId="1" applyFont="1" applyFill="1" applyBorder="1" applyAlignment="1">
      <alignment vertical="center"/>
    </xf>
    <xf numFmtId="168" fontId="24" fillId="0" borderId="10" xfId="1" applyFont="1" applyFill="1" applyBorder="1" applyAlignment="1">
      <alignment vertical="center"/>
    </xf>
    <xf numFmtId="168" fontId="32" fillId="0" borderId="17" xfId="1" applyFont="1" applyFill="1" applyBorder="1" applyAlignment="1">
      <alignment horizontal="right" vertical="center"/>
    </xf>
    <xf numFmtId="168" fontId="83" fillId="0" borderId="0" xfId="1" applyFont="1" applyFill="1" applyBorder="1" applyAlignment="1">
      <alignment vertical="center"/>
    </xf>
    <xf numFmtId="49" fontId="33" fillId="37" borderId="10" xfId="1" applyNumberFormat="1" applyFont="1" applyFill="1" applyBorder="1" applyAlignment="1">
      <alignment horizontal="center" vertical="center" wrapText="1"/>
    </xf>
    <xf numFmtId="168" fontId="32" fillId="35" borderId="10" xfId="1" applyFont="1" applyFill="1" applyBorder="1" applyAlignment="1">
      <alignment horizontal="center" vertical="center" wrapText="1"/>
    </xf>
    <xf numFmtId="178" fontId="20" fillId="0" borderId="10" xfId="51" applyNumberFormat="1" applyFont="1" applyFill="1" applyBorder="1" applyAlignment="1">
      <alignment vertical="center"/>
    </xf>
    <xf numFmtId="41" fontId="20" fillId="0" borderId="10" xfId="51" applyFont="1" applyFill="1" applyBorder="1" applyAlignment="1">
      <alignment vertical="center"/>
    </xf>
    <xf numFmtId="168" fontId="0" fillId="46" borderId="0" xfId="1" applyFont="1" applyFill="1" applyAlignment="1">
      <alignment vertical="center"/>
    </xf>
    <xf numFmtId="41" fontId="20" fillId="0" borderId="10" xfId="51" applyFont="1" applyFill="1" applyBorder="1" applyAlignment="1">
      <alignment horizontal="right" vertical="center"/>
    </xf>
    <xf numFmtId="43" fontId="60" fillId="0" borderId="0" xfId="0" applyNumberFormat="1" applyFont="1"/>
    <xf numFmtId="43" fontId="26" fillId="0" borderId="0" xfId="0" applyNumberFormat="1" applyFont="1"/>
    <xf numFmtId="0" fontId="35" fillId="0" borderId="21" xfId="0" applyFont="1" applyBorder="1" applyAlignment="1">
      <alignment horizontal="left" vertical="center"/>
    </xf>
    <xf numFmtId="178" fontId="65" fillId="39" borderId="23" xfId="51" applyNumberFormat="1" applyFont="1" applyFill="1" applyBorder="1" applyAlignment="1">
      <alignment horizontal="right" vertical="center" wrapText="1" indent="1"/>
    </xf>
    <xf numFmtId="0" fontId="22" fillId="0" borderId="0" xfId="46" applyFont="1" applyAlignment="1">
      <alignment vertical="center"/>
    </xf>
    <xf numFmtId="180" fontId="42" fillId="39" borderId="26" xfId="51" applyNumberFormat="1" applyFont="1" applyFill="1" applyBorder="1" applyAlignment="1">
      <alignment horizontal="left" vertical="center" indent="1"/>
    </xf>
    <xf numFmtId="0" fontId="20" fillId="0" borderId="0" xfId="49" applyAlignment="1">
      <alignment horizontal="justify" vertical="justify" wrapText="1"/>
    </xf>
    <xf numFmtId="0" fontId="88" fillId="0" borderId="0" xfId="0" applyFont="1" applyAlignment="1">
      <alignment vertical="center"/>
    </xf>
    <xf numFmtId="178" fontId="88" fillId="0" borderId="0" xfId="51" applyNumberFormat="1" applyFont="1" applyAlignment="1">
      <alignment vertical="center"/>
    </xf>
    <xf numFmtId="0" fontId="88" fillId="0" borderId="0" xfId="46" applyFont="1" applyAlignment="1">
      <alignment vertical="center"/>
    </xf>
    <xf numFmtId="0" fontId="91" fillId="0" borderId="0" xfId="0" applyFont="1" applyAlignment="1">
      <alignment vertical="center"/>
    </xf>
    <xf numFmtId="0" fontId="92" fillId="40" borderId="11" xfId="0" applyFont="1" applyFill="1" applyBorder="1" applyAlignment="1">
      <alignment vertical="center" wrapText="1"/>
    </xf>
    <xf numFmtId="0" fontId="92" fillId="40" borderId="12" xfId="0" applyFont="1" applyFill="1" applyBorder="1" applyAlignment="1">
      <alignment vertical="center" wrapText="1"/>
    </xf>
    <xf numFmtId="167" fontId="92" fillId="40" borderId="10" xfId="0" applyNumberFormat="1" applyFont="1" applyFill="1" applyBorder="1" applyAlignment="1">
      <alignment horizontal="right" vertical="center"/>
    </xf>
    <xf numFmtId="2" fontId="92" fillId="40" borderId="10" xfId="0" applyNumberFormat="1" applyFont="1" applyFill="1" applyBorder="1" applyAlignment="1">
      <alignment horizontal="right" vertical="center"/>
    </xf>
    <xf numFmtId="41" fontId="93" fillId="0" borderId="0" xfId="51" applyFont="1" applyAlignment="1">
      <alignment vertical="center"/>
    </xf>
    <xf numFmtId="0" fontId="95" fillId="0" borderId="0" xfId="0" applyFont="1" applyAlignment="1">
      <alignment horizontal="left"/>
    </xf>
    <xf numFmtId="0" fontId="0" fillId="0" borderId="0" xfId="0" applyAlignment="1">
      <alignment horizontal="left"/>
    </xf>
    <xf numFmtId="0" fontId="0" fillId="0" borderId="0" xfId="0" applyAlignment="1">
      <alignment horizontal="center"/>
    </xf>
    <xf numFmtId="0" fontId="96" fillId="48" borderId="10" xfId="0" applyFont="1" applyFill="1" applyBorder="1" applyAlignment="1">
      <alignment horizontal="left"/>
    </xf>
    <xf numFmtId="183" fontId="0" fillId="0" borderId="0" xfId="0" applyNumberFormat="1" applyAlignment="1">
      <alignment horizontal="left"/>
    </xf>
    <xf numFmtId="0" fontId="96" fillId="48" borderId="10" xfId="0" applyFont="1" applyFill="1" applyBorder="1" applyAlignment="1">
      <alignment horizontal="center"/>
    </xf>
    <xf numFmtId="4" fontId="0" fillId="0" borderId="0" xfId="0" applyNumberFormat="1"/>
    <xf numFmtId="4" fontId="96" fillId="48" borderId="10" xfId="0" applyNumberFormat="1" applyFont="1" applyFill="1" applyBorder="1" applyAlignment="1">
      <alignment horizontal="center"/>
    </xf>
    <xf numFmtId="0" fontId="16" fillId="49" borderId="0" xfId="0" applyFont="1" applyFill="1" applyAlignment="1">
      <alignment horizontal="center"/>
    </xf>
    <xf numFmtId="0" fontId="16" fillId="49" borderId="0" xfId="0" applyFont="1" applyFill="1"/>
    <xf numFmtId="178" fontId="0" fillId="0" borderId="0" xfId="51" applyNumberFormat="1" applyFont="1"/>
    <xf numFmtId="1" fontId="23" fillId="0" borderId="10" xfId="0" applyNumberFormat="1" applyFont="1" applyBorder="1" applyAlignment="1">
      <alignment horizontal="left" vertical="center"/>
    </xf>
    <xf numFmtId="1" fontId="0" fillId="0" borderId="0" xfId="0" applyNumberFormat="1" applyAlignment="1">
      <alignment vertical="center"/>
    </xf>
    <xf numFmtId="1" fontId="33" fillId="37" borderId="13" xfId="0" applyNumberFormat="1" applyFont="1" applyFill="1" applyBorder="1" applyAlignment="1">
      <alignment vertical="center" wrapText="1"/>
    </xf>
    <xf numFmtId="1" fontId="33" fillId="37" borderId="14" xfId="0" applyNumberFormat="1" applyFont="1" applyFill="1" applyBorder="1" applyAlignment="1">
      <alignment horizontal="center" vertical="top" wrapText="1"/>
    </xf>
    <xf numFmtId="1" fontId="24" fillId="43" borderId="10" xfId="0" applyNumberFormat="1" applyFont="1" applyFill="1" applyBorder="1" applyAlignment="1">
      <alignment horizontal="left" vertical="center"/>
    </xf>
    <xf numFmtId="1" fontId="35" fillId="0" borderId="21" xfId="0" applyNumberFormat="1" applyFont="1" applyBorder="1" applyAlignment="1">
      <alignment horizontal="left" vertical="center"/>
    </xf>
    <xf numFmtId="1" fontId="24" fillId="43" borderId="14" xfId="0" applyNumberFormat="1" applyFont="1" applyFill="1" applyBorder="1" applyAlignment="1">
      <alignment horizontal="left" vertical="center"/>
    </xf>
    <xf numFmtId="1" fontId="35" fillId="0" borderId="16" xfId="0" applyNumberFormat="1" applyFont="1" applyBorder="1" applyAlignment="1">
      <alignment horizontal="left" vertical="center"/>
    </xf>
    <xf numFmtId="1" fontId="32" fillId="35" borderId="13" xfId="0" applyNumberFormat="1" applyFont="1" applyFill="1" applyBorder="1" applyAlignment="1">
      <alignment vertical="center"/>
    </xf>
    <xf numFmtId="1" fontId="33" fillId="37" borderId="10" xfId="1" applyNumberFormat="1" applyFont="1" applyFill="1" applyBorder="1" applyAlignment="1">
      <alignment vertical="center"/>
    </xf>
    <xf numFmtId="1" fontId="0" fillId="0" borderId="20" xfId="1" applyNumberFormat="1" applyFont="1" applyBorder="1" applyAlignment="1">
      <alignment vertical="center"/>
    </xf>
    <xf numFmtId="178" fontId="23" fillId="0" borderId="10" xfId="51" applyNumberFormat="1" applyFont="1" applyBorder="1" applyAlignment="1">
      <alignment horizontal="center" vertical="center" wrapText="1"/>
    </xf>
    <xf numFmtId="184" fontId="82" fillId="0" borderId="0" xfId="51" applyNumberFormat="1" applyFont="1"/>
    <xf numFmtId="178" fontId="31" fillId="39" borderId="10" xfId="51" applyNumberFormat="1" applyFont="1" applyFill="1" applyBorder="1" applyAlignment="1">
      <alignment horizontal="right" vertical="center" wrapText="1" indent="1"/>
    </xf>
    <xf numFmtId="0" fontId="43" fillId="0" borderId="0" xfId="0" applyFont="1" applyAlignment="1">
      <alignment vertical="center"/>
    </xf>
    <xf numFmtId="4" fontId="42" fillId="39" borderId="27" xfId="1" applyNumberFormat="1" applyFont="1" applyFill="1" applyBorder="1" applyAlignment="1">
      <alignment vertical="center"/>
    </xf>
    <xf numFmtId="185" fontId="26" fillId="0" borderId="10" xfId="51" applyNumberFormat="1" applyFont="1" applyBorder="1" applyAlignment="1">
      <alignment horizontal="right" vertical="center"/>
    </xf>
    <xf numFmtId="185" fontId="31" fillId="39" borderId="10" xfId="51" applyNumberFormat="1" applyFont="1" applyFill="1" applyBorder="1" applyAlignment="1">
      <alignment horizontal="right" vertical="center"/>
    </xf>
    <xf numFmtId="0" fontId="20" fillId="47" borderId="0" xfId="49" applyFill="1" applyAlignment="1">
      <alignment vertical="center"/>
    </xf>
    <xf numFmtId="0" fontId="26" fillId="47" borderId="0" xfId="0" applyFont="1" applyFill="1" applyAlignment="1">
      <alignment vertical="center"/>
    </xf>
    <xf numFmtId="0" fontId="0" fillId="47" borderId="0" xfId="0" applyFill="1"/>
    <xf numFmtId="185" fontId="65" fillId="45" borderId="23" xfId="51" applyNumberFormat="1" applyFont="1" applyFill="1" applyBorder="1" applyAlignment="1">
      <alignment horizontal="right" vertical="center" wrapText="1" indent="1"/>
    </xf>
    <xf numFmtId="41" fontId="60" fillId="0" borderId="0" xfId="51" applyFont="1"/>
    <xf numFmtId="41" fontId="45" fillId="0" borderId="0" xfId="51" applyFont="1"/>
    <xf numFmtId="41" fontId="45" fillId="0" borderId="0" xfId="0" applyNumberFormat="1" applyFont="1"/>
    <xf numFmtId="178" fontId="45" fillId="0" borderId="0" xfId="0" applyNumberFormat="1" applyFont="1"/>
    <xf numFmtId="178" fontId="45" fillId="0" borderId="0" xfId="51" applyNumberFormat="1" applyFont="1"/>
    <xf numFmtId="186" fontId="45" fillId="0" borderId="0" xfId="51" applyNumberFormat="1" applyFont="1"/>
    <xf numFmtId="178" fontId="60" fillId="0" borderId="0" xfId="51" applyNumberFormat="1" applyFont="1"/>
    <xf numFmtId="0" fontId="26" fillId="0" borderId="0" xfId="0" applyFont="1" applyAlignment="1">
      <alignment horizontal="justify" vertical="center" wrapText="1"/>
    </xf>
    <xf numFmtId="178" fontId="23" fillId="0" borderId="10" xfId="51" applyNumberFormat="1" applyFont="1" applyFill="1" applyBorder="1" applyAlignment="1">
      <alignment horizontal="center" vertical="center" wrapText="1"/>
    </xf>
    <xf numFmtId="0" fontId="22" fillId="0" borderId="0" xfId="0" applyFont="1" applyAlignment="1">
      <alignment horizontal="justify" vertical="center" wrapText="1"/>
    </xf>
    <xf numFmtId="178" fontId="96" fillId="48" borderId="10" xfId="51" applyNumberFormat="1" applyFont="1" applyFill="1" applyBorder="1" applyAlignment="1">
      <alignment horizontal="center"/>
    </xf>
    <xf numFmtId="185" fontId="65" fillId="45" borderId="25" xfId="51" applyNumberFormat="1" applyFont="1" applyFill="1" applyBorder="1" applyAlignment="1">
      <alignment horizontal="right" vertical="center" wrapText="1" indent="1"/>
    </xf>
    <xf numFmtId="2" fontId="26" fillId="39" borderId="25" xfId="1" applyNumberFormat="1" applyFont="1" applyFill="1" applyBorder="1" applyAlignment="1">
      <alignment horizontal="left" vertical="center" indent="1"/>
    </xf>
    <xf numFmtId="2" fontId="42" fillId="39" borderId="25" xfId="1" applyNumberFormat="1" applyFont="1" applyFill="1" applyBorder="1" applyAlignment="1">
      <alignment horizontal="left" vertical="center" indent="1"/>
    </xf>
    <xf numFmtId="41" fontId="79" fillId="44" borderId="23" xfId="51" applyFont="1" applyFill="1" applyBorder="1" applyAlignment="1">
      <alignment vertical="center" wrapText="1"/>
    </xf>
    <xf numFmtId="178" fontId="31" fillId="45" borderId="13" xfId="51" applyNumberFormat="1" applyFont="1" applyFill="1" applyBorder="1" applyAlignment="1">
      <alignment horizontal="right" vertical="center" wrapText="1" indent="1"/>
    </xf>
    <xf numFmtId="185" fontId="31" fillId="45" borderId="25" xfId="51" applyNumberFormat="1" applyFont="1" applyFill="1" applyBorder="1" applyAlignment="1">
      <alignment horizontal="right" vertical="center" wrapText="1" indent="1"/>
    </xf>
    <xf numFmtId="4" fontId="65" fillId="45" borderId="23" xfId="51" applyNumberFormat="1" applyFont="1" applyFill="1" applyBorder="1" applyAlignment="1">
      <alignment horizontal="right" vertical="center"/>
    </xf>
    <xf numFmtId="4" fontId="31" fillId="45" borderId="25" xfId="51" applyNumberFormat="1" applyFont="1" applyFill="1" applyBorder="1" applyAlignment="1">
      <alignment horizontal="right" vertical="center" indent="1"/>
    </xf>
    <xf numFmtId="4" fontId="31" fillId="45" borderId="23" xfId="51" applyNumberFormat="1" applyFont="1" applyFill="1" applyBorder="1" applyAlignment="1">
      <alignment horizontal="right" vertical="center"/>
    </xf>
    <xf numFmtId="185" fontId="31" fillId="39" borderId="10" xfId="51" applyNumberFormat="1" applyFont="1" applyFill="1" applyBorder="1" applyAlignment="1">
      <alignment horizontal="right" vertical="center" wrapText="1" indent="1"/>
    </xf>
    <xf numFmtId="185" fontId="31" fillId="45" borderId="10" xfId="51" applyNumberFormat="1" applyFont="1" applyFill="1" applyBorder="1" applyAlignment="1">
      <alignment horizontal="right" vertical="center"/>
    </xf>
    <xf numFmtId="4" fontId="26" fillId="0" borderId="10" xfId="51" applyNumberFormat="1" applyFont="1" applyBorder="1" applyAlignment="1">
      <alignment horizontal="right" vertical="center"/>
    </xf>
    <xf numFmtId="4" fontId="31" fillId="39" borderId="10" xfId="51" applyNumberFormat="1" applyFont="1" applyFill="1" applyBorder="1" applyAlignment="1">
      <alignment horizontal="right" vertical="center"/>
    </xf>
    <xf numFmtId="185" fontId="31" fillId="40" borderId="10" xfId="51" applyNumberFormat="1" applyFont="1" applyFill="1" applyBorder="1" applyAlignment="1">
      <alignment horizontal="right" vertical="center"/>
    </xf>
    <xf numFmtId="185" fontId="26" fillId="0" borderId="10" xfId="51" applyNumberFormat="1" applyFont="1" applyBorder="1" applyAlignment="1">
      <alignment vertical="center"/>
    </xf>
    <xf numFmtId="41" fontId="26" fillId="0" borderId="10" xfId="51" applyFont="1" applyFill="1" applyBorder="1" applyAlignment="1">
      <alignment horizontal="right" vertical="center"/>
    </xf>
    <xf numFmtId="178" fontId="26" fillId="0" borderId="10" xfId="51" applyNumberFormat="1" applyFont="1" applyFill="1" applyBorder="1" applyAlignment="1">
      <alignment horizontal="right" vertical="center"/>
    </xf>
    <xf numFmtId="10" fontId="26" fillId="0" borderId="10" xfId="57" applyNumberFormat="1" applyFont="1" applyFill="1" applyBorder="1" applyAlignment="1">
      <alignment horizontal="right" vertical="center"/>
    </xf>
    <xf numFmtId="9" fontId="26" fillId="0" borderId="10" xfId="57" applyFont="1" applyFill="1" applyBorder="1" applyAlignment="1">
      <alignment horizontal="right" vertical="center"/>
    </xf>
    <xf numFmtId="185" fontId="22" fillId="39" borderId="16" xfId="51" applyNumberFormat="1" applyFont="1" applyFill="1" applyBorder="1" applyAlignment="1">
      <alignment horizontal="right" vertical="center"/>
    </xf>
    <xf numFmtId="185" fontId="20" fillId="0" borderId="10" xfId="51" applyNumberFormat="1" applyFont="1" applyFill="1" applyBorder="1" applyAlignment="1">
      <alignment horizontal="right" vertical="center"/>
    </xf>
    <xf numFmtId="185" fontId="20" fillId="0" borderId="10" xfId="51" applyNumberFormat="1" applyFont="1" applyFill="1" applyBorder="1" applyAlignment="1">
      <alignment vertical="center"/>
    </xf>
    <xf numFmtId="4" fontId="20" fillId="0" borderId="10" xfId="51" applyNumberFormat="1" applyFont="1" applyFill="1" applyBorder="1" applyAlignment="1">
      <alignment horizontal="right" vertical="center"/>
    </xf>
    <xf numFmtId="4" fontId="20" fillId="0" borderId="10" xfId="51" applyNumberFormat="1" applyFont="1" applyFill="1" applyBorder="1" applyAlignment="1">
      <alignment vertical="center"/>
    </xf>
    <xf numFmtId="4" fontId="97" fillId="45" borderId="23" xfId="51" applyNumberFormat="1" applyFont="1" applyFill="1" applyBorder="1" applyAlignment="1">
      <alignment horizontal="right" vertical="center"/>
    </xf>
    <xf numFmtId="185" fontId="97" fillId="39" borderId="10" xfId="51" applyNumberFormat="1" applyFont="1" applyFill="1" applyBorder="1" applyAlignment="1">
      <alignment horizontal="right" vertical="center" wrapText="1" indent="1"/>
    </xf>
    <xf numFmtId="2" fontId="97" fillId="39" borderId="23" xfId="0" applyNumberFormat="1" applyFont="1" applyFill="1" applyBorder="1" applyAlignment="1">
      <alignment horizontal="right" vertical="center" wrapText="1" indent="1"/>
    </xf>
    <xf numFmtId="0" fontId="79" fillId="44" borderId="19" xfId="0" applyFont="1" applyFill="1" applyBorder="1" applyAlignment="1">
      <alignment horizontal="center" vertical="center"/>
    </xf>
    <xf numFmtId="14" fontId="79" fillId="44" borderId="24" xfId="0" applyNumberFormat="1" applyFont="1" applyFill="1" applyBorder="1" applyAlignment="1">
      <alignment horizontal="center" vertical="center" wrapText="1"/>
    </xf>
    <xf numFmtId="0" fontId="45" fillId="45" borderId="0" xfId="0" applyFont="1" applyFill="1" applyAlignment="1">
      <alignment vertical="center"/>
    </xf>
    <xf numFmtId="41" fontId="65" fillId="45" borderId="23" xfId="51" applyFont="1" applyFill="1" applyBorder="1" applyAlignment="1">
      <alignment vertical="center"/>
    </xf>
    <xf numFmtId="41" fontId="65" fillId="45" borderId="25" xfId="51" applyFont="1" applyFill="1" applyBorder="1" applyAlignment="1">
      <alignment vertical="center"/>
    </xf>
    <xf numFmtId="0" fontId="36" fillId="45" borderId="0" xfId="58" applyFill="1" applyAlignment="1">
      <alignment horizontal="center" vertical="center"/>
    </xf>
    <xf numFmtId="37" fontId="65" fillId="45" borderId="23" xfId="51" applyNumberFormat="1" applyFont="1" applyFill="1" applyBorder="1" applyAlignment="1">
      <alignment horizontal="right" vertical="center"/>
    </xf>
    <xf numFmtId="41" fontId="31" fillId="45" borderId="23" xfId="51" applyFont="1" applyFill="1" applyBorder="1" applyAlignment="1">
      <alignment horizontal="right" vertical="center"/>
    </xf>
    <xf numFmtId="0" fontId="31" fillId="45" borderId="15" xfId="0" applyFont="1" applyFill="1" applyBorder="1" applyAlignment="1">
      <alignment vertical="center"/>
    </xf>
    <xf numFmtId="1" fontId="31" fillId="45" borderId="25" xfId="51" applyNumberFormat="1" applyFont="1" applyFill="1" applyBorder="1" applyAlignment="1">
      <alignment horizontal="right" vertical="center"/>
    </xf>
    <xf numFmtId="0" fontId="45" fillId="44" borderId="17" xfId="0" applyFont="1" applyFill="1" applyBorder="1" applyAlignment="1">
      <alignment vertical="center"/>
    </xf>
    <xf numFmtId="41" fontId="79" fillId="44" borderId="13" xfId="51" applyFont="1" applyFill="1" applyBorder="1" applyAlignment="1">
      <alignment horizontal="center" vertical="center"/>
    </xf>
    <xf numFmtId="1" fontId="79" fillId="44" borderId="24" xfId="51" applyNumberFormat="1" applyFont="1" applyFill="1" applyBorder="1" applyAlignment="1">
      <alignment horizontal="center" vertical="center"/>
    </xf>
    <xf numFmtId="0" fontId="79" fillId="45" borderId="15" xfId="0" applyFont="1" applyFill="1" applyBorder="1" applyAlignment="1">
      <alignment horizontal="center" vertical="center"/>
    </xf>
    <xf numFmtId="0" fontId="79" fillId="45" borderId="23" xfId="0" applyFont="1" applyFill="1" applyBorder="1" applyAlignment="1">
      <alignment horizontal="center" vertical="center" wrapText="1"/>
    </xf>
    <xf numFmtId="1" fontId="79" fillId="45" borderId="25" xfId="0" applyNumberFormat="1" applyFont="1" applyFill="1" applyBorder="1" applyAlignment="1">
      <alignment horizontal="center" vertical="center" wrapText="1"/>
    </xf>
    <xf numFmtId="0" fontId="31" fillId="45" borderId="21" xfId="0" applyFont="1" applyFill="1" applyBorder="1" applyAlignment="1">
      <alignment vertical="center"/>
    </xf>
    <xf numFmtId="0" fontId="60" fillId="0" borderId="0" xfId="0" applyFont="1" applyAlignment="1">
      <alignment horizontal="center" vertical="center"/>
    </xf>
    <xf numFmtId="0" fontId="20" fillId="0" borderId="15" xfId="49" applyBorder="1" applyAlignment="1">
      <alignment horizontal="center" vertical="center"/>
    </xf>
    <xf numFmtId="0" fontId="41" fillId="0" borderId="0" xfId="0" applyFont="1" applyAlignment="1">
      <alignment horizontal="center" vertical="center"/>
    </xf>
    <xf numFmtId="4" fontId="65" fillId="45" borderId="23" xfId="51" applyNumberFormat="1" applyFont="1" applyFill="1" applyBorder="1" applyAlignment="1">
      <alignment horizontal="right" vertical="center" wrapText="1" indent="1"/>
    </xf>
    <xf numFmtId="4" fontId="31" fillId="45" borderId="14" xfId="51" applyNumberFormat="1" applyFont="1" applyFill="1" applyBorder="1" applyAlignment="1">
      <alignment horizontal="right" vertical="center"/>
    </xf>
    <xf numFmtId="41" fontId="43" fillId="0" borderId="0" xfId="49" applyNumberFormat="1" applyFont="1" applyAlignment="1">
      <alignment horizontal="center" vertical="center"/>
    </xf>
    <xf numFmtId="4" fontId="31" fillId="45" borderId="25" xfId="51" applyNumberFormat="1" applyFont="1" applyFill="1" applyBorder="1" applyAlignment="1">
      <alignment horizontal="right" vertical="center"/>
    </xf>
    <xf numFmtId="4" fontId="98" fillId="39" borderId="23" xfId="1" applyNumberFormat="1" applyFont="1" applyFill="1" applyBorder="1" applyAlignment="1">
      <alignment vertical="center"/>
    </xf>
    <xf numFmtId="0" fontId="62" fillId="41" borderId="13" xfId="0" applyFont="1" applyFill="1" applyBorder="1" applyAlignment="1">
      <alignment horizontal="center" vertical="center" wrapText="1"/>
    </xf>
    <xf numFmtId="0" fontId="62" fillId="41" borderId="14" xfId="0" applyFont="1" applyFill="1" applyBorder="1" applyAlignment="1">
      <alignment horizontal="center" vertical="center" wrapText="1"/>
    </xf>
    <xf numFmtId="0" fontId="62" fillId="41" borderId="14" xfId="0" applyFont="1" applyFill="1" applyBorder="1" applyAlignment="1">
      <alignment horizontal="center" vertical="center"/>
    </xf>
    <xf numFmtId="0" fontId="99" fillId="0" borderId="0" xfId="0" applyFont="1"/>
    <xf numFmtId="0" fontId="100" fillId="50" borderId="0" xfId="0" applyFont="1" applyFill="1" applyAlignment="1">
      <alignment horizontal="left"/>
    </xf>
    <xf numFmtId="14" fontId="100" fillId="50" borderId="0" xfId="0" applyNumberFormat="1" applyFont="1" applyFill="1" applyAlignment="1">
      <alignment horizontal="center"/>
    </xf>
    <xf numFmtId="41" fontId="99" fillId="0" borderId="0" xfId="0" applyNumberFormat="1" applyFont="1"/>
    <xf numFmtId="10" fontId="101" fillId="0" borderId="0" xfId="0" applyNumberFormat="1" applyFont="1" applyAlignment="1">
      <alignment horizontal="center"/>
    </xf>
    <xf numFmtId="10" fontId="99" fillId="0" borderId="0" xfId="0" applyNumberFormat="1" applyFont="1"/>
    <xf numFmtId="178" fontId="99" fillId="0" borderId="0" xfId="57" applyNumberFormat="1" applyFont="1"/>
    <xf numFmtId="4" fontId="99" fillId="0" borderId="0" xfId="0" applyNumberFormat="1" applyFont="1"/>
    <xf numFmtId="178" fontId="99" fillId="0" borderId="0" xfId="51" applyNumberFormat="1" applyFont="1"/>
    <xf numFmtId="14" fontId="102" fillId="0" borderId="28" xfId="0" applyNumberFormat="1" applyFont="1" applyBorder="1"/>
    <xf numFmtId="41" fontId="100" fillId="50" borderId="0" xfId="51" applyFont="1" applyFill="1" applyBorder="1" applyAlignment="1">
      <alignment vertical="center"/>
    </xf>
    <xf numFmtId="180" fontId="102" fillId="0" borderId="0" xfId="51" applyNumberFormat="1" applyFont="1" applyAlignment="1">
      <alignment horizontal="left"/>
    </xf>
    <xf numFmtId="41" fontId="99" fillId="0" borderId="0" xfId="51" applyFont="1"/>
    <xf numFmtId="14" fontId="99" fillId="0" borderId="0" xfId="0" applyNumberFormat="1" applyFont="1"/>
    <xf numFmtId="10" fontId="99" fillId="0" borderId="0" xfId="57" applyNumberFormat="1" applyFont="1" applyBorder="1"/>
    <xf numFmtId="14" fontId="100" fillId="50" borderId="0" xfId="0" applyNumberFormat="1" applyFont="1" applyFill="1" applyAlignment="1">
      <alignment horizontal="left"/>
    </xf>
    <xf numFmtId="10" fontId="100" fillId="50" borderId="0" xfId="57" applyNumberFormat="1" applyFont="1" applyFill="1" applyBorder="1" applyAlignment="1"/>
    <xf numFmtId="14" fontId="100" fillId="50" borderId="0" xfId="0" applyNumberFormat="1" applyFont="1" applyFill="1" applyAlignment="1">
      <alignment horizontal="left" wrapText="1"/>
    </xf>
    <xf numFmtId="4" fontId="100" fillId="50" borderId="0" xfId="51" applyNumberFormat="1" applyFont="1" applyFill="1" applyBorder="1" applyAlignment="1">
      <alignment vertical="center"/>
    </xf>
    <xf numFmtId="180" fontId="102" fillId="0" borderId="0" xfId="51" applyNumberFormat="1" applyFont="1" applyAlignment="1">
      <alignment horizontal="center"/>
    </xf>
    <xf numFmtId="187" fontId="99" fillId="0" borderId="0" xfId="0" applyNumberFormat="1" applyFont="1"/>
    <xf numFmtId="43" fontId="99" fillId="0" borderId="0" xfId="0" applyNumberFormat="1" applyFont="1"/>
    <xf numFmtId="178" fontId="100" fillId="50" borderId="0" xfId="51" applyNumberFormat="1" applyFont="1" applyFill="1" applyBorder="1" applyAlignment="1"/>
    <xf numFmtId="4" fontId="100" fillId="50" borderId="0" xfId="51" applyNumberFormat="1" applyFont="1" applyFill="1" applyBorder="1" applyAlignment="1"/>
    <xf numFmtId="187" fontId="101" fillId="0" borderId="0" xfId="51" applyNumberFormat="1" applyFont="1" applyFill="1" applyBorder="1" applyAlignment="1"/>
    <xf numFmtId="10" fontId="99" fillId="0" borderId="0" xfId="57" applyNumberFormat="1" applyFont="1"/>
    <xf numFmtId="1" fontId="99" fillId="0" borderId="0" xfId="0" applyNumberFormat="1" applyFont="1"/>
    <xf numFmtId="0" fontId="99" fillId="0" borderId="0" xfId="0" applyFont="1" applyAlignment="1">
      <alignment horizontal="center"/>
    </xf>
    <xf numFmtId="14" fontId="103" fillId="0" borderId="0" xfId="0" applyNumberFormat="1" applyFont="1"/>
    <xf numFmtId="10" fontId="103" fillId="0" borderId="0" xfId="57" applyNumberFormat="1" applyFont="1" applyBorder="1" applyAlignment="1"/>
    <xf numFmtId="14" fontId="12" fillId="50" borderId="0" xfId="0" applyNumberFormat="1" applyFont="1" applyFill="1" applyAlignment="1">
      <alignment horizontal="center"/>
    </xf>
    <xf numFmtId="4" fontId="102" fillId="0" borderId="10" xfId="0" applyNumberFormat="1" applyFont="1" applyBorder="1"/>
    <xf numFmtId="41" fontId="99" fillId="0" borderId="0" xfId="51" applyFont="1" applyBorder="1"/>
    <xf numFmtId="178" fontId="104" fillId="40" borderId="0" xfId="51" applyNumberFormat="1" applyFont="1" applyFill="1"/>
    <xf numFmtId="178" fontId="104" fillId="46" borderId="0" xfId="51" applyNumberFormat="1" applyFont="1" applyFill="1"/>
    <xf numFmtId="0" fontId="105" fillId="50" borderId="0" xfId="0" applyFont="1" applyFill="1" applyAlignment="1">
      <alignment horizontal="center" vertical="center" wrapText="1"/>
    </xf>
    <xf numFmtId="4" fontId="105" fillId="50" borderId="0" xfId="0" applyNumberFormat="1" applyFont="1" applyFill="1" applyAlignment="1">
      <alignment horizontal="center" vertical="center" wrapText="1"/>
    </xf>
    <xf numFmtId="178" fontId="15" fillId="40" borderId="0" xfId="51" applyNumberFormat="1" applyFont="1" applyFill="1" applyAlignment="1">
      <alignment vertical="center"/>
    </xf>
    <xf numFmtId="0" fontId="99" fillId="0" borderId="17" xfId="0" applyFont="1" applyBorder="1"/>
    <xf numFmtId="3" fontId="99" fillId="0" borderId="17" xfId="0" applyNumberFormat="1" applyFont="1" applyBorder="1"/>
    <xf numFmtId="178" fontId="99" fillId="0" borderId="17" xfId="51" applyNumberFormat="1" applyFont="1" applyBorder="1"/>
    <xf numFmtId="10" fontId="99" fillId="0" borderId="17" xfId="57" applyNumberFormat="1" applyFont="1" applyBorder="1"/>
    <xf numFmtId="14" fontId="99" fillId="0" borderId="17" xfId="51" applyNumberFormat="1" applyFont="1" applyBorder="1"/>
    <xf numFmtId="188" fontId="0" fillId="0" borderId="17" xfId="57" applyNumberFormat="1" applyFont="1" applyBorder="1"/>
    <xf numFmtId="189" fontId="0" fillId="0" borderId="17" xfId="57" applyNumberFormat="1" applyFont="1" applyBorder="1"/>
    <xf numFmtId="10" fontId="99" fillId="0" borderId="17" xfId="57" applyNumberFormat="1" applyFont="1" applyFill="1" applyBorder="1"/>
    <xf numFmtId="10" fontId="99" fillId="0" borderId="17" xfId="0" applyNumberFormat="1" applyFont="1" applyBorder="1"/>
    <xf numFmtId="14" fontId="99" fillId="0" borderId="17" xfId="0" applyNumberFormat="1" applyFont="1" applyBorder="1"/>
    <xf numFmtId="4" fontId="99" fillId="0" borderId="19" xfId="51" applyNumberFormat="1" applyFont="1" applyBorder="1"/>
    <xf numFmtId="4" fontId="99" fillId="0" borderId="19" xfId="0" applyNumberFormat="1" applyFont="1" applyBorder="1"/>
    <xf numFmtId="4" fontId="99" fillId="0" borderId="13" xfId="0" applyNumberFormat="1" applyFont="1" applyBorder="1"/>
    <xf numFmtId="41" fontId="99" fillId="0" borderId="17" xfId="51" applyFont="1" applyBorder="1"/>
    <xf numFmtId="41" fontId="99" fillId="0" borderId="17" xfId="51" applyFont="1" applyFill="1" applyBorder="1"/>
    <xf numFmtId="0" fontId="104" fillId="0" borderId="0" xfId="0" applyFont="1"/>
    <xf numFmtId="4" fontId="104" fillId="0" borderId="0" xfId="0" applyNumberFormat="1" applyFont="1"/>
    <xf numFmtId="178" fontId="99" fillId="0" borderId="0" xfId="51" applyNumberFormat="1" applyFont="1" applyBorder="1"/>
    <xf numFmtId="188" fontId="99" fillId="0" borderId="0" xfId="0" applyNumberFormat="1" applyFont="1"/>
    <xf numFmtId="10" fontId="99" fillId="0" borderId="0" xfId="57" applyNumberFormat="1" applyFont="1" applyFill="1" applyBorder="1"/>
    <xf numFmtId="4" fontId="99" fillId="0" borderId="15" xfId="51" applyNumberFormat="1" applyFont="1" applyBorder="1"/>
    <xf numFmtId="4" fontId="99" fillId="0" borderId="15" xfId="0" applyNumberFormat="1" applyFont="1" applyBorder="1"/>
    <xf numFmtId="4" fontId="99" fillId="0" borderId="23" xfId="0" applyNumberFormat="1" applyFont="1" applyBorder="1"/>
    <xf numFmtId="41" fontId="99" fillId="0" borderId="0" xfId="51" applyFont="1" applyFill="1" applyBorder="1"/>
    <xf numFmtId="178" fontId="99" fillId="0" borderId="0" xfId="51" applyNumberFormat="1" applyFont="1" applyFill="1" applyBorder="1"/>
    <xf numFmtId="0" fontId="99" fillId="0" borderId="19" xfId="0" applyFont="1" applyBorder="1"/>
    <xf numFmtId="188" fontId="99" fillId="0" borderId="17" xfId="0" applyNumberFormat="1" applyFont="1" applyBorder="1"/>
    <xf numFmtId="0" fontId="99" fillId="0" borderId="15" xfId="0" applyFont="1" applyBorder="1"/>
    <xf numFmtId="188" fontId="99" fillId="0" borderId="17" xfId="57" applyNumberFormat="1" applyFont="1" applyBorder="1"/>
    <xf numFmtId="0" fontId="99" fillId="0" borderId="24" xfId="0" applyFont="1" applyBorder="1"/>
    <xf numFmtId="4" fontId="99" fillId="0" borderId="13" xfId="51" applyNumberFormat="1" applyFont="1" applyBorder="1"/>
    <xf numFmtId="4" fontId="99" fillId="0" borderId="24" xfId="0" applyNumberFormat="1" applyFont="1" applyBorder="1"/>
    <xf numFmtId="41" fontId="99" fillId="0" borderId="19" xfId="51" applyFont="1" applyBorder="1"/>
    <xf numFmtId="178" fontId="99" fillId="0" borderId="17" xfId="51" applyNumberFormat="1" applyFont="1" applyFill="1" applyBorder="1"/>
    <xf numFmtId="0" fontId="99" fillId="0" borderId="25" xfId="0" applyFont="1" applyBorder="1"/>
    <xf numFmtId="4" fontId="99" fillId="0" borderId="23" xfId="51" applyNumberFormat="1" applyFont="1" applyBorder="1"/>
    <xf numFmtId="4" fontId="99" fillId="0" borderId="25" xfId="0" applyNumberFormat="1" applyFont="1" applyBorder="1"/>
    <xf numFmtId="41" fontId="99" fillId="0" borderId="15" xfId="51" applyFont="1" applyBorder="1"/>
    <xf numFmtId="178" fontId="99" fillId="0" borderId="23" xfId="0" applyNumberFormat="1" applyFont="1" applyBorder="1"/>
    <xf numFmtId="4" fontId="104" fillId="46" borderId="0" xfId="0" applyNumberFormat="1" applyFont="1" applyFill="1"/>
    <xf numFmtId="0" fontId="99" fillId="46" borderId="17" xfId="0" applyFont="1" applyFill="1" applyBorder="1"/>
    <xf numFmtId="10" fontId="99" fillId="0" borderId="0" xfId="57" applyNumberFormat="1" applyFont="1" applyFill="1"/>
    <xf numFmtId="41" fontId="99" fillId="0" borderId="0" xfId="51" applyFont="1" applyFill="1"/>
    <xf numFmtId="178" fontId="99" fillId="0" borderId="0" xfId="51" applyNumberFormat="1" applyFont="1" applyFill="1"/>
    <xf numFmtId="0" fontId="99" fillId="0" borderId="20" xfId="0" applyFont="1" applyBorder="1"/>
    <xf numFmtId="0" fontId="99" fillId="0" borderId="21" xfId="0" applyFont="1" applyBorder="1"/>
    <xf numFmtId="178" fontId="99" fillId="0" borderId="21" xfId="51" applyNumberFormat="1" applyFont="1" applyBorder="1"/>
    <xf numFmtId="10" fontId="99" fillId="0" borderId="21" xfId="57" applyNumberFormat="1" applyFont="1" applyBorder="1"/>
    <xf numFmtId="188" fontId="99" fillId="0" borderId="21" xfId="0" applyNumberFormat="1" applyFont="1" applyBorder="1"/>
    <xf numFmtId="14" fontId="99" fillId="0" borderId="21" xfId="0" applyNumberFormat="1" applyFont="1" applyBorder="1"/>
    <xf numFmtId="4" fontId="99" fillId="0" borderId="14" xfId="51" applyNumberFormat="1" applyFont="1" applyBorder="1"/>
    <xf numFmtId="4" fontId="99" fillId="0" borderId="22" xfId="0" applyNumberFormat="1" applyFont="1" applyBorder="1"/>
    <xf numFmtId="4" fontId="99" fillId="0" borderId="14" xfId="0" applyNumberFormat="1" applyFont="1" applyBorder="1"/>
    <xf numFmtId="41" fontId="99" fillId="0" borderId="21" xfId="51" applyFont="1" applyBorder="1"/>
    <xf numFmtId="3" fontId="99" fillId="0" borderId="0" xfId="0" applyNumberFormat="1" applyFont="1"/>
    <xf numFmtId="0" fontId="99" fillId="38" borderId="19" xfId="0" applyFont="1" applyFill="1" applyBorder="1"/>
    <xf numFmtId="0" fontId="99" fillId="38" borderId="17" xfId="0" applyFont="1" applyFill="1" applyBorder="1"/>
    <xf numFmtId="178" fontId="99" fillId="38" borderId="17" xfId="51" applyNumberFormat="1" applyFont="1" applyFill="1" applyBorder="1"/>
    <xf numFmtId="10" fontId="99" fillId="38" borderId="17" xfId="57" applyNumberFormat="1" applyFont="1" applyFill="1" applyBorder="1"/>
    <xf numFmtId="14" fontId="99" fillId="38" borderId="17" xfId="0" applyNumberFormat="1" applyFont="1" applyFill="1" applyBorder="1"/>
    <xf numFmtId="0" fontId="99" fillId="38" borderId="24" xfId="0" applyFont="1" applyFill="1" applyBorder="1"/>
    <xf numFmtId="41" fontId="99" fillId="38" borderId="19" xfId="51" applyFont="1" applyFill="1" applyBorder="1"/>
    <xf numFmtId="41" fontId="99" fillId="38" borderId="17" xfId="51" applyFont="1" applyFill="1" applyBorder="1"/>
    <xf numFmtId="41" fontId="0" fillId="0" borderId="0" xfId="51" applyFont="1" applyAlignment="1">
      <alignment horizontal="left"/>
    </xf>
    <xf numFmtId="41" fontId="96" fillId="48" borderId="10" xfId="51" applyFont="1" applyFill="1" applyBorder="1" applyAlignment="1">
      <alignment horizontal="center"/>
    </xf>
    <xf numFmtId="12" fontId="90" fillId="0" borderId="0" xfId="0" applyNumberFormat="1" applyFont="1" applyAlignment="1">
      <alignment horizontal="left"/>
    </xf>
    <xf numFmtId="0" fontId="90" fillId="0" borderId="0" xfId="0" applyFont="1" applyAlignment="1">
      <alignment horizontal="left"/>
    </xf>
    <xf numFmtId="41" fontId="1" fillId="0" borderId="0" xfId="51" applyFont="1" applyAlignment="1">
      <alignment horizontal="left"/>
    </xf>
    <xf numFmtId="178" fontId="1" fillId="0" borderId="0" xfId="51" applyNumberFormat="1" applyFont="1"/>
    <xf numFmtId="41" fontId="1" fillId="0" borderId="0" xfId="51" applyFont="1" applyFill="1" applyAlignment="1">
      <alignment horizontal="left"/>
    </xf>
    <xf numFmtId="12" fontId="0" fillId="0" borderId="0" xfId="0" applyNumberFormat="1" applyAlignment="1">
      <alignment horizontal="left"/>
    </xf>
    <xf numFmtId="0" fontId="96" fillId="48" borderId="0" xfId="0" applyFont="1" applyFill="1" applyAlignment="1">
      <alignment horizontal="left"/>
    </xf>
    <xf numFmtId="0" fontId="13" fillId="0" borderId="0" xfId="0" applyFont="1"/>
    <xf numFmtId="43" fontId="13" fillId="0" borderId="0" xfId="0" applyNumberFormat="1" applyFont="1"/>
    <xf numFmtId="178" fontId="1" fillId="0" borderId="0" xfId="51" applyNumberFormat="1" applyFont="1" applyFill="1"/>
    <xf numFmtId="0" fontId="20" fillId="0" borderId="10" xfId="51" applyNumberFormat="1" applyFont="1" applyFill="1" applyBorder="1" applyAlignment="1">
      <alignment horizontal="right" vertical="center"/>
    </xf>
    <xf numFmtId="189" fontId="99" fillId="0" borderId="0" xfId="0" applyNumberFormat="1" applyFont="1"/>
    <xf numFmtId="41" fontId="102" fillId="0" borderId="29" xfId="51" applyFont="1" applyBorder="1" applyAlignment="1">
      <alignment horizontal="left"/>
    </xf>
    <xf numFmtId="191" fontId="99" fillId="0" borderId="0" xfId="0" applyNumberFormat="1" applyFont="1"/>
    <xf numFmtId="0" fontId="99" fillId="51" borderId="19" xfId="0" applyFont="1" applyFill="1" applyBorder="1"/>
    <xf numFmtId="0" fontId="99" fillId="51" borderId="17" xfId="0" applyFont="1" applyFill="1" applyBorder="1"/>
    <xf numFmtId="178" fontId="99" fillId="51" borderId="17" xfId="51" applyNumberFormat="1" applyFont="1" applyFill="1" applyBorder="1"/>
    <xf numFmtId="10" fontId="99" fillId="51" borderId="17" xfId="57" applyNumberFormat="1" applyFont="1" applyFill="1" applyBorder="1"/>
    <xf numFmtId="14" fontId="99" fillId="51" borderId="17" xfId="0" applyNumberFormat="1" applyFont="1" applyFill="1" applyBorder="1"/>
    <xf numFmtId="0" fontId="99" fillId="51" borderId="24" xfId="0" applyFont="1" applyFill="1" applyBorder="1"/>
    <xf numFmtId="4" fontId="99" fillId="51" borderId="23" xfId="51" applyNumberFormat="1" applyFont="1" applyFill="1" applyBorder="1"/>
    <xf numFmtId="4" fontId="99" fillId="51" borderId="25" xfId="0" applyNumberFormat="1" applyFont="1" applyFill="1" applyBorder="1"/>
    <xf numFmtId="4" fontId="99" fillId="51" borderId="23" xfId="0" applyNumberFormat="1" applyFont="1" applyFill="1" applyBorder="1"/>
    <xf numFmtId="41" fontId="99" fillId="51" borderId="19" xfId="51" applyFont="1" applyFill="1" applyBorder="1"/>
    <xf numFmtId="41" fontId="99" fillId="51" borderId="17" xfId="51" applyFont="1" applyFill="1" applyBorder="1"/>
    <xf numFmtId="0" fontId="99" fillId="51" borderId="15" xfId="0" applyFont="1" applyFill="1" applyBorder="1"/>
    <xf numFmtId="0" fontId="99" fillId="51" borderId="0" xfId="0" applyFont="1" applyFill="1"/>
    <xf numFmtId="178" fontId="99" fillId="51" borderId="0" xfId="51" applyNumberFormat="1" applyFont="1" applyFill="1" applyBorder="1"/>
    <xf numFmtId="10" fontId="99" fillId="51" borderId="0" xfId="57" applyNumberFormat="1" applyFont="1" applyFill="1" applyBorder="1"/>
    <xf numFmtId="10" fontId="99" fillId="51" borderId="0" xfId="0" applyNumberFormat="1" applyFont="1" applyFill="1"/>
    <xf numFmtId="188" fontId="99" fillId="51" borderId="0" xfId="0" applyNumberFormat="1" applyFont="1" applyFill="1"/>
    <xf numFmtId="14" fontId="99" fillId="51" borderId="0" xfId="0" applyNumberFormat="1" applyFont="1" applyFill="1"/>
    <xf numFmtId="0" fontId="99" fillId="51" borderId="25" xfId="0" applyFont="1" applyFill="1" applyBorder="1"/>
    <xf numFmtId="41" fontId="99" fillId="51" borderId="15" xfId="51" applyFont="1" applyFill="1" applyBorder="1"/>
    <xf numFmtId="41" fontId="99" fillId="51" borderId="0" xfId="51" applyFont="1" applyFill="1" applyBorder="1"/>
    <xf numFmtId="41" fontId="99" fillId="0" borderId="17" xfId="0" applyNumberFormat="1" applyFont="1" applyBorder="1"/>
    <xf numFmtId="4" fontId="99" fillId="0" borderId="24" xfId="51" applyNumberFormat="1" applyFont="1" applyBorder="1"/>
    <xf numFmtId="188" fontId="99" fillId="38" borderId="19" xfId="57" applyNumberFormat="1" applyFont="1" applyFill="1" applyBorder="1"/>
    <xf numFmtId="188" fontId="99" fillId="38" borderId="17" xfId="57" applyNumberFormat="1" applyFont="1" applyFill="1" applyBorder="1"/>
    <xf numFmtId="4" fontId="99" fillId="38" borderId="10" xfId="51" applyNumberFormat="1" applyFont="1" applyFill="1" applyBorder="1"/>
    <xf numFmtId="4" fontId="99" fillId="38" borderId="12" xfId="0" applyNumberFormat="1" applyFont="1" applyFill="1" applyBorder="1"/>
    <xf numFmtId="4" fontId="99" fillId="38" borderId="10" xfId="0" applyNumberFormat="1" applyFont="1" applyFill="1" applyBorder="1"/>
    <xf numFmtId="41" fontId="99" fillId="38" borderId="24" xfId="51" applyFont="1" applyFill="1" applyBorder="1"/>
    <xf numFmtId="4" fontId="99" fillId="0" borderId="25" xfId="51" applyNumberFormat="1" applyFont="1" applyBorder="1"/>
    <xf numFmtId="190" fontId="26" fillId="0" borderId="10" xfId="51" applyNumberFormat="1" applyFont="1" applyFill="1" applyBorder="1" applyAlignment="1">
      <alignment vertical="center"/>
    </xf>
    <xf numFmtId="179" fontId="26" fillId="0" borderId="10" xfId="51" applyNumberFormat="1" applyFont="1" applyFill="1" applyBorder="1" applyAlignment="1">
      <alignment vertical="center"/>
    </xf>
    <xf numFmtId="178" fontId="26" fillId="0" borderId="10" xfId="51" applyNumberFormat="1" applyFont="1" applyFill="1" applyBorder="1" applyAlignment="1">
      <alignment vertical="center"/>
    </xf>
    <xf numFmtId="179" fontId="42" fillId="40" borderId="10" xfId="51" applyNumberFormat="1" applyFont="1" applyFill="1" applyBorder="1" applyAlignment="1">
      <alignment vertical="center"/>
    </xf>
    <xf numFmtId="43" fontId="0" fillId="0" borderId="0" xfId="0" applyNumberFormat="1"/>
    <xf numFmtId="178" fontId="0" fillId="0" borderId="0" xfId="51" applyNumberFormat="1" applyFont="1" applyFill="1"/>
    <xf numFmtId="178" fontId="0" fillId="0" borderId="0" xfId="0" applyNumberFormat="1"/>
    <xf numFmtId="0" fontId="90" fillId="0" borderId="0" xfId="0" applyFont="1" applyAlignment="1">
      <alignment horizontal="center"/>
    </xf>
    <xf numFmtId="0" fontId="40" fillId="0" borderId="0" xfId="0" applyFont="1" applyAlignment="1">
      <alignment horizontal="center"/>
    </xf>
    <xf numFmtId="177" fontId="99" fillId="51" borderId="17" xfId="57" applyNumberFormat="1" applyFont="1" applyFill="1" applyBorder="1"/>
    <xf numFmtId="3" fontId="99" fillId="0" borderId="21" xfId="0" applyNumberFormat="1" applyFont="1" applyBorder="1"/>
    <xf numFmtId="1" fontId="99" fillId="52" borderId="0" xfId="0" applyNumberFormat="1" applyFont="1" applyFill="1"/>
    <xf numFmtId="0" fontId="99" fillId="52" borderId="0" xfId="0" applyFont="1" applyFill="1"/>
    <xf numFmtId="4" fontId="99" fillId="52" borderId="0" xfId="0" applyNumberFormat="1" applyFont="1" applyFill="1"/>
    <xf numFmtId="41" fontId="99" fillId="52" borderId="0" xfId="0" applyNumberFormat="1" applyFont="1" applyFill="1"/>
    <xf numFmtId="4" fontId="104" fillId="52" borderId="0" xfId="0" applyNumberFormat="1" applyFont="1" applyFill="1"/>
    <xf numFmtId="0" fontId="107" fillId="0" borderId="0" xfId="0" applyFont="1" applyAlignment="1">
      <alignment horizontal="left"/>
    </xf>
    <xf numFmtId="0" fontId="107" fillId="0" borderId="0" xfId="0" applyFont="1" applyAlignment="1">
      <alignment horizontal="center"/>
    </xf>
    <xf numFmtId="1" fontId="107" fillId="0" borderId="0" xfId="0" applyNumberFormat="1" applyFont="1" applyAlignment="1">
      <alignment horizontal="left"/>
    </xf>
    <xf numFmtId="12" fontId="0" fillId="46" borderId="0" xfId="0" applyNumberFormat="1" applyFill="1" applyAlignment="1">
      <alignment horizontal="left"/>
    </xf>
    <xf numFmtId="0" fontId="0" fillId="46" borderId="0" xfId="0" applyFill="1" applyAlignment="1">
      <alignment horizontal="left"/>
    </xf>
    <xf numFmtId="178" fontId="108" fillId="0" borderId="0" xfId="51" applyNumberFormat="1" applyFont="1" applyFill="1" applyBorder="1"/>
    <xf numFmtId="41" fontId="108" fillId="0" borderId="0" xfId="51" applyFont="1" applyFill="1" applyBorder="1"/>
    <xf numFmtId="0" fontId="108" fillId="0" borderId="0" xfId="0" applyFont="1"/>
    <xf numFmtId="178" fontId="108" fillId="0" borderId="0" xfId="51" applyNumberFormat="1" applyFont="1"/>
    <xf numFmtId="2" fontId="108" fillId="0" borderId="0" xfId="51" applyNumberFormat="1" applyFont="1"/>
    <xf numFmtId="4" fontId="102" fillId="0" borderId="29" xfId="51" applyNumberFormat="1" applyFont="1" applyBorder="1" applyAlignment="1">
      <alignment horizontal="center"/>
    </xf>
    <xf numFmtId="41" fontId="108" fillId="0" borderId="0" xfId="51" applyFont="1"/>
    <xf numFmtId="10" fontId="100" fillId="50" borderId="0" xfId="57" applyNumberFormat="1" applyFont="1" applyFill="1" applyBorder="1" applyAlignment="1">
      <alignment horizontal="center"/>
    </xf>
    <xf numFmtId="41" fontId="108" fillId="0" borderId="0" xfId="0" applyNumberFormat="1" applyFont="1"/>
    <xf numFmtId="4" fontId="109" fillId="46" borderId="0" xfId="51" applyNumberFormat="1" applyFont="1" applyFill="1"/>
    <xf numFmtId="178" fontId="110" fillId="0" borderId="0" xfId="51" applyNumberFormat="1" applyFont="1"/>
    <xf numFmtId="178" fontId="111" fillId="53" borderId="0" xfId="51" applyNumberFormat="1" applyFont="1" applyFill="1" applyBorder="1" applyAlignment="1">
      <alignment vertical="center"/>
    </xf>
    <xf numFmtId="10" fontId="0" fillId="0" borderId="17" xfId="57" applyNumberFormat="1" applyFont="1" applyBorder="1"/>
    <xf numFmtId="178" fontId="108" fillId="0" borderId="0" xfId="51" applyNumberFormat="1" applyFont="1" applyFill="1" applyBorder="1" applyAlignment="1">
      <alignment wrapText="1"/>
    </xf>
    <xf numFmtId="0" fontId="112" fillId="0" borderId="0" xfId="0" applyFont="1"/>
    <xf numFmtId="178" fontId="112" fillId="0" borderId="0" xfId="51" applyNumberFormat="1" applyFont="1"/>
    <xf numFmtId="4" fontId="99" fillId="0" borderId="0" xfId="51" applyNumberFormat="1" applyFont="1"/>
    <xf numFmtId="4" fontId="108" fillId="0" borderId="0" xfId="51" applyNumberFormat="1" applyFont="1"/>
    <xf numFmtId="2" fontId="99" fillId="0" borderId="0" xfId="0" applyNumberFormat="1" applyFont="1"/>
    <xf numFmtId="1" fontId="108" fillId="0" borderId="0" xfId="0" applyNumberFormat="1" applyFont="1"/>
    <xf numFmtId="178" fontId="104" fillId="0" borderId="0" xfId="51" applyNumberFormat="1" applyFont="1"/>
    <xf numFmtId="178" fontId="112" fillId="46" borderId="0" xfId="51" applyNumberFormat="1" applyFont="1" applyFill="1"/>
    <xf numFmtId="178" fontId="104" fillId="0" borderId="0" xfId="51" applyNumberFormat="1" applyFont="1" applyFill="1"/>
    <xf numFmtId="2" fontId="108" fillId="0" borderId="0" xfId="51" applyNumberFormat="1" applyFont="1" applyFill="1" applyBorder="1"/>
    <xf numFmtId="178" fontId="112" fillId="0" borderId="0" xfId="51" applyNumberFormat="1" applyFont="1" applyFill="1" applyBorder="1"/>
    <xf numFmtId="0" fontId="99" fillId="46" borderId="19" xfId="0" applyFont="1" applyFill="1" applyBorder="1"/>
    <xf numFmtId="178" fontId="99" fillId="46" borderId="17" xfId="51" applyNumberFormat="1" applyFont="1" applyFill="1" applyBorder="1"/>
    <xf numFmtId="10" fontId="99" fillId="46" borderId="17" xfId="57" applyNumberFormat="1" applyFont="1" applyFill="1" applyBorder="1"/>
    <xf numFmtId="14" fontId="99" fillId="46" borderId="17" xfId="0" applyNumberFormat="1" applyFont="1" applyFill="1" applyBorder="1"/>
    <xf numFmtId="14" fontId="99" fillId="46" borderId="0" xfId="0" applyNumberFormat="1" applyFont="1" applyFill="1"/>
    <xf numFmtId="0" fontId="99" fillId="46" borderId="24" xfId="0" applyFont="1" applyFill="1" applyBorder="1"/>
    <xf numFmtId="4" fontId="99" fillId="46" borderId="13" xfId="51" applyNumberFormat="1" applyFont="1" applyFill="1" applyBorder="1"/>
    <xf numFmtId="4" fontId="99" fillId="46" borderId="24" xfId="0" applyNumberFormat="1" applyFont="1" applyFill="1" applyBorder="1"/>
    <xf numFmtId="4" fontId="99" fillId="46" borderId="13" xfId="0" applyNumberFormat="1" applyFont="1" applyFill="1" applyBorder="1"/>
    <xf numFmtId="41" fontId="99" fillId="46" borderId="19" xfId="51" applyFont="1" applyFill="1" applyBorder="1"/>
    <xf numFmtId="41" fontId="99" fillId="46" borderId="17" xfId="51" applyFont="1" applyFill="1" applyBorder="1"/>
    <xf numFmtId="4" fontId="99" fillId="46" borderId="23" xfId="51" applyNumberFormat="1" applyFont="1" applyFill="1" applyBorder="1"/>
    <xf numFmtId="4" fontId="99" fillId="0" borderId="10" xfId="0" applyNumberFormat="1" applyFont="1" applyBorder="1"/>
    <xf numFmtId="4" fontId="99" fillId="0" borderId="20" xfId="51" applyNumberFormat="1" applyFont="1" applyBorder="1"/>
    <xf numFmtId="3" fontId="26" fillId="0" borderId="10" xfId="51" applyNumberFormat="1" applyFont="1" applyFill="1" applyBorder="1" applyAlignment="1">
      <alignment horizontal="right" vertical="center"/>
    </xf>
    <xf numFmtId="179" fontId="22" fillId="39" borderId="16" xfId="51" applyNumberFormat="1" applyFont="1" applyFill="1" applyBorder="1" applyAlignment="1">
      <alignment horizontal="right" vertical="center"/>
    </xf>
    <xf numFmtId="0" fontId="88" fillId="0" borderId="0" xfId="49" applyFont="1" applyAlignment="1">
      <alignment vertical="center"/>
    </xf>
    <xf numFmtId="0" fontId="62" fillId="0" borderId="0" xfId="0" applyFont="1" applyAlignment="1">
      <alignment horizontal="center" vertical="center"/>
    </xf>
    <xf numFmtId="0" fontId="62" fillId="0" borderId="0" xfId="49" applyFont="1" applyAlignment="1">
      <alignment vertical="center"/>
    </xf>
    <xf numFmtId="0" fontId="88" fillId="0" borderId="0" xfId="0" applyFont="1" applyAlignment="1">
      <alignment horizontal="center" vertical="center"/>
    </xf>
    <xf numFmtId="0" fontId="88" fillId="0" borderId="0" xfId="49" applyFont="1" applyAlignment="1">
      <alignment horizontal="center" vertical="center"/>
    </xf>
    <xf numFmtId="0" fontId="113" fillId="0" borderId="0" xfId="0" applyFont="1"/>
    <xf numFmtId="0" fontId="88" fillId="0" borderId="0" xfId="0" applyFont="1" applyAlignment="1">
      <alignment wrapText="1"/>
    </xf>
    <xf numFmtId="0" fontId="88" fillId="0" borderId="0" xfId="0" applyFont="1"/>
    <xf numFmtId="0" fontId="62" fillId="0" borderId="0" xfId="0" applyFont="1" applyAlignment="1">
      <alignment vertical="center"/>
    </xf>
    <xf numFmtId="169" fontId="88" fillId="0" borderId="0" xfId="1" applyNumberFormat="1" applyFont="1"/>
    <xf numFmtId="0" fontId="113" fillId="0" borderId="0" xfId="0" applyFont="1" applyAlignment="1">
      <alignment horizontal="center" vertical="center"/>
    </xf>
    <xf numFmtId="0" fontId="114" fillId="0" borderId="0" xfId="0" applyFont="1"/>
    <xf numFmtId="1" fontId="113" fillId="0" borderId="0" xfId="0" applyNumberFormat="1" applyFont="1"/>
    <xf numFmtId="1" fontId="99" fillId="35" borderId="0" xfId="0" applyNumberFormat="1" applyFont="1" applyFill="1"/>
    <xf numFmtId="0" fontId="108" fillId="35" borderId="0" xfId="0" applyFont="1" applyFill="1"/>
    <xf numFmtId="178" fontId="108" fillId="35" borderId="0" xfId="51" applyNumberFormat="1" applyFont="1" applyFill="1"/>
    <xf numFmtId="41" fontId="108" fillId="35" borderId="0" xfId="0" applyNumberFormat="1" applyFont="1" applyFill="1"/>
    <xf numFmtId="0" fontId="99" fillId="35" borderId="0" xfId="0" applyFont="1" applyFill="1"/>
    <xf numFmtId="3" fontId="0" fillId="0" borderId="0" xfId="0" applyNumberFormat="1" applyAlignment="1">
      <alignment horizontal="left"/>
    </xf>
    <xf numFmtId="1" fontId="0" fillId="0" borderId="0" xfId="0" applyNumberFormat="1" applyAlignment="1">
      <alignment horizontal="left"/>
    </xf>
    <xf numFmtId="179" fontId="20" fillId="0" borderId="0" xfId="49" applyNumberFormat="1" applyAlignment="1">
      <alignment vertical="center"/>
    </xf>
    <xf numFmtId="178" fontId="26" fillId="0" borderId="10" xfId="51" applyNumberFormat="1" applyFont="1" applyBorder="1" applyAlignment="1">
      <alignment horizontal="right" vertical="center" indent="1"/>
    </xf>
    <xf numFmtId="0" fontId="26" fillId="0" borderId="11" xfId="0" applyFont="1" applyBorder="1" applyAlignment="1">
      <alignment horizontal="left" vertical="center"/>
    </xf>
    <xf numFmtId="0" fontId="26" fillId="0" borderId="10" xfId="0" applyFont="1" applyBorder="1"/>
    <xf numFmtId="0" fontId="26" fillId="0" borderId="10" xfId="0" applyFont="1" applyBorder="1" applyAlignment="1">
      <alignment horizontal="center" vertical="center"/>
    </xf>
    <xf numFmtId="14" fontId="26" fillId="0" borderId="10" xfId="0" applyNumberFormat="1" applyFont="1" applyBorder="1" applyAlignment="1">
      <alignment horizontal="center" vertical="center"/>
    </xf>
    <xf numFmtId="172" fontId="26" fillId="0" borderId="10" xfId="0" applyNumberFormat="1" applyFont="1" applyBorder="1" applyAlignment="1">
      <alignment horizontal="center" vertical="center"/>
    </xf>
    <xf numFmtId="0" fontId="20" fillId="0" borderId="11" xfId="0" applyFont="1" applyBorder="1" applyAlignment="1">
      <alignment horizontal="left" vertical="center"/>
    </xf>
    <xf numFmtId="14" fontId="20" fillId="0" borderId="10" xfId="0" applyNumberFormat="1" applyFont="1" applyBorder="1" applyAlignment="1">
      <alignment horizontal="center" vertical="center"/>
    </xf>
    <xf numFmtId="172" fontId="20" fillId="0" borderId="10" xfId="0" applyNumberFormat="1" applyFont="1" applyBorder="1" applyAlignment="1">
      <alignment horizontal="center" vertical="center"/>
    </xf>
    <xf numFmtId="0" fontId="20" fillId="0" borderId="10" xfId="0" applyFont="1" applyBorder="1" applyAlignment="1">
      <alignment horizontal="center" vertical="center"/>
    </xf>
    <xf numFmtId="178" fontId="26" fillId="0" borderId="0" xfId="0" applyNumberFormat="1" applyFont="1" applyAlignment="1">
      <alignment vertical="center"/>
    </xf>
    <xf numFmtId="178" fontId="43" fillId="0" borderId="0" xfId="51" applyNumberFormat="1" applyFont="1" applyFill="1" applyAlignment="1">
      <alignment vertical="center"/>
    </xf>
    <xf numFmtId="178" fontId="20" fillId="0" borderId="0" xfId="51" applyNumberFormat="1" applyFont="1" applyFill="1" applyAlignment="1">
      <alignment vertical="center"/>
    </xf>
    <xf numFmtId="0" fontId="62" fillId="41" borderId="13" xfId="0" applyFont="1" applyFill="1" applyBorder="1" applyAlignment="1">
      <alignment horizontal="center" vertical="center" wrapText="1"/>
    </xf>
    <xf numFmtId="0" fontId="62" fillId="41" borderId="14" xfId="0" applyFont="1" applyFill="1" applyBorder="1" applyAlignment="1">
      <alignment horizontal="center" vertical="center" wrapText="1"/>
    </xf>
    <xf numFmtId="0" fontId="62" fillId="41" borderId="13" xfId="0" applyFont="1" applyFill="1" applyBorder="1" applyAlignment="1">
      <alignment horizontal="center" vertical="center"/>
    </xf>
    <xf numFmtId="0" fontId="62" fillId="41" borderId="14" xfId="0" applyFont="1" applyFill="1" applyBorder="1" applyAlignment="1">
      <alignment horizontal="center" vertical="center"/>
    </xf>
    <xf numFmtId="0" fontId="26" fillId="0" borderId="11" xfId="0" applyFont="1" applyBorder="1" applyAlignment="1">
      <alignment horizontal="justify" vertical="center" wrapText="1"/>
    </xf>
    <xf numFmtId="0" fontId="26" fillId="0" borderId="16" xfId="0" applyFont="1" applyBorder="1" applyAlignment="1">
      <alignment horizontal="justify" vertical="center" wrapText="1"/>
    </xf>
    <xf numFmtId="0" fontId="26" fillId="0" borderId="12" xfId="0" applyFont="1" applyBorder="1" applyAlignment="1">
      <alignment horizontal="justify" vertical="center" wrapText="1"/>
    </xf>
    <xf numFmtId="9" fontId="26" fillId="0" borderId="11" xfId="0" applyNumberFormat="1" applyFont="1" applyBorder="1" applyAlignment="1">
      <alignment horizontal="center" vertical="center"/>
    </xf>
    <xf numFmtId="9" fontId="26" fillId="0" borderId="12" xfId="0" applyNumberFormat="1" applyFont="1" applyBorder="1" applyAlignment="1">
      <alignment horizontal="center" vertical="center"/>
    </xf>
    <xf numFmtId="0" fontId="20" fillId="0" borderId="0" xfId="0" applyFont="1" applyAlignment="1">
      <alignment horizontal="justify" vertical="center" wrapText="1"/>
    </xf>
    <xf numFmtId="0" fontId="26" fillId="0" borderId="0" xfId="0" applyFont="1" applyAlignment="1">
      <alignment horizontal="justify" vertical="center" wrapText="1"/>
    </xf>
    <xf numFmtId="0" fontId="42" fillId="0" borderId="0" xfId="0" applyFont="1" applyAlignment="1">
      <alignment horizontal="justify" vertical="center" wrapText="1"/>
    </xf>
    <xf numFmtId="0" fontId="26" fillId="0" borderId="0" xfId="0" applyFont="1" applyAlignment="1">
      <alignment horizontal="left" vertical="center" wrapText="1"/>
    </xf>
    <xf numFmtId="0" fontId="61" fillId="0" borderId="0" xfId="0" applyFont="1" applyAlignment="1">
      <alignment horizontal="center" vertical="center" wrapText="1"/>
    </xf>
    <xf numFmtId="0" fontId="26" fillId="0" borderId="0" xfId="0" applyFont="1" applyAlignment="1">
      <alignment horizontal="justify" vertical="justify" wrapText="1"/>
    </xf>
    <xf numFmtId="0" fontId="62" fillId="41" borderId="11" xfId="0" applyFont="1" applyFill="1" applyBorder="1" applyAlignment="1">
      <alignment horizontal="center" vertical="center" wrapText="1"/>
    </xf>
    <xf numFmtId="0" fontId="62" fillId="41" borderId="16" xfId="0" applyFont="1" applyFill="1" applyBorder="1" applyAlignment="1">
      <alignment horizontal="center" vertical="center" wrapText="1"/>
    </xf>
    <xf numFmtId="0" fontId="62" fillId="41" borderId="12" xfId="0" applyFont="1" applyFill="1" applyBorder="1" applyAlignment="1">
      <alignment horizontal="center" vertical="center" wrapText="1"/>
    </xf>
    <xf numFmtId="0" fontId="62" fillId="41" borderId="11" xfId="0" applyFont="1" applyFill="1" applyBorder="1" applyAlignment="1">
      <alignment horizontal="center" vertical="center"/>
    </xf>
    <xf numFmtId="0" fontId="62" fillId="41" borderId="12" xfId="0" applyFont="1" applyFill="1" applyBorder="1" applyAlignment="1">
      <alignment horizontal="center" vertical="center"/>
    </xf>
    <xf numFmtId="0" fontId="62" fillId="0" borderId="0" xfId="0" applyFont="1" applyAlignment="1">
      <alignment horizontal="center" vertical="center"/>
    </xf>
    <xf numFmtId="0" fontId="20" fillId="0" borderId="0" xfId="49" applyAlignment="1">
      <alignment horizontal="justify" vertical="center" wrapText="1"/>
    </xf>
    <xf numFmtId="0" fontId="20" fillId="0" borderId="0" xfId="49" applyAlignment="1">
      <alignment horizontal="justify" vertical="justify" wrapText="1"/>
    </xf>
    <xf numFmtId="0" fontId="20" fillId="0" borderId="0" xfId="49" applyAlignment="1">
      <alignment horizontal="left" vertical="center" wrapText="1"/>
    </xf>
    <xf numFmtId="0" fontId="42" fillId="0" borderId="0" xfId="0" applyFont="1" applyAlignment="1">
      <alignment horizontal="left" vertical="top"/>
    </xf>
    <xf numFmtId="0" fontId="79" fillId="44" borderId="11" xfId="0" applyFont="1" applyFill="1" applyBorder="1" applyAlignment="1">
      <alignment horizontal="center" vertical="center"/>
    </xf>
    <xf numFmtId="0" fontId="79" fillId="44" borderId="12" xfId="0" applyFont="1" applyFill="1" applyBorder="1" applyAlignment="1">
      <alignment horizontal="center" vertical="center"/>
    </xf>
    <xf numFmtId="0" fontId="26" fillId="0" borderId="17" xfId="0" applyFont="1" applyBorder="1" applyAlignment="1">
      <alignment horizontal="justify" vertical="justify" wrapText="1"/>
    </xf>
    <xf numFmtId="0" fontId="26" fillId="0" borderId="11" xfId="0" applyFont="1" applyBorder="1" applyAlignment="1">
      <alignment horizontal="left" vertical="center"/>
    </xf>
    <xf numFmtId="0" fontId="26" fillId="0" borderId="12" xfId="0" applyFont="1" applyBorder="1" applyAlignment="1">
      <alignment horizontal="left" vertical="center"/>
    </xf>
    <xf numFmtId="0" fontId="88" fillId="0" borderId="0" xfId="0" applyFont="1" applyAlignment="1">
      <alignment horizontal="center" vertical="center"/>
    </xf>
    <xf numFmtId="0" fontId="31" fillId="45" borderId="11" xfId="0" applyFont="1" applyFill="1" applyBorder="1" applyAlignment="1">
      <alignment horizontal="left" vertical="center"/>
    </xf>
    <xf numFmtId="0" fontId="31" fillId="45" borderId="16" xfId="0" applyFont="1" applyFill="1" applyBorder="1" applyAlignment="1">
      <alignment horizontal="left" vertical="center"/>
    </xf>
    <xf numFmtId="0" fontId="42" fillId="0" borderId="0" xfId="0" applyFont="1" applyAlignment="1">
      <alignment horizontal="center" vertical="center"/>
    </xf>
    <xf numFmtId="0" fontId="26" fillId="0" borderId="0" xfId="0" applyFont="1" applyAlignment="1">
      <alignment horizontal="center" vertical="center"/>
    </xf>
    <xf numFmtId="0" fontId="55" fillId="0" borderId="0" xfId="0" applyFont="1" applyAlignment="1">
      <alignment horizontal="center"/>
    </xf>
    <xf numFmtId="0" fontId="59" fillId="41" borderId="0" xfId="0" applyFont="1" applyFill="1" applyAlignment="1">
      <alignment horizontal="center" vertical="center" wrapText="1"/>
    </xf>
    <xf numFmtId="0" fontId="22" fillId="0" borderId="0" xfId="49" applyFont="1" applyAlignment="1">
      <alignment horizontal="center" vertical="center"/>
    </xf>
    <xf numFmtId="0" fontId="20" fillId="0" borderId="0" xfId="49" quotePrefix="1" applyAlignment="1">
      <alignment horizontal="center" vertical="center"/>
    </xf>
    <xf numFmtId="14" fontId="100" fillId="50" borderId="30" xfId="0" applyNumberFormat="1" applyFont="1" applyFill="1" applyBorder="1" applyAlignment="1">
      <alignment horizontal="left" wrapText="1"/>
    </xf>
    <xf numFmtId="0" fontId="13" fillId="0" borderId="0" xfId="0" applyFont="1" applyAlignment="1">
      <alignment horizontal="center" vertical="center"/>
    </xf>
    <xf numFmtId="0" fontId="33" fillId="37" borderId="10" xfId="0" applyFont="1" applyFill="1" applyBorder="1" applyAlignment="1">
      <alignment horizontal="center" vertical="center" wrapText="1"/>
    </xf>
    <xf numFmtId="168" fontId="24" fillId="38" borderId="11" xfId="1" applyFont="1" applyFill="1" applyBorder="1" applyAlignment="1">
      <alignment horizontal="center" vertical="center" wrapText="1"/>
    </xf>
    <xf numFmtId="168" fontId="24" fillId="38" borderId="16" xfId="1" applyFont="1" applyFill="1" applyBorder="1" applyAlignment="1">
      <alignment horizontal="center" vertical="center" wrapText="1"/>
    </xf>
    <xf numFmtId="168" fontId="24" fillId="38" borderId="12" xfId="1" applyFont="1" applyFill="1" applyBorder="1" applyAlignment="1">
      <alignment horizontal="center" vertical="center" wrapText="1"/>
    </xf>
    <xf numFmtId="168" fontId="24" fillId="34" borderId="11" xfId="1" applyFont="1" applyFill="1" applyBorder="1" applyAlignment="1">
      <alignment horizontal="center" vertical="center" wrapText="1"/>
    </xf>
    <xf numFmtId="168" fontId="24" fillId="34" borderId="12" xfId="1" applyFont="1" applyFill="1" applyBorder="1" applyAlignment="1">
      <alignment horizontal="center" vertical="center" wrapText="1"/>
    </xf>
    <xf numFmtId="0" fontId="79" fillId="44" borderId="19" xfId="0" applyFont="1" applyFill="1" applyBorder="1" applyAlignment="1">
      <alignment horizontal="center" vertical="center"/>
    </xf>
    <xf numFmtId="0" fontId="79" fillId="44" borderId="17" xfId="0" applyFont="1" applyFill="1" applyBorder="1" applyAlignment="1">
      <alignment horizontal="center" vertical="center"/>
    </xf>
    <xf numFmtId="0" fontId="42" fillId="39" borderId="15" xfId="0" applyFont="1" applyFill="1" applyBorder="1" applyAlignment="1">
      <alignment vertical="center" wrapText="1"/>
    </xf>
    <xf numFmtId="0" fontId="42" fillId="39" borderId="0" xfId="0" applyFont="1" applyFill="1" applyAlignment="1">
      <alignment vertical="center" wrapText="1"/>
    </xf>
    <xf numFmtId="185" fontId="45" fillId="0" borderId="0" xfId="0" applyNumberFormat="1" applyFont="1"/>
  </cellXfs>
  <cellStyles count="5526">
    <cellStyle name="          _x000d__x000a_386grabber=VGA.3GR_x000d__x000a_" xfId="72" xr:uid="{3B2EA6D6-9AD7-4E38-AA9D-03B0DEA20466}"/>
    <cellStyle name="20% - Énfasis1" xfId="19" builtinId="30" customBuiltin="1"/>
    <cellStyle name="20% - Énfasis1 10" xfId="470" xr:uid="{E8B12611-2B32-484D-9097-94F2BF11EB99}"/>
    <cellStyle name="20% - Énfasis1 2" xfId="255" xr:uid="{63A05A2D-CC58-4C98-B368-019B97674A0E}"/>
    <cellStyle name="20% - Énfasis1 2 2" xfId="502" xr:uid="{5A9F0358-55E4-4CA0-A96C-E1B994DE5BF4}"/>
    <cellStyle name="20% - Énfasis1 3" xfId="279" xr:uid="{CE09DA13-E7CF-4CEE-94FD-2E746A3C6EBD}"/>
    <cellStyle name="20% - Énfasis1 3 2" xfId="526" xr:uid="{4E073783-269A-4913-A36D-B80254CA8DE2}"/>
    <cellStyle name="20% - Énfasis1 4" xfId="306" xr:uid="{0718493A-3C74-4412-B8CE-709C7EA49ACE}"/>
    <cellStyle name="20% - Énfasis1 4 2" xfId="555" xr:uid="{B54A1EF2-A1BA-48C3-83EB-910751A40865}"/>
    <cellStyle name="20% - Énfasis1 5" xfId="334" xr:uid="{EB8BBF71-2C34-4686-BC02-88ACD3CA5AB6}"/>
    <cellStyle name="20% - Énfasis1 5 2" xfId="581" xr:uid="{DCE99C7C-A815-40A4-8A71-37B28B4F8376}"/>
    <cellStyle name="20% - Énfasis1 6" xfId="358" xr:uid="{8A474200-7B1D-46EE-8980-2AB694CEA53E}"/>
    <cellStyle name="20% - Énfasis1 6 2" xfId="604" xr:uid="{7DA6EBF5-79FC-475C-BC30-928892182753}"/>
    <cellStyle name="20% - Énfasis1 7" xfId="383" xr:uid="{184DB76E-79C8-4AEF-8DCE-0290F640B894}"/>
    <cellStyle name="20% - Énfasis1 7 2" xfId="630" xr:uid="{24FF1FDB-451B-433C-A70F-7832ED559DAB}"/>
    <cellStyle name="20% - Énfasis1 8" xfId="411" xr:uid="{A501BB09-10F0-4B57-A5E1-4112F803223B}"/>
    <cellStyle name="20% - Énfasis1 8 2" xfId="658" xr:uid="{E8786138-8453-4E33-972B-7D9E31AEA029}"/>
    <cellStyle name="20% - Énfasis1 9" xfId="445" xr:uid="{5AC011C3-EFCF-4784-A94A-94CF5CA64AAB}"/>
    <cellStyle name="20% - Énfasis1 9 2" xfId="684" xr:uid="{B04C53FE-EAD6-4E33-ABA6-AA7CFC5CB7BC}"/>
    <cellStyle name="20% - Énfasis2" xfId="23" builtinId="34" customBuiltin="1"/>
    <cellStyle name="20% - Énfasis2 10" xfId="473" xr:uid="{EE6BAD8C-528F-4214-8BD5-E96C68355553}"/>
    <cellStyle name="20% - Énfasis2 2" xfId="258" xr:uid="{C397EE6B-12B8-46FD-8EB1-6EBC31A4A853}"/>
    <cellStyle name="20% - Énfasis2 2 2" xfId="505" xr:uid="{B525884C-892D-4FD9-A79D-C44438E03A9B}"/>
    <cellStyle name="20% - Énfasis2 3" xfId="282" xr:uid="{6E310E90-113F-4960-A6B8-D105B323A980}"/>
    <cellStyle name="20% - Énfasis2 3 2" xfId="529" xr:uid="{83FA7331-5F8A-4BB6-B22D-E6C78176706E}"/>
    <cellStyle name="20% - Énfasis2 4" xfId="309" xr:uid="{F8CA928E-A882-40C1-BFE7-DC4ADE429106}"/>
    <cellStyle name="20% - Énfasis2 4 2" xfId="558" xr:uid="{9914C6A7-D860-4526-B0C5-C4E918B61439}"/>
    <cellStyle name="20% - Énfasis2 5" xfId="337" xr:uid="{80AC2E8F-21DF-4CC9-A938-5B401BFFE59D}"/>
    <cellStyle name="20% - Énfasis2 5 2" xfId="584" xr:uid="{5ACDA82C-0BB1-4723-A5A0-42A511643748}"/>
    <cellStyle name="20% - Énfasis2 6" xfId="361" xr:uid="{99B84BEE-5D0A-4B8E-8B14-003AFD349D73}"/>
    <cellStyle name="20% - Énfasis2 6 2" xfId="607" xr:uid="{A7C61071-BCD3-4239-8B5D-797906362BBA}"/>
    <cellStyle name="20% - Énfasis2 7" xfId="386" xr:uid="{826F6F12-E344-4CA0-AB6C-E2B9660DBED6}"/>
    <cellStyle name="20% - Énfasis2 7 2" xfId="633" xr:uid="{DF27E8D0-756A-4DBF-A838-A799C369384F}"/>
    <cellStyle name="20% - Énfasis2 8" xfId="414" xr:uid="{2B7B7B9D-2DD6-4151-9A06-21F2445B6676}"/>
    <cellStyle name="20% - Énfasis2 8 2" xfId="661" xr:uid="{1BD48392-C4AA-4DFC-9D45-155A2BD09978}"/>
    <cellStyle name="20% - Énfasis2 9" xfId="448" xr:uid="{DB14B03E-0AC5-4D1C-840A-16A3940BDD49}"/>
    <cellStyle name="20% - Énfasis2 9 2" xfId="687" xr:uid="{25FBDA59-6D71-4194-8D02-1F3C2DB3D553}"/>
    <cellStyle name="20% - Énfasis3" xfId="27" builtinId="38" customBuiltin="1"/>
    <cellStyle name="20% - Énfasis3 10" xfId="476" xr:uid="{337EA1C8-5CC4-404D-8E55-9E612217CAD8}"/>
    <cellStyle name="20% - Énfasis3 2" xfId="261" xr:uid="{65B2BBDE-0CDA-4159-AFD6-9F03A32CED84}"/>
    <cellStyle name="20% - Énfasis3 2 2" xfId="508" xr:uid="{A482A785-8DB5-4C71-9673-EAA6C2854775}"/>
    <cellStyle name="20% - Énfasis3 3" xfId="285" xr:uid="{1516F720-A430-4EF1-B329-35D226193886}"/>
    <cellStyle name="20% - Énfasis3 3 2" xfId="532" xr:uid="{C83C4325-BDC4-4159-A25C-EF363C138F53}"/>
    <cellStyle name="20% - Énfasis3 4" xfId="312" xr:uid="{BBDD781D-2511-4E33-86F0-F48F4CE68C5F}"/>
    <cellStyle name="20% - Énfasis3 4 2" xfId="561" xr:uid="{77AD90AA-9BA9-4E99-9758-F3D238187DAF}"/>
    <cellStyle name="20% - Énfasis3 5" xfId="340" xr:uid="{AC76572C-3EB8-4D4C-B562-766385E7E374}"/>
    <cellStyle name="20% - Énfasis3 5 2" xfId="587" xr:uid="{EDD4280A-0AF0-4FA8-88AA-51DF0B831FC5}"/>
    <cellStyle name="20% - Énfasis3 6" xfId="364" xr:uid="{A37EF6AE-96E8-4E04-BC60-DA241B29F08D}"/>
    <cellStyle name="20% - Énfasis3 6 2" xfId="610" xr:uid="{4300F08C-2AFA-42B6-B7DC-22A9493F071B}"/>
    <cellStyle name="20% - Énfasis3 7" xfId="389" xr:uid="{ED24AD71-525B-4E4F-B941-31DA5C5FA7E5}"/>
    <cellStyle name="20% - Énfasis3 7 2" xfId="636" xr:uid="{FF4DB890-0099-4C59-9741-EFB0E65602F9}"/>
    <cellStyle name="20% - Énfasis3 8" xfId="417" xr:uid="{5BBFEC32-B1F3-4E05-B650-941B3CED65CE}"/>
    <cellStyle name="20% - Énfasis3 8 2" xfId="664" xr:uid="{E28B6A48-9096-4954-B989-11187A425505}"/>
    <cellStyle name="20% - Énfasis3 9" xfId="451" xr:uid="{1870C7EB-BCB3-41DD-84D3-96D3CB8390ED}"/>
    <cellStyle name="20% - Énfasis3 9 2" xfId="690" xr:uid="{43236E77-DE6A-4FE6-B056-88091EE80DB5}"/>
    <cellStyle name="20% - Énfasis4" xfId="31" builtinId="42" customBuiltin="1"/>
    <cellStyle name="20% - Énfasis4 10" xfId="479" xr:uid="{FEDE39BF-9FA9-4A2A-8D1F-D6C1AC3AD87B}"/>
    <cellStyle name="20% - Énfasis4 2" xfId="264" xr:uid="{DA8C6804-5444-4735-B598-5B45076556E8}"/>
    <cellStyle name="20% - Énfasis4 2 2" xfId="511" xr:uid="{30E93DED-8585-4DD8-BD9C-7B7D5B7AECC6}"/>
    <cellStyle name="20% - Énfasis4 3" xfId="288" xr:uid="{0AA8759C-C23A-451F-B24E-A1A35E251C01}"/>
    <cellStyle name="20% - Énfasis4 3 2" xfId="535" xr:uid="{243CD33E-12F4-4EFC-8B39-0BF3C18E6C5E}"/>
    <cellStyle name="20% - Énfasis4 4" xfId="315" xr:uid="{6FECF9B3-2D8A-46D9-80E3-3F38BE219656}"/>
    <cellStyle name="20% - Énfasis4 4 2" xfId="564" xr:uid="{BCD0AD4B-D906-47B5-BA41-EE3B6E64FFA2}"/>
    <cellStyle name="20% - Énfasis4 5" xfId="343" xr:uid="{29F5F842-F1D0-4EDC-8DBF-04FC5D47088C}"/>
    <cellStyle name="20% - Énfasis4 5 2" xfId="590" xr:uid="{CEB44038-638C-42A5-90B4-8CBDE7836FFB}"/>
    <cellStyle name="20% - Énfasis4 6" xfId="367" xr:uid="{BD8E4BD0-80A0-4AA3-ABA2-4E10D111C18C}"/>
    <cellStyle name="20% - Énfasis4 6 2" xfId="613" xr:uid="{33241DC4-DC37-4C73-8D71-DFD76F1938F6}"/>
    <cellStyle name="20% - Énfasis4 7" xfId="392" xr:uid="{ABFDFDFC-FC4D-48A3-B0B7-025813BA6328}"/>
    <cellStyle name="20% - Énfasis4 7 2" xfId="639" xr:uid="{0815F765-AEFB-4514-A956-9DF35D45C35A}"/>
    <cellStyle name="20% - Énfasis4 8" xfId="420" xr:uid="{857D49F2-1FCA-4639-9367-5DB9A7299801}"/>
    <cellStyle name="20% - Énfasis4 8 2" xfId="667" xr:uid="{87F96EE1-FC50-471A-B0B6-70DF90DE96C1}"/>
    <cellStyle name="20% - Énfasis4 9" xfId="454" xr:uid="{DEDE0019-13E5-45E2-8532-DE98B2DB94FF}"/>
    <cellStyle name="20% - Énfasis4 9 2" xfId="693" xr:uid="{BD3421A3-7CF1-4D68-B9A3-778AE262C4A4}"/>
    <cellStyle name="20% - Énfasis5" xfId="35" builtinId="46" customBuiltin="1"/>
    <cellStyle name="20% - Énfasis5 10" xfId="482" xr:uid="{3A5AE0D3-47A2-4775-B6F7-77F12B45EF16}"/>
    <cellStyle name="20% - Énfasis5 2" xfId="267" xr:uid="{A4F213EB-17FE-4841-B6B7-C07AB6ED1F5D}"/>
    <cellStyle name="20% - Énfasis5 2 2" xfId="514" xr:uid="{8E4C04CF-95B0-4A94-B785-48420E3F2DDB}"/>
    <cellStyle name="20% - Énfasis5 3" xfId="291" xr:uid="{FF298E6F-4370-4A60-8D96-357E8FDF8113}"/>
    <cellStyle name="20% - Énfasis5 3 2" xfId="538" xr:uid="{1E36A4FE-2258-4FFD-9499-C412B6468C34}"/>
    <cellStyle name="20% - Énfasis5 4" xfId="318" xr:uid="{D28F0201-2F32-422B-9FFE-FB9D3347ABB9}"/>
    <cellStyle name="20% - Énfasis5 4 2" xfId="567" xr:uid="{D743E4F9-FC26-41B5-9CAA-605CCD1FB212}"/>
    <cellStyle name="20% - Énfasis5 5" xfId="346" xr:uid="{1B4C4143-36DF-4768-83FA-DA7634EF53ED}"/>
    <cellStyle name="20% - Énfasis5 5 2" xfId="593" xr:uid="{43A8D1C6-90EF-4E50-A2A1-4D039CAD2091}"/>
    <cellStyle name="20% - Énfasis5 6" xfId="370" xr:uid="{78B57FDE-55B9-4FC7-AF0F-6D3DB84AC69B}"/>
    <cellStyle name="20% - Énfasis5 6 2" xfId="616" xr:uid="{637B6B39-8484-48DB-A965-BC2EA887707C}"/>
    <cellStyle name="20% - Énfasis5 7" xfId="395" xr:uid="{33C76B7F-5FD2-4498-8DE4-CB33B78F277C}"/>
    <cellStyle name="20% - Énfasis5 7 2" xfId="642" xr:uid="{6BD609A5-B92B-4860-B621-0D0EAF71CFDE}"/>
    <cellStyle name="20% - Énfasis5 8" xfId="423" xr:uid="{1DBAF293-8AB6-40DC-87CF-FFC7EA1C2C1C}"/>
    <cellStyle name="20% - Énfasis5 8 2" xfId="670" xr:uid="{9EB02ABF-3846-41FD-ABAB-EBF77F889CA8}"/>
    <cellStyle name="20% - Énfasis5 9" xfId="457" xr:uid="{0DE00508-A6B0-4DCF-B3DD-C0A404965CE0}"/>
    <cellStyle name="20% - Énfasis5 9 2" xfId="696" xr:uid="{0FA96A63-13FB-49A2-B103-3671B1FAA0BD}"/>
    <cellStyle name="20% - Énfasis6" xfId="39" builtinId="50" customBuiltin="1"/>
    <cellStyle name="20% - Énfasis6 10" xfId="485" xr:uid="{FA1F97A6-5CEE-4C1C-87E3-FE1A4480699A}"/>
    <cellStyle name="20% - Énfasis6 2" xfId="270" xr:uid="{64164A47-3D14-4366-ABEE-10CC5FEDB1F2}"/>
    <cellStyle name="20% - Énfasis6 2 2" xfId="517" xr:uid="{498292E1-9292-4D51-BFE7-543C7EFEB5D2}"/>
    <cellStyle name="20% - Énfasis6 3" xfId="294" xr:uid="{A3034AE1-0F02-4335-834E-7EF95158F18E}"/>
    <cellStyle name="20% - Énfasis6 3 2" xfId="541" xr:uid="{F919AF34-A985-4DDD-B34D-15134FA272C9}"/>
    <cellStyle name="20% - Énfasis6 4" xfId="321" xr:uid="{773F8F86-A000-469F-ACD4-F5FC6EB66A9C}"/>
    <cellStyle name="20% - Énfasis6 4 2" xfId="570" xr:uid="{7450DCC5-FBA8-4CF6-B694-32A3B430CF6F}"/>
    <cellStyle name="20% - Énfasis6 5" xfId="349" xr:uid="{83E886B0-2EE8-4472-9D5D-27193003D7A4}"/>
    <cellStyle name="20% - Énfasis6 5 2" xfId="596" xr:uid="{0BA6D079-36E7-424B-B228-4C8279870142}"/>
    <cellStyle name="20% - Énfasis6 6" xfId="373" xr:uid="{8230EEC8-89DC-41C1-8AEA-696448C45FFF}"/>
    <cellStyle name="20% - Énfasis6 6 2" xfId="619" xr:uid="{C8BD5108-FA2C-4B09-8375-6BB7F7566852}"/>
    <cellStyle name="20% - Énfasis6 7" xfId="398" xr:uid="{88934EEE-2596-446F-9AD9-A0F58A532D0D}"/>
    <cellStyle name="20% - Énfasis6 7 2" xfId="645" xr:uid="{5DDA12B3-35AA-4C67-9423-A8AB9CD52606}"/>
    <cellStyle name="20% - Énfasis6 8" xfId="426" xr:uid="{6773FE7B-046E-4E8B-9F9C-7C5E8688F416}"/>
    <cellStyle name="20% - Énfasis6 8 2" xfId="673" xr:uid="{02B0091D-FC75-418D-B5E0-E519EDCC290C}"/>
    <cellStyle name="20% - Énfasis6 9" xfId="460" xr:uid="{ADD03047-2FBD-4358-A5AE-4B7A168F7538}"/>
    <cellStyle name="20% - Énfasis6 9 2" xfId="699" xr:uid="{1E88D25D-F6D9-4FE8-B164-B7DBA8FD2518}"/>
    <cellStyle name="40% - Énfasis1" xfId="20" builtinId="31" customBuiltin="1"/>
    <cellStyle name="40% - Énfasis1 10" xfId="471" xr:uid="{C7F5E8B2-8493-4F1D-9E83-5C8638FE7862}"/>
    <cellStyle name="40% - Énfasis1 2" xfId="256" xr:uid="{DFECA044-2756-4D88-AB3D-54541FDA676B}"/>
    <cellStyle name="40% - Énfasis1 2 2" xfId="503" xr:uid="{6B6CF7FD-3AAA-4F22-9D9F-000BEFC32AFC}"/>
    <cellStyle name="40% - Énfasis1 3" xfId="280" xr:uid="{535E6DEE-C702-4091-93D2-DC7648FDFD62}"/>
    <cellStyle name="40% - Énfasis1 3 2" xfId="527" xr:uid="{8C8C2E61-09D8-4DEC-AC84-8BADB694E917}"/>
    <cellStyle name="40% - Énfasis1 4" xfId="307" xr:uid="{F7B2D3AD-F888-4D6B-83A3-1D497461F033}"/>
    <cellStyle name="40% - Énfasis1 4 2" xfId="556" xr:uid="{097ABC89-4C0F-4F29-9843-48EEF333E5B0}"/>
    <cellStyle name="40% - Énfasis1 5" xfId="335" xr:uid="{EC5445BE-3AA4-4C10-B9E3-E1C26E6C2723}"/>
    <cellStyle name="40% - Énfasis1 5 2" xfId="582" xr:uid="{40C216B9-6BD7-4865-9749-91891BE856C7}"/>
    <cellStyle name="40% - Énfasis1 6" xfId="359" xr:uid="{6F422D8C-58AD-4350-90E3-DE5570B95167}"/>
    <cellStyle name="40% - Énfasis1 6 2" xfId="605" xr:uid="{67C3A0C0-B166-45B6-8897-037733E39E81}"/>
    <cellStyle name="40% - Énfasis1 7" xfId="384" xr:uid="{A2554663-55A1-4392-A0EE-02AC15085F04}"/>
    <cellStyle name="40% - Énfasis1 7 2" xfId="631" xr:uid="{2DEC569E-B9B5-47E0-B0C4-015E4BFFF4EE}"/>
    <cellStyle name="40% - Énfasis1 8" xfId="412" xr:uid="{4DDC8CFD-842B-4072-956C-D0AE2A7B4B04}"/>
    <cellStyle name="40% - Énfasis1 8 2" xfId="659" xr:uid="{D2E523A3-C84A-4088-804D-B5A70A6F2322}"/>
    <cellStyle name="40% - Énfasis1 9" xfId="446" xr:uid="{CD5D4F5B-FB05-4C29-ACA0-1F5B69AD3F29}"/>
    <cellStyle name="40% - Énfasis1 9 2" xfId="685" xr:uid="{BFA00912-EC55-4102-BC72-4EF6B1AE9BBC}"/>
    <cellStyle name="40% - Énfasis2" xfId="24" builtinId="35" customBuiltin="1"/>
    <cellStyle name="40% - Énfasis2 10" xfId="474" xr:uid="{B47E0EDD-AFF1-4D0E-8C26-9A6FCE29C237}"/>
    <cellStyle name="40% - Énfasis2 2" xfId="259" xr:uid="{B2B91A6D-AD5F-4BDA-B061-96209B9F40FA}"/>
    <cellStyle name="40% - Énfasis2 2 2" xfId="506" xr:uid="{1A782A69-C49E-4685-A62F-1952FDA0C5E5}"/>
    <cellStyle name="40% - Énfasis2 3" xfId="283" xr:uid="{F1035A50-5AE1-4E29-AC24-4078E6C0AD0A}"/>
    <cellStyle name="40% - Énfasis2 3 2" xfId="530" xr:uid="{BC709CD5-91F9-42D1-8F4A-D28F2589BE6C}"/>
    <cellStyle name="40% - Énfasis2 4" xfId="310" xr:uid="{97578248-87B3-4186-B603-36346D49C35A}"/>
    <cellStyle name="40% - Énfasis2 4 2" xfId="559" xr:uid="{CB230A49-8712-4C03-A65C-4B201E90E833}"/>
    <cellStyle name="40% - Énfasis2 5" xfId="338" xr:uid="{386A67BA-9721-4329-924A-B580F068CB79}"/>
    <cellStyle name="40% - Énfasis2 5 2" xfId="585" xr:uid="{B55C51E1-03E0-420E-8A6C-3173FAB463D9}"/>
    <cellStyle name="40% - Énfasis2 6" xfId="362" xr:uid="{3CB38387-D248-431E-9F51-9218E986FF87}"/>
    <cellStyle name="40% - Énfasis2 6 2" xfId="608" xr:uid="{A3237CA6-5BD8-4ABB-A1E0-7C0D81246B54}"/>
    <cellStyle name="40% - Énfasis2 7" xfId="387" xr:uid="{A5D18333-900E-4133-A1B0-DF84E7316B9C}"/>
    <cellStyle name="40% - Énfasis2 7 2" xfId="634" xr:uid="{2BEA9EF1-497B-491A-96E0-6DCCEA9437DE}"/>
    <cellStyle name="40% - Énfasis2 8" xfId="415" xr:uid="{D8834618-4499-46F6-8D9C-C38E27AC07E5}"/>
    <cellStyle name="40% - Énfasis2 8 2" xfId="662" xr:uid="{90F826FD-A12A-46E8-9CE6-C3F6665293DB}"/>
    <cellStyle name="40% - Énfasis2 9" xfId="449" xr:uid="{3A076712-4C30-4568-9441-C7F132BABC62}"/>
    <cellStyle name="40% - Énfasis2 9 2" xfId="688" xr:uid="{34E59955-A526-4D38-AF93-D85935665935}"/>
    <cellStyle name="40% - Énfasis3" xfId="28" builtinId="39" customBuiltin="1"/>
    <cellStyle name="40% - Énfasis3 10" xfId="477" xr:uid="{BA80D068-72C8-4688-8D29-50AE6C09400E}"/>
    <cellStyle name="40% - Énfasis3 2" xfId="262" xr:uid="{26FCB26A-C77F-4565-9B17-29A2C2EFF75E}"/>
    <cellStyle name="40% - Énfasis3 2 2" xfId="509" xr:uid="{0D6A58F8-55AF-47A5-B6BB-62BCE9AF2675}"/>
    <cellStyle name="40% - Énfasis3 3" xfId="286" xr:uid="{1ADA8303-06FD-4791-BC19-666BC76572AA}"/>
    <cellStyle name="40% - Énfasis3 3 2" xfId="533" xr:uid="{C0CD5100-AE6B-4ABC-B31D-6402223B0199}"/>
    <cellStyle name="40% - Énfasis3 4" xfId="313" xr:uid="{9BB84551-60BA-469C-8944-6AAF23FCB748}"/>
    <cellStyle name="40% - Énfasis3 4 2" xfId="562" xr:uid="{81FA5168-C6E7-4321-98BD-636C56C95133}"/>
    <cellStyle name="40% - Énfasis3 5" xfId="341" xr:uid="{F293FE10-ACA0-49B8-8AD9-217F2E678EB1}"/>
    <cellStyle name="40% - Énfasis3 5 2" xfId="588" xr:uid="{71410B45-FA2D-473A-9E93-4CBE8AE1DC7B}"/>
    <cellStyle name="40% - Énfasis3 6" xfId="365" xr:uid="{1CF00868-0807-42B8-ACD9-384B9DBE2491}"/>
    <cellStyle name="40% - Énfasis3 6 2" xfId="611" xr:uid="{A8A853EF-BFCD-4B77-B6FA-E77EA21060E5}"/>
    <cellStyle name="40% - Énfasis3 7" xfId="390" xr:uid="{A2A529C4-32E3-4085-98C0-ABF6EA4CFC0A}"/>
    <cellStyle name="40% - Énfasis3 7 2" xfId="637" xr:uid="{2004FC1E-AAF7-41C2-B5EF-6316364979DE}"/>
    <cellStyle name="40% - Énfasis3 8" xfId="418" xr:uid="{A6152A27-DF88-473D-9F4E-35EA74AC35A4}"/>
    <cellStyle name="40% - Énfasis3 8 2" xfId="665" xr:uid="{69B4F663-64EA-4636-95E8-FFA7262046D7}"/>
    <cellStyle name="40% - Énfasis3 9" xfId="452" xr:uid="{A4E04E27-CE2B-4C6E-9137-B04B2494F3EC}"/>
    <cellStyle name="40% - Énfasis3 9 2" xfId="691" xr:uid="{14EB63D3-2069-4710-85CA-17AFEC3AF8D1}"/>
    <cellStyle name="40% - Énfasis4" xfId="32" builtinId="43" customBuiltin="1"/>
    <cellStyle name="40% - Énfasis4 10" xfId="480" xr:uid="{1D34C604-8743-4133-8DAB-FB058191E3B8}"/>
    <cellStyle name="40% - Énfasis4 2" xfId="265" xr:uid="{125C660B-3D63-40E8-9BDB-F164DCB4F2AD}"/>
    <cellStyle name="40% - Énfasis4 2 2" xfId="512" xr:uid="{7FAC0B78-5FEF-492C-A8F8-3C03AAA34075}"/>
    <cellStyle name="40% - Énfasis4 3" xfId="289" xr:uid="{1D6DE6A9-41D7-44C4-85E9-B21FE10EC6C1}"/>
    <cellStyle name="40% - Énfasis4 3 2" xfId="536" xr:uid="{2F059A5D-0091-496F-90D1-114813C789F8}"/>
    <cellStyle name="40% - Énfasis4 4" xfId="316" xr:uid="{64665EFF-831F-4E9A-8973-A671E8F23EF1}"/>
    <cellStyle name="40% - Énfasis4 4 2" xfId="565" xr:uid="{C2240028-4BE5-4E8B-A546-64D9099EBDE1}"/>
    <cellStyle name="40% - Énfasis4 5" xfId="344" xr:uid="{BEAD6AE4-5588-4CDB-98A8-CF73316676AE}"/>
    <cellStyle name="40% - Énfasis4 5 2" xfId="591" xr:uid="{3E168BB8-D12A-49A1-A8FF-DAEBAB93F2C0}"/>
    <cellStyle name="40% - Énfasis4 6" xfId="368" xr:uid="{5A2002E9-91CC-41B0-8975-4CF26C29253A}"/>
    <cellStyle name="40% - Énfasis4 6 2" xfId="614" xr:uid="{9B07ECB3-59E2-4C5A-B512-25742E91DBC2}"/>
    <cellStyle name="40% - Énfasis4 7" xfId="393" xr:uid="{D3FD6DD6-F9F6-4CE5-B96C-A320F032D1D3}"/>
    <cellStyle name="40% - Énfasis4 7 2" xfId="640" xr:uid="{31727E76-160D-420E-BE6E-6A971A7D601D}"/>
    <cellStyle name="40% - Énfasis4 8" xfId="421" xr:uid="{BBA9C277-2F4D-41ED-9CE7-143515CD643A}"/>
    <cellStyle name="40% - Énfasis4 8 2" xfId="668" xr:uid="{DBD9F549-E9B6-4003-B605-91056B6A1EB2}"/>
    <cellStyle name="40% - Énfasis4 9" xfId="455" xr:uid="{37651B31-5687-4874-8AEE-96635EC00078}"/>
    <cellStyle name="40% - Énfasis4 9 2" xfId="694" xr:uid="{D27ABC72-0238-498E-B1CA-65C01692CCAB}"/>
    <cellStyle name="40% - Énfasis5" xfId="36" builtinId="47" customBuiltin="1"/>
    <cellStyle name="40% - Énfasis5 10" xfId="483" xr:uid="{C5155DFC-BB88-4084-B1A7-06DC5AFF4193}"/>
    <cellStyle name="40% - Énfasis5 2" xfId="268" xr:uid="{D40F7478-8D0D-41B0-9F49-DAB00D188305}"/>
    <cellStyle name="40% - Énfasis5 2 2" xfId="515" xr:uid="{12BFDA56-C6DE-4C4D-8AB4-8BF0E9331964}"/>
    <cellStyle name="40% - Énfasis5 3" xfId="292" xr:uid="{7652578F-063B-4C3E-8B7E-615504DD7616}"/>
    <cellStyle name="40% - Énfasis5 3 2" xfId="539" xr:uid="{100F2CF0-6FBB-46D4-9AA2-10883757C216}"/>
    <cellStyle name="40% - Énfasis5 4" xfId="319" xr:uid="{5463E08E-1CD6-4FEE-91BD-8DDE0AABBF60}"/>
    <cellStyle name="40% - Énfasis5 4 2" xfId="568" xr:uid="{B26A3A66-F2E4-434C-843B-D45A9CEC1F03}"/>
    <cellStyle name="40% - Énfasis5 5" xfId="347" xr:uid="{99462CDB-52C2-46E6-8E88-1E7538FA199C}"/>
    <cellStyle name="40% - Énfasis5 5 2" xfId="594" xr:uid="{959703C9-7AF2-4232-A5FC-300879B9DDBD}"/>
    <cellStyle name="40% - Énfasis5 6" xfId="371" xr:uid="{3C7C7402-4494-40EC-BCD6-8F67F14516EC}"/>
    <cellStyle name="40% - Énfasis5 6 2" xfId="617" xr:uid="{CAA7AFF8-ADFD-4BFB-A337-F759E78F5C1E}"/>
    <cellStyle name="40% - Énfasis5 7" xfId="396" xr:uid="{B0023E20-E0EB-4A7B-A067-4EB7DD8DA84C}"/>
    <cellStyle name="40% - Énfasis5 7 2" xfId="643" xr:uid="{63FAEDA6-25F2-4D9E-8733-EA1A6D87233C}"/>
    <cellStyle name="40% - Énfasis5 8" xfId="424" xr:uid="{947454E6-2F2F-441C-8E3D-2DC4B153FA89}"/>
    <cellStyle name="40% - Énfasis5 8 2" xfId="671" xr:uid="{3FA14FCF-8051-409B-BC6C-F73F970EAF44}"/>
    <cellStyle name="40% - Énfasis5 9" xfId="458" xr:uid="{1D4ABD95-A247-4F82-B407-57A7FF6A6A69}"/>
    <cellStyle name="40% - Énfasis5 9 2" xfId="697" xr:uid="{0A6495B2-1F4B-400B-9314-AE26ECAB7E82}"/>
    <cellStyle name="40% - Énfasis6" xfId="40" builtinId="51" customBuiltin="1"/>
    <cellStyle name="40% - Énfasis6 10" xfId="486" xr:uid="{40068C35-D193-4E8A-9CA3-E6CB1DEE0B51}"/>
    <cellStyle name="40% - Énfasis6 2" xfId="271" xr:uid="{6AA8F2C5-3572-4E89-AC22-B73C8FDCBF41}"/>
    <cellStyle name="40% - Énfasis6 2 2" xfId="518" xr:uid="{5C1F3E86-F7EF-4497-8F22-BA670EDD4603}"/>
    <cellStyle name="40% - Énfasis6 3" xfId="295" xr:uid="{78598B9C-83AB-4C09-87DC-BDF8FD37D80F}"/>
    <cellStyle name="40% - Énfasis6 3 2" xfId="542" xr:uid="{9EB4DA4C-D647-43F0-8821-A9C82C039DFC}"/>
    <cellStyle name="40% - Énfasis6 4" xfId="322" xr:uid="{CFE8C5FB-0F22-4BE2-A2D3-81540B99760C}"/>
    <cellStyle name="40% - Énfasis6 4 2" xfId="571" xr:uid="{DB2083DC-F4AB-440E-83AD-138DD591BA6D}"/>
    <cellStyle name="40% - Énfasis6 5" xfId="350" xr:uid="{60443672-A516-41EC-91DD-883191B032BC}"/>
    <cellStyle name="40% - Énfasis6 5 2" xfId="597" xr:uid="{AB6B26BE-ADE4-4A38-8446-F507AF4B5BA3}"/>
    <cellStyle name="40% - Énfasis6 6" xfId="374" xr:uid="{DFD1439E-172F-4646-B89F-0DA902BAB1EA}"/>
    <cellStyle name="40% - Énfasis6 6 2" xfId="620" xr:uid="{61391931-D28C-4EE5-BEF8-6B39C7985AC7}"/>
    <cellStyle name="40% - Énfasis6 7" xfId="399" xr:uid="{0EB469AD-0231-49D8-B320-20CE57E76DBA}"/>
    <cellStyle name="40% - Énfasis6 7 2" xfId="646" xr:uid="{0E107FBF-DAB3-46BE-8A7D-2222B6F0CEFE}"/>
    <cellStyle name="40% - Énfasis6 8" xfId="427" xr:uid="{EB4E343A-706C-4E50-942E-F990E775BFDF}"/>
    <cellStyle name="40% - Énfasis6 8 2" xfId="674" xr:uid="{D2292B56-96C0-4009-AE4C-E8ED57C5AEFA}"/>
    <cellStyle name="40% - Énfasis6 9" xfId="461" xr:uid="{4C0E50C2-F55B-45F8-A801-13542C0F571E}"/>
    <cellStyle name="40% - Énfasis6 9 2" xfId="700" xr:uid="{4C42FA54-4E97-43DC-A990-DBFA59AEC5E3}"/>
    <cellStyle name="60% - Énfasis1" xfId="21" builtinId="32" customBuiltin="1"/>
    <cellStyle name="60% - Énfasis1 10" xfId="472" xr:uid="{97F098D4-2E47-418D-8BBA-C54704D62C3C}"/>
    <cellStyle name="60% - Énfasis1 11" xfId="232" xr:uid="{23EB9BC3-C1EC-4829-93A0-5324A1B4D676}"/>
    <cellStyle name="60% - Énfasis1 2" xfId="257" xr:uid="{1697A670-26DE-4CB1-B430-EC5C609283C3}"/>
    <cellStyle name="60% - Énfasis1 2 2" xfId="433" xr:uid="{B1562642-10BD-4F30-BC5F-4517F7614082}"/>
    <cellStyle name="60% - Énfasis1 2 3" xfId="504" xr:uid="{B7949F76-E815-4A74-8C8B-0DF2A5C0BDE1}"/>
    <cellStyle name="60% - Énfasis1 3" xfId="281" xr:uid="{1F728211-C02B-46DE-8228-22CB11D1E76B}"/>
    <cellStyle name="60% - Énfasis1 3 2" xfId="528" xr:uid="{2A5012F3-5E02-4C93-9628-5DC18FE94A11}"/>
    <cellStyle name="60% - Énfasis1 4" xfId="308" xr:uid="{1D607720-5C00-4C2B-843E-9BD2CC58B322}"/>
    <cellStyle name="60% - Énfasis1 4 2" xfId="557" xr:uid="{7899D41D-89FF-4A92-9927-A5EE504F3B15}"/>
    <cellStyle name="60% - Énfasis1 5" xfId="336" xr:uid="{5F7F373D-4B38-48AD-80AD-01A436ECF90E}"/>
    <cellStyle name="60% - Énfasis1 5 2" xfId="583" xr:uid="{1B2F1427-B52C-4A7B-A08B-CC6FEEE3767E}"/>
    <cellStyle name="60% - Énfasis1 6" xfId="360" xr:uid="{80006D95-6458-441B-A826-11BA44815DDE}"/>
    <cellStyle name="60% - Énfasis1 6 2" xfId="606" xr:uid="{C0E9B87B-3780-43D5-A218-0BA425C8295A}"/>
    <cellStyle name="60% - Énfasis1 7" xfId="385" xr:uid="{CF5F523D-46B7-44E0-BA87-4DCD1108CFD4}"/>
    <cellStyle name="60% - Énfasis1 7 2" xfId="632" xr:uid="{8D41BBD5-4AE6-496D-9FFC-4466048DFB52}"/>
    <cellStyle name="60% - Énfasis1 8" xfId="413" xr:uid="{848D55D3-0FCA-4BA6-A225-47BB16E6F915}"/>
    <cellStyle name="60% - Énfasis1 8 2" xfId="660" xr:uid="{902AD96B-B9A0-4F50-970E-89154F669A66}"/>
    <cellStyle name="60% - Énfasis1 9" xfId="447" xr:uid="{9EA5D3EB-EF6A-44D3-B788-9F8398594D98}"/>
    <cellStyle name="60% - Énfasis1 9 2" xfId="686" xr:uid="{CA34D5B1-8508-4FBD-AE14-AD716DC9A020}"/>
    <cellStyle name="60% - Énfasis2" xfId="25" builtinId="36" customBuiltin="1"/>
    <cellStyle name="60% - Énfasis2 10" xfId="475" xr:uid="{F1DAFB46-4A3F-4039-A363-A028C7BCA9E3}"/>
    <cellStyle name="60% - Énfasis2 11" xfId="234" xr:uid="{25C070CB-FEC2-472F-9B06-82905EB7C050}"/>
    <cellStyle name="60% - Énfasis2 2" xfId="260" xr:uid="{B661EFAE-A3FC-4B3E-BD73-CBD55E618B96}"/>
    <cellStyle name="60% - Énfasis2 2 2" xfId="434" xr:uid="{E62A076E-7131-49C1-9835-79B3125C6B7E}"/>
    <cellStyle name="60% - Énfasis2 2 3" xfId="507" xr:uid="{B31A5EAC-A7D3-4CE2-B21D-65B6213B10E8}"/>
    <cellStyle name="60% - Énfasis2 3" xfId="284" xr:uid="{A4068774-9D07-49A0-AD5B-49E9A861155B}"/>
    <cellStyle name="60% - Énfasis2 3 2" xfId="531" xr:uid="{AF39FD95-1708-4E4C-A823-EE01F2D9EC03}"/>
    <cellStyle name="60% - Énfasis2 4" xfId="311" xr:uid="{9BFF40AB-D52A-420B-B445-138F00FB7B11}"/>
    <cellStyle name="60% - Énfasis2 4 2" xfId="560" xr:uid="{DEB70408-0834-404D-9762-64CD74B5B930}"/>
    <cellStyle name="60% - Énfasis2 5" xfId="339" xr:uid="{7A153352-A830-41D5-8302-6D527473E2D3}"/>
    <cellStyle name="60% - Énfasis2 5 2" xfId="586" xr:uid="{1BAC0743-2510-4C9B-AD5F-9D891E5559ED}"/>
    <cellStyle name="60% - Énfasis2 6" xfId="363" xr:uid="{2DF4B362-4A03-4FDE-884E-C346F7DCDBAA}"/>
    <cellStyle name="60% - Énfasis2 6 2" xfId="609" xr:uid="{7A9FF342-77A9-4A60-8372-EE418B614815}"/>
    <cellStyle name="60% - Énfasis2 7" xfId="388" xr:uid="{E687BB90-3FC1-4281-B55D-322ABD937B18}"/>
    <cellStyle name="60% - Énfasis2 7 2" xfId="635" xr:uid="{46FA467F-5A76-4B89-B499-447995BC97B7}"/>
    <cellStyle name="60% - Énfasis2 8" xfId="416" xr:uid="{1F58538A-12B6-4BC1-9DF8-D9D9E0A8A0DA}"/>
    <cellStyle name="60% - Énfasis2 8 2" xfId="663" xr:uid="{14A9979C-75D7-4892-81BF-D61E0922F396}"/>
    <cellStyle name="60% - Énfasis2 9" xfId="450" xr:uid="{4CD43E72-8567-499C-BEAE-B9C142ACC878}"/>
    <cellStyle name="60% - Énfasis2 9 2" xfId="689" xr:uid="{8A6D534F-0E56-45FD-AC1A-6C7DFDE38462}"/>
    <cellStyle name="60% - Énfasis3" xfId="29" builtinId="40" customBuiltin="1"/>
    <cellStyle name="60% - Énfasis3 10" xfId="478" xr:uid="{1CEE1497-1944-4EA4-A3F5-F2348B563457}"/>
    <cellStyle name="60% - Énfasis3 11" xfId="235" xr:uid="{0A302BA5-1E0C-469A-9A3C-9715FAF778CB}"/>
    <cellStyle name="60% - Énfasis3 2" xfId="263" xr:uid="{1F50DB57-F422-42CB-9D9B-FE3ADDE7B59C}"/>
    <cellStyle name="60% - Énfasis3 2 2" xfId="436" xr:uid="{B1EBD45F-353A-4EB4-B368-91C019A7764D}"/>
    <cellStyle name="60% - Énfasis3 2 3" xfId="510" xr:uid="{B84C5225-27EE-4624-ABCF-62287E0C1B0A}"/>
    <cellStyle name="60% - Énfasis3 3" xfId="287" xr:uid="{0B61F403-8F5E-4E93-B3C5-36EF28117353}"/>
    <cellStyle name="60% - Énfasis3 3 2" xfId="534" xr:uid="{0DC59E32-83CA-434F-9EE5-7CD585A9ABE6}"/>
    <cellStyle name="60% - Énfasis3 4" xfId="314" xr:uid="{6621BD08-84FF-4035-90A5-DB283F091E56}"/>
    <cellStyle name="60% - Énfasis3 4 2" xfId="563" xr:uid="{5E01EBA0-C08E-46CE-A82A-348964F79D4F}"/>
    <cellStyle name="60% - Énfasis3 5" xfId="342" xr:uid="{5F0CA8AE-9C5F-4B3A-8224-0BA5F3509882}"/>
    <cellStyle name="60% - Énfasis3 5 2" xfId="589" xr:uid="{BE6EDF87-5DC7-4101-9DD6-A9865ED2D570}"/>
    <cellStyle name="60% - Énfasis3 6" xfId="366" xr:uid="{9C081ED1-B962-4551-9AF1-68802FB1B3C4}"/>
    <cellStyle name="60% - Énfasis3 6 2" xfId="612" xr:uid="{BF4FA2C5-9A72-4DCE-BDC9-B6E0B894BE82}"/>
    <cellStyle name="60% - Énfasis3 7" xfId="391" xr:uid="{8464B134-058E-40A5-AAFB-D20B3C7F646D}"/>
    <cellStyle name="60% - Énfasis3 7 2" xfId="638" xr:uid="{B0AF2C25-C4E5-4DF3-9294-D368A24476E2}"/>
    <cellStyle name="60% - Énfasis3 8" xfId="419" xr:uid="{C07626B8-184C-45CD-8617-DBC4ACCA71D1}"/>
    <cellStyle name="60% - Énfasis3 8 2" xfId="666" xr:uid="{8C857B87-0D53-47D5-9F90-560BE82BE6B6}"/>
    <cellStyle name="60% - Énfasis3 9" xfId="453" xr:uid="{07D2F44C-987E-44C2-A594-63221B8E9635}"/>
    <cellStyle name="60% - Énfasis3 9 2" xfId="692" xr:uid="{D1AB0E0C-DE9A-4740-880C-3AD4699EE36D}"/>
    <cellStyle name="60% - Énfasis4" xfId="33" builtinId="44" customBuiltin="1"/>
    <cellStyle name="60% - Énfasis4 10" xfId="481" xr:uid="{52EF56E7-315E-4DDF-B4BA-A79E96D624FE}"/>
    <cellStyle name="60% - Énfasis4 11" xfId="236" xr:uid="{B39AFB14-94E5-452F-9E25-CA4E4FA6F830}"/>
    <cellStyle name="60% - Énfasis4 2" xfId="266" xr:uid="{C5B0343F-6C74-49FF-998F-9E3E6574E149}"/>
    <cellStyle name="60% - Énfasis4 2 2" xfId="437" xr:uid="{B9414C73-D835-4524-8CA8-0E0042CE637B}"/>
    <cellStyle name="60% - Énfasis4 2 3" xfId="513" xr:uid="{55CD9DE1-6341-4622-89C3-15D4F48D9681}"/>
    <cellStyle name="60% - Énfasis4 3" xfId="290" xr:uid="{DF60786D-80F9-4EB9-9F08-AAA4BEC07093}"/>
    <cellStyle name="60% - Énfasis4 3 2" xfId="537" xr:uid="{02C79667-00A4-43C7-83E2-A14A5959B109}"/>
    <cellStyle name="60% - Énfasis4 4" xfId="317" xr:uid="{1766677C-AF3A-4B38-AFA8-E1C2BBBE7E91}"/>
    <cellStyle name="60% - Énfasis4 4 2" xfId="566" xr:uid="{153EEE56-75CE-46D6-9AD0-3053D03CC193}"/>
    <cellStyle name="60% - Énfasis4 5" xfId="345" xr:uid="{F37A56F5-AB27-4F0E-B931-B6A006288006}"/>
    <cellStyle name="60% - Énfasis4 5 2" xfId="592" xr:uid="{D9B05D79-DF69-4F0C-A073-3FB04544D6D0}"/>
    <cellStyle name="60% - Énfasis4 6" xfId="369" xr:uid="{EFF7CCE1-3493-4AEA-92F6-48738817762B}"/>
    <cellStyle name="60% - Énfasis4 6 2" xfId="615" xr:uid="{E645E588-F6F5-4F3E-B458-2934D6C9A515}"/>
    <cellStyle name="60% - Énfasis4 7" xfId="394" xr:uid="{1A30D32E-FE83-431A-96EC-582E91A534CA}"/>
    <cellStyle name="60% - Énfasis4 7 2" xfId="641" xr:uid="{EC38911D-1EF7-4FD7-9629-14EDEE4A68B8}"/>
    <cellStyle name="60% - Énfasis4 8" xfId="422" xr:uid="{12669AD1-E123-4500-9ED6-E77481CAB026}"/>
    <cellStyle name="60% - Énfasis4 8 2" xfId="669" xr:uid="{C35B64EC-EAB3-440A-951F-FBD2EB3FC634}"/>
    <cellStyle name="60% - Énfasis4 9" xfId="456" xr:uid="{6A0FF251-4DF2-46B3-A357-3534E8C37C7A}"/>
    <cellStyle name="60% - Énfasis4 9 2" xfId="695" xr:uid="{89B8CB92-86EE-4BAA-8851-3E51288AD229}"/>
    <cellStyle name="60% - Énfasis5" xfId="37" builtinId="48" customBuiltin="1"/>
    <cellStyle name="60% - Énfasis5 10" xfId="484" xr:uid="{8327D3DC-117F-4982-9ACA-FCFC14A19CBF}"/>
    <cellStyle name="60% - Énfasis5 11" xfId="237" xr:uid="{D20E9750-1CAC-49B0-B020-CBF3E7B09A5E}"/>
    <cellStyle name="60% - Énfasis5 2" xfId="269" xr:uid="{911E5807-1969-48D0-9811-561428D02190}"/>
    <cellStyle name="60% - Énfasis5 2 2" xfId="438" xr:uid="{02518485-3AE8-4777-8B2E-03124A132759}"/>
    <cellStyle name="60% - Énfasis5 2 3" xfId="516" xr:uid="{3C317AD8-D82A-424C-A8FE-AF0B6F9FAD25}"/>
    <cellStyle name="60% - Énfasis5 3" xfId="293" xr:uid="{05ECF58C-E7F9-49CA-AEA2-B9DCDB48D7D9}"/>
    <cellStyle name="60% - Énfasis5 3 2" xfId="540" xr:uid="{58001EEE-6A55-42E5-9E3A-0ED36E81C703}"/>
    <cellStyle name="60% - Énfasis5 4" xfId="320" xr:uid="{A2F54956-6696-4EFA-A8F0-3B704F014EB2}"/>
    <cellStyle name="60% - Énfasis5 4 2" xfId="569" xr:uid="{07220733-84C5-4D5F-9DA9-66EB4B7A7B60}"/>
    <cellStyle name="60% - Énfasis5 5" xfId="348" xr:uid="{1E93763B-B14A-4912-B216-BFBA20A747F3}"/>
    <cellStyle name="60% - Énfasis5 5 2" xfId="595" xr:uid="{3C2FC7AE-3541-43B9-9B2B-76A333853F53}"/>
    <cellStyle name="60% - Énfasis5 6" xfId="372" xr:uid="{A5802901-8A22-4509-9B17-BD494FB88EE0}"/>
    <cellStyle name="60% - Énfasis5 6 2" xfId="618" xr:uid="{4C9EC4C9-380F-4D25-BCBB-0BFB8EB9578D}"/>
    <cellStyle name="60% - Énfasis5 7" xfId="397" xr:uid="{24E41025-96D6-42B2-BA6D-E0B8E01D1673}"/>
    <cellStyle name="60% - Énfasis5 7 2" xfId="644" xr:uid="{1259A0A2-AFCF-46F6-9340-F1FF64C02E07}"/>
    <cellStyle name="60% - Énfasis5 8" xfId="425" xr:uid="{41145CB9-3191-4864-AD0C-3D0CA1B83DF7}"/>
    <cellStyle name="60% - Énfasis5 8 2" xfId="672" xr:uid="{43D4F95C-4D46-4265-982C-B38127BE2B59}"/>
    <cellStyle name="60% - Énfasis5 9" xfId="459" xr:uid="{BA799698-53DF-49F2-9BC4-8ADDB3B33372}"/>
    <cellStyle name="60% - Énfasis5 9 2" xfId="698" xr:uid="{E512EC01-0801-4B2A-81B5-84E5A3267508}"/>
    <cellStyle name="60% - Énfasis6" xfId="41" builtinId="52" customBuiltin="1"/>
    <cellStyle name="60% - Énfasis6 10" xfId="487" xr:uid="{A09CF1A8-2355-46E7-A674-09E7B0978C67}"/>
    <cellStyle name="60% - Énfasis6 11" xfId="238" xr:uid="{B0041B20-17CC-4949-B11A-96013E7BD789}"/>
    <cellStyle name="60% - Énfasis6 2" xfId="272" xr:uid="{1C9E67CA-4F10-48B5-8C7B-C42137312137}"/>
    <cellStyle name="60% - Énfasis6 2 2" xfId="439" xr:uid="{417CE3B7-463C-4343-B02D-8A5DE42DDEF4}"/>
    <cellStyle name="60% - Énfasis6 2 3" xfId="519" xr:uid="{7461B3C4-EBA5-4705-9221-FB59E06DFC38}"/>
    <cellStyle name="60% - Énfasis6 3" xfId="296" xr:uid="{1FD5C816-32D7-4BB1-AA18-9D4612598860}"/>
    <cellStyle name="60% - Énfasis6 3 2" xfId="543" xr:uid="{58CF7BE4-21D3-4926-86F5-0AAB5C1DB2E3}"/>
    <cellStyle name="60% - Énfasis6 4" xfId="323" xr:uid="{95A664EE-BC07-4BDF-B90F-0226C721DF80}"/>
    <cellStyle name="60% - Énfasis6 4 2" xfId="572" xr:uid="{A4882FA4-8241-4B65-9EEF-9E012A3EC23D}"/>
    <cellStyle name="60% - Énfasis6 5" xfId="351" xr:uid="{E76C794D-252F-478C-B52F-FB37C9453FEA}"/>
    <cellStyle name="60% - Énfasis6 5 2" xfId="598" xr:uid="{08A21B5F-6A88-40D3-8593-3F7B978E1308}"/>
    <cellStyle name="60% - Énfasis6 6" xfId="375" xr:uid="{586BDC03-1610-4D7C-9604-C87A586A4263}"/>
    <cellStyle name="60% - Énfasis6 6 2" xfId="621" xr:uid="{5855059F-E14E-45CE-A72E-795D774A64BA}"/>
    <cellStyle name="60% - Énfasis6 7" xfId="400" xr:uid="{4A0DB105-6FA7-4B58-AB26-B3C94EC10812}"/>
    <cellStyle name="60% - Énfasis6 7 2" xfId="647" xr:uid="{3B29DD3B-3779-43B5-890D-04FB88B6693B}"/>
    <cellStyle name="60% - Énfasis6 8" xfId="428" xr:uid="{C8D7DDC5-2359-49C4-B57A-BA67D34C4560}"/>
    <cellStyle name="60% - Énfasis6 8 2" xfId="675" xr:uid="{915F6055-B2AD-4C9A-BCCE-857E7FFBD4E6}"/>
    <cellStyle name="60% - Énfasis6 9" xfId="462" xr:uid="{34630A19-164E-4E8D-B403-A4951EB6E17B}"/>
    <cellStyle name="60% - Énfasis6 9 2" xfId="701" xr:uid="{E705C728-9EC8-4B7F-8EC6-0DB27279BC7E}"/>
    <cellStyle name="Bueno" xfId="6" builtinId="26" customBuiltin="1"/>
    <cellStyle name="Cálculo" xfId="11" builtinId="22" customBuiltin="1"/>
    <cellStyle name="Celda de comprobación" xfId="13" builtinId="23" customBuiltin="1"/>
    <cellStyle name="Celda vinculada" xfId="12" builtinId="24" customBuiltin="1"/>
    <cellStyle name="Comma [0] 2" xfId="81" xr:uid="{3C76A092-425A-47B1-ACD3-96A7ECF5DC5D}"/>
    <cellStyle name="Comma [0] 2 2" xfId="83" xr:uid="{2FF0821A-6563-4AEB-A741-B2E2DDC915E7}"/>
    <cellStyle name="Comma [0] 2 2 2" xfId="113" xr:uid="{E15CA6FF-2891-4E1D-AE10-8C732E79EC7A}"/>
    <cellStyle name="Comma [0] 2 2 2 2" xfId="208" xr:uid="{9138560E-2BBC-4676-8347-16DD6D234CD7}"/>
    <cellStyle name="Comma [0] 2 2 2 2 2" xfId="1010" xr:uid="{310C487D-8530-4D2B-AC50-B694C1E79B44}"/>
    <cellStyle name="Comma [0] 2 2 2 2 2 2" xfId="1430" xr:uid="{9087BB6E-605E-48FD-B9C3-C01C0734FEB1}"/>
    <cellStyle name="Comma [0] 2 2 2 2 2 2 2" xfId="2614" xr:uid="{C9FA4FD1-B316-4E9B-AA5F-19E0307A0E3F}"/>
    <cellStyle name="Comma [0] 2 2 2 2 2 2 2 2" xfId="4980" xr:uid="{6EC79F77-5A49-45D4-B2B0-9DB241889E34}"/>
    <cellStyle name="Comma [0] 2 2 2 2 2 2 3" xfId="3797" xr:uid="{1E416DF0-44A0-4C59-ABC5-B45D6EB2BFED}"/>
    <cellStyle name="Comma [0] 2 2 2 2 2 3" xfId="2196" xr:uid="{1F1592AC-2499-4018-8DE0-CB0E5F1C8E1D}"/>
    <cellStyle name="Comma [0] 2 2 2 2 2 3 2" xfId="4562" xr:uid="{C5C9207F-DEBC-49AA-80A0-B2237D9F1E59}"/>
    <cellStyle name="Comma [0] 2 2 2 2 2 4" xfId="3379" xr:uid="{E7F03BD2-6ACA-4C1C-91DF-25F2236A7F91}"/>
    <cellStyle name="Comma [0] 2 2 2 2 3" xfId="1220" xr:uid="{C50C54A1-C210-42E5-86EF-0C32815147C5}"/>
    <cellStyle name="Comma [0] 2 2 2 2 3 2" xfId="2405" xr:uid="{C7EE9A13-BD61-4FB0-8A2C-03C75E6CD878}"/>
    <cellStyle name="Comma [0] 2 2 2 2 3 2 2" xfId="4771" xr:uid="{E8AAB8C0-AF3A-4923-87DF-0C72282A5E4F}"/>
    <cellStyle name="Comma [0] 2 2 2 2 3 3" xfId="3588" xr:uid="{B3FE63E9-52A8-4479-BEFD-BC649ED89EFD}"/>
    <cellStyle name="Comma [0] 2 2 2 2 4" xfId="1813" xr:uid="{4D09F487-EDC0-45DE-8992-15A373B82CB5}"/>
    <cellStyle name="Comma [0] 2 2 2 2 4 2" xfId="4179" xr:uid="{4EA1B172-591C-40B8-998E-FA39800C878E}"/>
    <cellStyle name="Comma [0] 2 2 2 2 5" xfId="2996" xr:uid="{09F138DC-19D1-4C06-A0B2-BFC00B36AA74}"/>
    <cellStyle name="Comma [0] 2 2 2 3" xfId="161" xr:uid="{2C40B238-A5EB-4030-BA72-8BC425471293}"/>
    <cellStyle name="Comma [0] 2 2 2 3 2" xfId="968" xr:uid="{6518F073-EED1-41EC-AF6F-3C7F941F2706}"/>
    <cellStyle name="Comma [0] 2 2 2 3 2 2" xfId="1388" xr:uid="{1D7F4591-0F27-4BD8-9583-D4A04DBE6C17}"/>
    <cellStyle name="Comma [0] 2 2 2 3 2 2 2" xfId="2572" xr:uid="{DDEC1F10-32F1-4F47-9DBB-01855284138B}"/>
    <cellStyle name="Comma [0] 2 2 2 3 2 2 2 2" xfId="4938" xr:uid="{56706D8D-12FF-42C8-BCA5-CB701ACA4EAD}"/>
    <cellStyle name="Comma [0] 2 2 2 3 2 2 3" xfId="3755" xr:uid="{1484A78D-6769-4F5A-A5BB-65F9818BAA24}"/>
    <cellStyle name="Comma [0] 2 2 2 3 2 3" xfId="2154" xr:uid="{27CC26B9-BDF4-4815-87CF-3334D3455D44}"/>
    <cellStyle name="Comma [0] 2 2 2 3 2 3 2" xfId="4520" xr:uid="{A05F5119-3307-4D8C-A524-39EA5C23BCF5}"/>
    <cellStyle name="Comma [0] 2 2 2 3 2 4" xfId="3337" xr:uid="{216142EC-3A43-4174-B55E-08FC321BBBEC}"/>
    <cellStyle name="Comma [0] 2 2 2 3 3" xfId="1178" xr:uid="{38540398-B5DF-462E-B2F2-A89900E4706E}"/>
    <cellStyle name="Comma [0] 2 2 2 3 3 2" xfId="2363" xr:uid="{0AD25D41-B8A6-4E64-8B30-21AFF2736D14}"/>
    <cellStyle name="Comma [0] 2 2 2 3 3 2 2" xfId="4729" xr:uid="{4E6DA252-B656-4CD7-B835-558FCB11716C}"/>
    <cellStyle name="Comma [0] 2 2 2 3 3 3" xfId="3546" xr:uid="{3B445AFD-5CBE-4DA7-B458-736B5A2CDADE}"/>
    <cellStyle name="Comma [0] 2 2 2 3 4" xfId="1771" xr:uid="{355415BC-A55B-4A43-9EFF-DE10A9BCA48B}"/>
    <cellStyle name="Comma [0] 2 2 2 3 4 2" xfId="4137" xr:uid="{07DADABF-753D-4082-9513-BA6C7ECE4DE7}"/>
    <cellStyle name="Comma [0] 2 2 2 3 5" xfId="2954" xr:uid="{C3B54C03-EAEF-4C0C-B8BF-D7C1E6CE9302}"/>
    <cellStyle name="Comma [0] 2 2 2 4" xfId="941" xr:uid="{4EB666F2-8C7E-4518-9E69-7DCF6EB4C9F7}"/>
    <cellStyle name="Comma [0] 2 2 2 4 2" xfId="1361" xr:uid="{9AEC9385-BCDD-4AAE-B324-EFE871AE26DE}"/>
    <cellStyle name="Comma [0] 2 2 2 4 2 2" xfId="2545" xr:uid="{4C9BA92B-2D1E-43DF-A93D-1EE89C3216CC}"/>
    <cellStyle name="Comma [0] 2 2 2 4 2 2 2" xfId="4911" xr:uid="{43E08ABF-6B6F-447A-80C3-5DDFEF0A1E49}"/>
    <cellStyle name="Comma [0] 2 2 2 4 2 3" xfId="3728" xr:uid="{E9C85E77-3AD3-4957-BA6E-757139FA9A39}"/>
    <cellStyle name="Comma [0] 2 2 2 4 3" xfId="2127" xr:uid="{D37CE5FF-7153-49CE-BEFD-473E115D2E07}"/>
    <cellStyle name="Comma [0] 2 2 2 4 3 2" xfId="4493" xr:uid="{AA11F716-D0D3-4B10-838A-66ACB6DC0C0F}"/>
    <cellStyle name="Comma [0] 2 2 2 4 4" xfId="3310" xr:uid="{66976E79-3DF3-40D0-A56B-332F60F6A60A}"/>
    <cellStyle name="Comma [0] 2 2 2 5" xfId="1151" xr:uid="{FE236568-57E0-430B-B257-9CC4D8DE5A17}"/>
    <cellStyle name="Comma [0] 2 2 2 5 2" xfId="2336" xr:uid="{4E49B1F1-6225-4C26-A791-5C498BEB2414}"/>
    <cellStyle name="Comma [0] 2 2 2 5 2 2" xfId="4702" xr:uid="{61C51B00-E1DF-4D1E-8A8B-CE16C407ADB1}"/>
    <cellStyle name="Comma [0] 2 2 2 5 3" xfId="3519" xr:uid="{36D19D88-C3DD-4905-9225-ADA3D9AD5D93}"/>
    <cellStyle name="Comma [0] 2 2 2 6" xfId="1744" xr:uid="{AE0BF6AA-EEA2-4F72-ADD1-8F912C7B91E0}"/>
    <cellStyle name="Comma [0] 2 2 2 6 2" xfId="4110" xr:uid="{D4491E75-830A-4CC1-9545-BD908C5CEEF2}"/>
    <cellStyle name="Comma [0] 2 2 2 7" xfId="2927" xr:uid="{FA6620FE-C89A-474C-8147-4888EA8011A6}"/>
    <cellStyle name="Comma [0] 2 2 3" xfId="195" xr:uid="{44B8AB3F-D43A-4E30-9F03-951C249EA70B}"/>
    <cellStyle name="Comma [0] 2 2 3 2" xfId="1000" xr:uid="{1ED89D77-7599-4418-B3D0-140F342EB25A}"/>
    <cellStyle name="Comma [0] 2 2 3 2 2" xfId="1420" xr:uid="{A867FB92-1D8E-4366-AEF5-1B8C6F9FC34A}"/>
    <cellStyle name="Comma [0] 2 2 3 2 2 2" xfId="2604" xr:uid="{47C555AC-5B7F-4051-8465-DE4B668DC62B}"/>
    <cellStyle name="Comma [0] 2 2 3 2 2 2 2" xfId="4970" xr:uid="{8584FE10-8044-430A-8504-07051A6B8297}"/>
    <cellStyle name="Comma [0] 2 2 3 2 2 3" xfId="3787" xr:uid="{61F3AA38-0BB8-460C-92B1-13B5ECABA304}"/>
    <cellStyle name="Comma [0] 2 2 3 2 3" xfId="2186" xr:uid="{2412206B-C648-4A58-9813-B068A04F085C}"/>
    <cellStyle name="Comma [0] 2 2 3 2 3 2" xfId="4552" xr:uid="{6EBA0604-C37F-473B-9232-99530F060A8B}"/>
    <cellStyle name="Comma [0] 2 2 3 2 4" xfId="3369" xr:uid="{0BA735F5-DEF6-418A-AC9F-655B9293D594}"/>
    <cellStyle name="Comma [0] 2 2 3 3" xfId="1210" xr:uid="{CAB17872-6966-40F9-9976-08CC707620B4}"/>
    <cellStyle name="Comma [0] 2 2 3 3 2" xfId="2395" xr:uid="{7D69DAC7-7858-4E48-88B3-BC0BBBC64965}"/>
    <cellStyle name="Comma [0] 2 2 3 3 2 2" xfId="4761" xr:uid="{4AF3C0D0-F3D0-48A5-98B3-8A63CEB39E67}"/>
    <cellStyle name="Comma [0] 2 2 3 3 3" xfId="3578" xr:uid="{0533F7CB-8F31-4FB2-825C-2645712999EC}"/>
    <cellStyle name="Comma [0] 2 2 3 4" xfId="1803" xr:uid="{30482BB8-9B69-4F0F-862D-B3587AAAF520}"/>
    <cellStyle name="Comma [0] 2 2 3 4 2" xfId="4169" xr:uid="{AAC528F4-C520-45B7-85CD-9C18C6E98E95}"/>
    <cellStyle name="Comma [0] 2 2 3 5" xfId="2986" xr:uid="{F87BDA4C-5525-48B8-B7DB-1010CEA5C010}"/>
    <cellStyle name="Comma [0] 2 2 4" xfId="183" xr:uid="{F6493505-6FC7-494A-B252-F4D5F25224D6}"/>
    <cellStyle name="Comma [0] 2 2 4 2" xfId="989" xr:uid="{E5E97780-D9B4-4B11-BA5E-059710793F75}"/>
    <cellStyle name="Comma [0] 2 2 4 2 2" xfId="1409" xr:uid="{A10669FB-BB69-4A87-A006-585A7540C6C2}"/>
    <cellStyle name="Comma [0] 2 2 4 2 2 2" xfId="2593" xr:uid="{18499364-6C2D-4A5C-8C14-0B7210C58A58}"/>
    <cellStyle name="Comma [0] 2 2 4 2 2 2 2" xfId="4959" xr:uid="{DDBC42F8-1D88-4945-81A0-ABB7F8024F1D}"/>
    <cellStyle name="Comma [0] 2 2 4 2 2 3" xfId="3776" xr:uid="{5408438E-F296-40C3-B8B0-EEB19BF9C730}"/>
    <cellStyle name="Comma [0] 2 2 4 2 3" xfId="2175" xr:uid="{CDAAFA26-C47E-4ED8-BAEA-037E734B1F83}"/>
    <cellStyle name="Comma [0] 2 2 4 2 3 2" xfId="4541" xr:uid="{E21B00C1-61E1-4878-9210-FFF27454EB1B}"/>
    <cellStyle name="Comma [0] 2 2 4 2 4" xfId="3358" xr:uid="{97EE056F-8228-417A-87FB-E143BDF996FE}"/>
    <cellStyle name="Comma [0] 2 2 4 3" xfId="1199" xr:uid="{702E680D-C9BF-41CC-B862-6D09033EEB93}"/>
    <cellStyle name="Comma [0] 2 2 4 3 2" xfId="2384" xr:uid="{8CCC7463-1DC5-430B-9212-1F0E71767E83}"/>
    <cellStyle name="Comma [0] 2 2 4 3 2 2" xfId="4750" xr:uid="{E760D618-5761-4A0E-97BB-CBA42F8440E1}"/>
    <cellStyle name="Comma [0] 2 2 4 3 3" xfId="3567" xr:uid="{4EC97249-6E4F-4CA2-A776-D315D2283B7A}"/>
    <cellStyle name="Comma [0] 2 2 4 4" xfId="1792" xr:uid="{5C88CF8F-3046-46AE-B50A-A8D6395E73AB}"/>
    <cellStyle name="Comma [0] 2 2 4 4 2" xfId="4158" xr:uid="{3208928F-1B66-4CA1-8165-9ED061A3F961}"/>
    <cellStyle name="Comma [0] 2 2 4 5" xfId="2975" xr:uid="{FA88B211-7D6C-4728-B873-633A01EDC6ED}"/>
    <cellStyle name="Comma [0] 2 2 5" xfId="151" xr:uid="{416881C4-5436-452E-B933-14FA198EA4E4}"/>
    <cellStyle name="Comma [0] 2 2 5 2" xfId="958" xr:uid="{E9F674A2-4243-4DF6-A9ED-CBC52DFE5331}"/>
    <cellStyle name="Comma [0] 2 2 5 2 2" xfId="1378" xr:uid="{D42C6611-9C95-474F-A50A-F02C78FF01E0}"/>
    <cellStyle name="Comma [0] 2 2 5 2 2 2" xfId="2562" xr:uid="{745E081B-09CE-4115-8D4F-5AD0FA2B25A4}"/>
    <cellStyle name="Comma [0] 2 2 5 2 2 2 2" xfId="4928" xr:uid="{3F60EA7D-B364-4DC1-84B8-A566A2353E50}"/>
    <cellStyle name="Comma [0] 2 2 5 2 2 3" xfId="3745" xr:uid="{C4DC1F73-B063-4E37-B9D5-705712B76FF8}"/>
    <cellStyle name="Comma [0] 2 2 5 2 3" xfId="2144" xr:uid="{7B04B130-FCD5-4BCF-B387-09689014222F}"/>
    <cellStyle name="Comma [0] 2 2 5 2 3 2" xfId="4510" xr:uid="{C0E1A215-2081-4C7D-93FB-A39FEB506E68}"/>
    <cellStyle name="Comma [0] 2 2 5 2 4" xfId="3327" xr:uid="{DA84E101-4C22-4C7C-A90A-7DF3D806CE34}"/>
    <cellStyle name="Comma [0] 2 2 5 3" xfId="1168" xr:uid="{17EBDB6F-A2A2-4DFC-AC3D-A94F34A42825}"/>
    <cellStyle name="Comma [0] 2 2 5 3 2" xfId="2353" xr:uid="{E2C984CD-1B5E-4810-97CC-5904C7DE6C8D}"/>
    <cellStyle name="Comma [0] 2 2 5 3 2 2" xfId="4719" xr:uid="{CF12EF28-DCB4-47F0-90B2-4F4CB49CDE50}"/>
    <cellStyle name="Comma [0] 2 2 5 3 3" xfId="3536" xr:uid="{F3637016-67B9-4D51-B24B-62D809FE83EE}"/>
    <cellStyle name="Comma [0] 2 2 5 4" xfId="1761" xr:uid="{8CCC6F96-3264-47E7-87D3-B304EF245B6F}"/>
    <cellStyle name="Comma [0] 2 2 5 4 2" xfId="4127" xr:uid="{FF3258CC-BF1E-4C3B-9D15-00A81E60F164}"/>
    <cellStyle name="Comma [0] 2 2 5 5" xfId="2944" xr:uid="{39146EAD-3F53-4F71-96D0-7D10C5F69F1C}"/>
    <cellStyle name="Comma [0] 2 2 6" xfId="929" xr:uid="{A7474937-CF3F-4AC8-9ED2-57095059E295}"/>
    <cellStyle name="Comma [0] 2 2 6 2" xfId="1349" xr:uid="{14646A29-A231-4672-9FAA-C19A7A37A529}"/>
    <cellStyle name="Comma [0] 2 2 6 2 2" xfId="2533" xr:uid="{B1BCF18B-A42B-4B78-A3A9-C7C2D22161AA}"/>
    <cellStyle name="Comma [0] 2 2 6 2 2 2" xfId="4899" xr:uid="{BE0F4692-3AF5-4F0E-A35D-C191F422B9DA}"/>
    <cellStyle name="Comma [0] 2 2 6 2 3" xfId="3716" xr:uid="{EA60E1A4-F5DE-450A-8BAA-C0364E0A5543}"/>
    <cellStyle name="Comma [0] 2 2 6 3" xfId="2115" xr:uid="{B2F2BF12-B6F3-4CBB-9A64-ACB6E40AFA50}"/>
    <cellStyle name="Comma [0] 2 2 6 3 2" xfId="4481" xr:uid="{3C8FB0A1-72E7-4A8D-8231-158A16F13F1D}"/>
    <cellStyle name="Comma [0] 2 2 6 4" xfId="3298" xr:uid="{6B872093-C5EE-47C1-85C9-B62BF88DD6F6}"/>
    <cellStyle name="Comma [0] 2 2 7" xfId="1139" xr:uid="{34958F1C-9FFA-459B-BBED-284086CE167A}"/>
    <cellStyle name="Comma [0] 2 2 7 2" xfId="2324" xr:uid="{325BFCE3-D6DA-426F-940A-06C4BB5C1EF6}"/>
    <cellStyle name="Comma [0] 2 2 7 2 2" xfId="4690" xr:uid="{BEB45C69-2777-48AF-8755-A1B65CEAFDA6}"/>
    <cellStyle name="Comma [0] 2 2 7 3" xfId="3507" xr:uid="{32F3970B-A671-4D6A-9CF6-6F464D7D5A1A}"/>
    <cellStyle name="Comma [0] 2 2 8" xfId="1732" xr:uid="{6DFA333B-4184-4F86-81DD-8CDF9124FD08}"/>
    <cellStyle name="Comma [0] 2 2 8 2" xfId="4098" xr:uid="{086C7951-F103-4458-9612-01FD84CD58B7}"/>
    <cellStyle name="Comma [0] 2 2 9" xfId="2915" xr:uid="{C1D9A98B-A43D-4A6D-A444-867D3ADA5452}"/>
    <cellStyle name="Comma [0] 2 3" xfId="112" xr:uid="{3D4F54CF-D7B3-4C46-B0BE-83192F1E3A16}"/>
    <cellStyle name="Comma [0] 2 3 2" xfId="207" xr:uid="{519577A8-F97A-4F64-A13A-F3353E797267}"/>
    <cellStyle name="Comma [0] 2 3 2 2" xfId="1009" xr:uid="{D460396E-EB47-4B30-A3EA-2522FA366EC3}"/>
    <cellStyle name="Comma [0] 2 3 2 2 2" xfId="1429" xr:uid="{26782886-9673-482D-95BC-AC2ADAEFE60E}"/>
    <cellStyle name="Comma [0] 2 3 2 2 2 2" xfId="2613" xr:uid="{59C15845-B5C2-4DF5-AA0F-68B974561551}"/>
    <cellStyle name="Comma [0] 2 3 2 2 2 2 2" xfId="4979" xr:uid="{189AAD53-6A4E-4765-BD6C-E6865D9CDA88}"/>
    <cellStyle name="Comma [0] 2 3 2 2 2 3" xfId="3796" xr:uid="{6F18C811-CA3F-4463-8310-C6ED13084CB7}"/>
    <cellStyle name="Comma [0] 2 3 2 2 3" xfId="2195" xr:uid="{19EDAD66-5A5F-4203-80CC-A82ABE845726}"/>
    <cellStyle name="Comma [0] 2 3 2 2 3 2" xfId="4561" xr:uid="{211AA837-A589-48F8-A7C2-C931383788C3}"/>
    <cellStyle name="Comma [0] 2 3 2 2 4" xfId="3378" xr:uid="{1C45FD43-1866-47D7-B1DC-69F24FD10312}"/>
    <cellStyle name="Comma [0] 2 3 2 3" xfId="1219" xr:uid="{2BA1BFC3-7CEC-47AE-A10C-2CA0D4C778A6}"/>
    <cellStyle name="Comma [0] 2 3 2 3 2" xfId="2404" xr:uid="{F4EBC8F5-9C11-40C1-B3CA-28408D0C8F67}"/>
    <cellStyle name="Comma [0] 2 3 2 3 2 2" xfId="4770" xr:uid="{90714759-3815-4894-927F-E059D32F6318}"/>
    <cellStyle name="Comma [0] 2 3 2 3 3" xfId="3587" xr:uid="{12DC4F64-939B-484B-A967-7C42DAFB2242}"/>
    <cellStyle name="Comma [0] 2 3 2 4" xfId="1812" xr:uid="{5664BAAE-6182-4799-BDBA-4D15F8E5BD8E}"/>
    <cellStyle name="Comma [0] 2 3 2 4 2" xfId="4178" xr:uid="{3645DE61-BE35-4216-A622-E23FA7E9419B}"/>
    <cellStyle name="Comma [0] 2 3 2 5" xfId="2995" xr:uid="{83A36307-E105-41AD-9440-78C80F3BBE68}"/>
    <cellStyle name="Comma [0] 2 3 3" xfId="160" xr:uid="{50250919-175D-4FB8-BBC0-40D4D16E87DC}"/>
    <cellStyle name="Comma [0] 2 3 3 2" xfId="967" xr:uid="{E9C046F2-F3CC-4D3F-8CFA-B8B0B3CE5AD0}"/>
    <cellStyle name="Comma [0] 2 3 3 2 2" xfId="1387" xr:uid="{97EDCDBA-C7B2-4CFA-BCC7-58022BF02D4C}"/>
    <cellStyle name="Comma [0] 2 3 3 2 2 2" xfId="2571" xr:uid="{BD6F9CCF-770D-460E-A529-3113F0FFF0EE}"/>
    <cellStyle name="Comma [0] 2 3 3 2 2 2 2" xfId="4937" xr:uid="{3D603214-1FDE-46E1-B179-68EFB6D7668D}"/>
    <cellStyle name="Comma [0] 2 3 3 2 2 3" xfId="3754" xr:uid="{F22BDFC6-777D-4B60-BF78-E1F6253DF195}"/>
    <cellStyle name="Comma [0] 2 3 3 2 3" xfId="2153" xr:uid="{6B97C14A-D275-43C6-8C1B-63531E17B56B}"/>
    <cellStyle name="Comma [0] 2 3 3 2 3 2" xfId="4519" xr:uid="{44AE94DC-8C18-4B91-A8D1-9FF1D154AE57}"/>
    <cellStyle name="Comma [0] 2 3 3 2 4" xfId="3336" xr:uid="{AE68598C-0210-40FC-A323-FE1314DB92B8}"/>
    <cellStyle name="Comma [0] 2 3 3 3" xfId="1177" xr:uid="{4AD35BC5-EE62-4D48-9728-B5211F7AED4D}"/>
    <cellStyle name="Comma [0] 2 3 3 3 2" xfId="2362" xr:uid="{86C1CB0D-BB28-4291-8670-3D5BDCD2395A}"/>
    <cellStyle name="Comma [0] 2 3 3 3 2 2" xfId="4728" xr:uid="{C13CF881-22AB-4380-ACCE-37DBC669ABC6}"/>
    <cellStyle name="Comma [0] 2 3 3 3 3" xfId="3545" xr:uid="{B7FA1974-99E1-4C3F-8C70-0FE5B357E3B3}"/>
    <cellStyle name="Comma [0] 2 3 3 4" xfId="1770" xr:uid="{32229BC3-4864-4175-BD8D-A0A31B3DDF51}"/>
    <cellStyle name="Comma [0] 2 3 3 4 2" xfId="4136" xr:uid="{2E3D33AA-1A3F-4B73-A8F8-64DC49281FC7}"/>
    <cellStyle name="Comma [0] 2 3 3 5" xfId="2953" xr:uid="{01051D5A-A369-4C91-A830-5F16EA67709D}"/>
    <cellStyle name="Comma [0] 2 3 4" xfId="940" xr:uid="{A63C21AD-7310-4322-B068-E6204B0F1AB2}"/>
    <cellStyle name="Comma [0] 2 3 4 2" xfId="1360" xr:uid="{EED9B83F-D25F-49B2-88C7-937B12D1E02D}"/>
    <cellStyle name="Comma [0] 2 3 4 2 2" xfId="2544" xr:uid="{EEF57A5E-8374-482C-9FE6-3F3B967D8DFA}"/>
    <cellStyle name="Comma [0] 2 3 4 2 2 2" xfId="4910" xr:uid="{6DCC1242-D3DD-4863-A82E-279E9E2FC4D5}"/>
    <cellStyle name="Comma [0] 2 3 4 2 3" xfId="3727" xr:uid="{57564092-FCF8-4BF6-B0D3-DCD928B5723A}"/>
    <cellStyle name="Comma [0] 2 3 4 3" xfId="2126" xr:uid="{6435AD66-14B9-4076-9B26-61BA3A346FBD}"/>
    <cellStyle name="Comma [0] 2 3 4 3 2" xfId="4492" xr:uid="{2E7154C9-F757-4B16-AF74-C42C1AE0297A}"/>
    <cellStyle name="Comma [0] 2 3 4 4" xfId="3309" xr:uid="{44D68DE7-3EBC-437E-91B1-50A644D46AA2}"/>
    <cellStyle name="Comma [0] 2 3 5" xfId="1150" xr:uid="{846B1E56-8C08-4E17-837B-A5F07B44691A}"/>
    <cellStyle name="Comma [0] 2 3 5 2" xfId="2335" xr:uid="{B47A2449-9C66-480A-89F4-492A7BC564A4}"/>
    <cellStyle name="Comma [0] 2 3 5 2 2" xfId="4701" xr:uid="{62D42600-54D7-46E1-88F7-E0BF4A2528B2}"/>
    <cellStyle name="Comma [0] 2 3 5 3" xfId="3518" xr:uid="{A4CF7F34-FCEA-45C0-8348-2EDFDD7E5A6F}"/>
    <cellStyle name="Comma [0] 2 3 6" xfId="1743" xr:uid="{E5127141-AEB8-4CEA-8CFF-8342FA0FB5B4}"/>
    <cellStyle name="Comma [0] 2 3 6 2" xfId="4109" xr:uid="{6FCC1173-E1AE-4569-9FB1-707961B01CD2}"/>
    <cellStyle name="Comma [0] 2 3 7" xfId="2926" xr:uid="{3A756FEC-933F-4AF2-B343-34DD367E4AD8}"/>
    <cellStyle name="Comma [0] 2 4" xfId="148" xr:uid="{16039F4F-D3AC-4055-AC7A-E5624E5D7558}"/>
    <cellStyle name="Comma [0] 2 5" xfId="182" xr:uid="{C4E1E27D-01F8-455B-A759-CA0C41AE5668}"/>
    <cellStyle name="Comma [0] 2 5 2" xfId="988" xr:uid="{28155A91-45F3-4EFF-97C1-CD266E489F9A}"/>
    <cellStyle name="Comma [0] 2 5 2 2" xfId="1408" xr:uid="{47D0ADA0-9F78-4EEC-B1DC-665627890F5B}"/>
    <cellStyle name="Comma [0] 2 5 2 2 2" xfId="2592" xr:uid="{079B77A7-41E5-4BF7-B2DB-C647A3A356DE}"/>
    <cellStyle name="Comma [0] 2 5 2 2 2 2" xfId="4958" xr:uid="{46FDE7B5-631D-4B3D-9783-956EB0FA29AD}"/>
    <cellStyle name="Comma [0] 2 5 2 2 3" xfId="3775" xr:uid="{B1229E02-618B-4C26-92E4-3B28B2EDBFF7}"/>
    <cellStyle name="Comma [0] 2 5 2 3" xfId="2174" xr:uid="{4711CEE6-D1AA-43F9-9611-9D6F509C479F}"/>
    <cellStyle name="Comma [0] 2 5 2 3 2" xfId="4540" xr:uid="{699E3AF2-2A65-495E-BD99-3E346755E2A3}"/>
    <cellStyle name="Comma [0] 2 5 2 4" xfId="3357" xr:uid="{5578C027-0446-4682-A517-377D24F08EA4}"/>
    <cellStyle name="Comma [0] 2 5 3" xfId="1198" xr:uid="{D8983353-5DF8-40EA-A173-358ADFB21891}"/>
    <cellStyle name="Comma [0] 2 5 3 2" xfId="2383" xr:uid="{0A068BD7-CCA1-476F-B640-9C309BA6B033}"/>
    <cellStyle name="Comma [0] 2 5 3 2 2" xfId="4749" xr:uid="{15470594-98A9-4CCE-BD17-7B86A713F2AB}"/>
    <cellStyle name="Comma [0] 2 5 3 3" xfId="3566" xr:uid="{0651107D-A2F7-4075-AF1C-0373EDA409E3}"/>
    <cellStyle name="Comma [0] 2 5 4" xfId="1791" xr:uid="{EFE2793F-EE1D-48D6-868A-3A902E388934}"/>
    <cellStyle name="Comma [0] 2 5 4 2" xfId="4157" xr:uid="{8880885A-F203-4838-B4A5-8C53A9F48397}"/>
    <cellStyle name="Comma [0] 2 5 5" xfId="2974" xr:uid="{FD7FA58F-0214-42EC-9401-9850F0F02A53}"/>
    <cellStyle name="Comma [0] 2 6" xfId="928" xr:uid="{47C2CB62-84AA-4CAD-A184-F4558978D32B}"/>
    <cellStyle name="Comma [0] 2 6 2" xfId="1348" xr:uid="{46C61356-E35D-4731-A001-7A4686BE6339}"/>
    <cellStyle name="Comma [0] 2 6 2 2" xfId="2532" xr:uid="{661C6933-E13D-447D-AEB2-3FC39DB427A5}"/>
    <cellStyle name="Comma [0] 2 6 2 2 2" xfId="4898" xr:uid="{E97ACF3C-F877-4F7A-B4A1-B3D4DF2B56BC}"/>
    <cellStyle name="Comma [0] 2 6 2 3" xfId="3715" xr:uid="{8A532A97-16FE-4C5C-9213-F6FCA17F407A}"/>
    <cellStyle name="Comma [0] 2 6 3" xfId="2114" xr:uid="{62CC4BDE-D9AF-4317-BC11-7E64A544C68C}"/>
    <cellStyle name="Comma [0] 2 6 3 2" xfId="4480" xr:uid="{600DFD3A-64FC-4A2C-B3B0-358C2B339BF8}"/>
    <cellStyle name="Comma [0] 2 6 4" xfId="3297" xr:uid="{A6ADB376-544F-4F1E-9E42-1D3D9C51263C}"/>
    <cellStyle name="Comma [0] 2 7" xfId="1138" xr:uid="{3757FB0B-1F60-424B-B7CB-344775D03C15}"/>
    <cellStyle name="Comma [0] 2 7 2" xfId="2323" xr:uid="{4A34CB63-7EF7-45D0-9E97-F8FBC62E1DB2}"/>
    <cellStyle name="Comma [0] 2 7 2 2" xfId="4689" xr:uid="{9F33B1DF-04D0-4C23-9DAF-70AC86BC68D8}"/>
    <cellStyle name="Comma [0] 2 7 3" xfId="3506" xr:uid="{36096F31-9D38-424B-ABFD-FB1178E003EF}"/>
    <cellStyle name="Comma [0] 2 8" xfId="1731" xr:uid="{1F858179-C7E7-4389-A812-CA75AA823DDC}"/>
    <cellStyle name="Comma [0] 2 8 2" xfId="4097" xr:uid="{AB660848-3931-464C-B7F7-8DDCC5EA2816}"/>
    <cellStyle name="Comma [0] 2 9" xfId="2914" xr:uid="{0060522E-14EA-4525-99EA-A4ADF1E0AC39}"/>
    <cellStyle name="Comma 2" xfId="50" xr:uid="{00000000-0005-0000-0000-00001D000000}"/>
    <cellStyle name="Comma 2 2" xfId="55" xr:uid="{00000000-0005-0000-0000-00001E000000}"/>
    <cellStyle name="Comma 2 2 10" xfId="916" xr:uid="{6A953657-A186-4DD8-9C40-FAAB7FF8D945}"/>
    <cellStyle name="Comma 2 2 10 2" xfId="1336" xr:uid="{8DA621D3-FDA3-4AEA-870F-09AECA359A7C}"/>
    <cellStyle name="Comma 2 2 10 2 2" xfId="2520" xr:uid="{E40458FE-AD62-4B60-9B7F-116B0C588938}"/>
    <cellStyle name="Comma 2 2 10 2 2 2" xfId="4886" xr:uid="{B7D316F0-643D-44D8-9183-46159772873F}"/>
    <cellStyle name="Comma 2 2 10 2 3" xfId="3703" xr:uid="{89FC45DF-B860-4BA7-A47D-E23053069B88}"/>
    <cellStyle name="Comma 2 2 10 3" xfId="2102" xr:uid="{8F9D0147-4D44-48C7-A0CA-B93824B86139}"/>
    <cellStyle name="Comma 2 2 10 3 2" xfId="4468" xr:uid="{D1D18B48-03AC-482F-B663-9A9F86E8EDA1}"/>
    <cellStyle name="Comma 2 2 10 4" xfId="3285" xr:uid="{F0F96841-7BD6-435E-A55A-69BC4E9871B5}"/>
    <cellStyle name="Comma 2 2 11" xfId="1126" xr:uid="{26E02986-88C5-408B-A046-22976B59D6E3}"/>
    <cellStyle name="Comma 2 2 11 2" xfId="2311" xr:uid="{7872A15C-56C0-4CBC-B774-458C29906FCA}"/>
    <cellStyle name="Comma 2 2 11 2 2" xfId="4677" xr:uid="{C0CF0C6A-54C3-44EE-9AB7-587230D8BDE6}"/>
    <cellStyle name="Comma 2 2 11 3" xfId="3494" xr:uid="{82F1D1B0-C4F3-48A4-B3E8-4642213D8D2F}"/>
    <cellStyle name="Comma 2 2 12" xfId="1719" xr:uid="{7EEA16A8-1A69-4EF6-B7D8-EED9A6E297E6}"/>
    <cellStyle name="Comma 2 2 12 2" xfId="4085" xr:uid="{FEAF15BE-C08F-4B8A-8043-E428EEEED8C1}"/>
    <cellStyle name="Comma 2 2 13" xfId="2902" xr:uid="{A5F88C21-04A5-4E6E-BABF-FAF83043E086}"/>
    <cellStyle name="Comma 2 2 2" xfId="100" xr:uid="{EFBB52B6-1E5F-4D9A-8784-5BE4667991A4}"/>
    <cellStyle name="Comma 2 2 2 2" xfId="118" xr:uid="{88093735-5AD0-400F-88A0-A02F4328DD2E}"/>
    <cellStyle name="Comma 2 2 2 2 2" xfId="213" xr:uid="{89E0B532-5ED5-4AD9-8EFB-A9AC8A7FE14B}"/>
    <cellStyle name="Comma 2 2 2 2 2 2" xfId="1015" xr:uid="{4C76168E-2F9A-4C0F-A0D5-EC65F35FB416}"/>
    <cellStyle name="Comma 2 2 2 2 2 2 2" xfId="1435" xr:uid="{64A5A0BF-7A5F-47FB-9C64-69C601FBD72E}"/>
    <cellStyle name="Comma 2 2 2 2 2 2 2 2" xfId="2619" xr:uid="{BC52C57F-5FE6-4FDE-9E9C-1B13750785E1}"/>
    <cellStyle name="Comma 2 2 2 2 2 2 2 2 2" xfId="4985" xr:uid="{91FED338-8E09-469A-99CF-0EFB13C8E747}"/>
    <cellStyle name="Comma 2 2 2 2 2 2 2 3" xfId="3802" xr:uid="{701B45BF-29F0-47EB-B76E-45F7539A7BD8}"/>
    <cellStyle name="Comma 2 2 2 2 2 2 3" xfId="2201" xr:uid="{044BB77D-428C-4F5E-A00B-209C33C1D922}"/>
    <cellStyle name="Comma 2 2 2 2 2 2 3 2" xfId="4567" xr:uid="{18CF8C73-582A-4F94-B280-407F5EB1DBDA}"/>
    <cellStyle name="Comma 2 2 2 2 2 2 4" xfId="3384" xr:uid="{88BBDDC2-105B-444C-89A6-9BF13B58D2BE}"/>
    <cellStyle name="Comma 2 2 2 2 2 3" xfId="1225" xr:uid="{D0CB1301-07CD-43DF-8CA4-8FB799FC48C3}"/>
    <cellStyle name="Comma 2 2 2 2 2 3 2" xfId="2410" xr:uid="{A0F93ED8-39DE-4558-92ED-86E4139AA143}"/>
    <cellStyle name="Comma 2 2 2 2 2 3 2 2" xfId="4776" xr:uid="{E17C1903-3340-4330-8467-A0FC8AE07F82}"/>
    <cellStyle name="Comma 2 2 2 2 2 3 3" xfId="3593" xr:uid="{D5844FAD-C84E-48DC-9EE0-E9B4659FB068}"/>
    <cellStyle name="Comma 2 2 2 2 2 4" xfId="1818" xr:uid="{3B9F7CC0-F02F-46C8-8951-71E1A0BEA1F2}"/>
    <cellStyle name="Comma 2 2 2 2 2 4 2" xfId="4184" xr:uid="{728CDBFB-F3BB-4C4A-B557-C351F6C5984F}"/>
    <cellStyle name="Comma 2 2 2 2 2 5" xfId="3001" xr:uid="{D6CEF06D-F230-4E8F-B19D-0D89E371A4B5}"/>
    <cellStyle name="Comma 2 2 2 2 3" xfId="166" xr:uid="{7B2884FC-6FD6-47AF-964B-E8F6A88CF69B}"/>
    <cellStyle name="Comma 2 2 2 2 3 2" xfId="973" xr:uid="{35AA7C93-D1B8-468A-934F-337C10622B59}"/>
    <cellStyle name="Comma 2 2 2 2 3 2 2" xfId="1393" xr:uid="{2ECB4CAF-49F7-456A-AFE6-0BA3DF600605}"/>
    <cellStyle name="Comma 2 2 2 2 3 2 2 2" xfId="2577" xr:uid="{5669941D-9A27-472E-A23A-3179D84EE885}"/>
    <cellStyle name="Comma 2 2 2 2 3 2 2 2 2" xfId="4943" xr:uid="{BF364719-41EB-442E-89C9-20CC0CF2A314}"/>
    <cellStyle name="Comma 2 2 2 2 3 2 2 3" xfId="3760" xr:uid="{2A70FD3C-4C3D-4D54-B513-3D63A8029C63}"/>
    <cellStyle name="Comma 2 2 2 2 3 2 3" xfId="2159" xr:uid="{A10F9B3D-E8E6-400F-A038-E8EBE92BD32B}"/>
    <cellStyle name="Comma 2 2 2 2 3 2 3 2" xfId="4525" xr:uid="{ADF5E5C2-EF05-4C1F-BD39-277AD0A99920}"/>
    <cellStyle name="Comma 2 2 2 2 3 2 4" xfId="3342" xr:uid="{B5D0489E-340F-4531-B564-53519E49A812}"/>
    <cellStyle name="Comma 2 2 2 2 3 3" xfId="1183" xr:uid="{38BDBDA4-7413-40D9-86B3-AD144D0B9591}"/>
    <cellStyle name="Comma 2 2 2 2 3 3 2" xfId="2368" xr:uid="{0626B590-2402-41EE-8802-7DEA28AF1279}"/>
    <cellStyle name="Comma 2 2 2 2 3 3 2 2" xfId="4734" xr:uid="{DDECF1C3-94FA-4A70-9221-A14FCB665039}"/>
    <cellStyle name="Comma 2 2 2 2 3 3 3" xfId="3551" xr:uid="{2C92FB2D-86E2-4849-B81F-B3B3DBD07025}"/>
    <cellStyle name="Comma 2 2 2 2 3 4" xfId="1776" xr:uid="{77DD4E23-E729-4E94-9C9C-90BD981D1658}"/>
    <cellStyle name="Comma 2 2 2 2 3 4 2" xfId="4142" xr:uid="{F2DCAA43-B5E3-473B-B0CB-BF53F2E3BDF6}"/>
    <cellStyle name="Comma 2 2 2 2 3 5" xfId="2959" xr:uid="{35709B6E-50DE-4332-AA3D-519DE6489A6C}"/>
    <cellStyle name="Comma 2 2 2 2 4" xfId="946" xr:uid="{979BDCAD-580D-4523-A23E-BED9644EC3A1}"/>
    <cellStyle name="Comma 2 2 2 2 4 2" xfId="1366" xr:uid="{CDEA14B5-3E5F-4A6B-BCAF-2C438F97B597}"/>
    <cellStyle name="Comma 2 2 2 2 4 2 2" xfId="2550" xr:uid="{32E07DD8-193A-4078-875B-D3CECE758401}"/>
    <cellStyle name="Comma 2 2 2 2 4 2 2 2" xfId="4916" xr:uid="{C4D43B09-6472-4BE4-9B58-C9906CF1ADE8}"/>
    <cellStyle name="Comma 2 2 2 2 4 2 3" xfId="3733" xr:uid="{B8D50C45-7B0A-433E-801C-E0F4EC775F27}"/>
    <cellStyle name="Comma 2 2 2 2 4 3" xfId="2132" xr:uid="{77FAF5C3-321F-4F68-A2E8-28089F78D215}"/>
    <cellStyle name="Comma 2 2 2 2 4 3 2" xfId="4498" xr:uid="{7BFF0FA9-1CBE-46FA-AA17-0C4FE9905B39}"/>
    <cellStyle name="Comma 2 2 2 2 4 4" xfId="3315" xr:uid="{2E22DB30-B87F-4775-ADE8-1C4360F9C4FB}"/>
    <cellStyle name="Comma 2 2 2 2 5" xfId="1156" xr:uid="{883D75E6-35FC-4F31-91F9-7AEB180A7EBF}"/>
    <cellStyle name="Comma 2 2 2 2 5 2" xfId="2341" xr:uid="{C84430DD-4B2C-4FA6-9B75-B5282B1EF450}"/>
    <cellStyle name="Comma 2 2 2 2 5 2 2" xfId="4707" xr:uid="{4B68D15B-CAC8-49DA-A5FB-DC4DD190581B}"/>
    <cellStyle name="Comma 2 2 2 2 5 3" xfId="3524" xr:uid="{5C928E78-D209-42B3-9177-15A546392818}"/>
    <cellStyle name="Comma 2 2 2 2 6" xfId="1749" xr:uid="{6DDF457E-74B3-41DF-947D-FCA35885FB7B}"/>
    <cellStyle name="Comma 2 2 2 2 6 2" xfId="4115" xr:uid="{6EC3DBB4-D7CC-4EB7-A785-FCBA817541C8}"/>
    <cellStyle name="Comma 2 2 2 2 7" xfId="2932" xr:uid="{29490C4D-99E3-4835-8A85-6D9699291DA3}"/>
    <cellStyle name="Comma 2 2 2 3" xfId="199" xr:uid="{459878C0-C0D3-4276-8E0B-F600B4EDDADE}"/>
    <cellStyle name="Comma 2 2 2 3 2" xfId="1004" xr:uid="{32F04B44-594F-45D9-AD39-A0819BCBD397}"/>
    <cellStyle name="Comma 2 2 2 3 2 2" xfId="1424" xr:uid="{25E09F05-C083-49C4-AE5C-16B297EF0744}"/>
    <cellStyle name="Comma 2 2 2 3 2 2 2" xfId="2608" xr:uid="{514FED14-5CC5-45A4-ABBA-51512E2E7F88}"/>
    <cellStyle name="Comma 2 2 2 3 2 2 2 2" xfId="4974" xr:uid="{C8FA9BFD-E9DF-4641-8FCF-F59CDECBEE89}"/>
    <cellStyle name="Comma 2 2 2 3 2 2 3" xfId="3791" xr:uid="{B7467F77-2D4A-40CC-8A06-2C8DE62C1005}"/>
    <cellStyle name="Comma 2 2 2 3 2 3" xfId="2190" xr:uid="{B694FD85-B8B9-44AF-8FEE-F6D76D8C977D}"/>
    <cellStyle name="Comma 2 2 2 3 2 3 2" xfId="4556" xr:uid="{48D62BA7-FB70-411E-86AC-1E1B9DF94BA8}"/>
    <cellStyle name="Comma 2 2 2 3 2 4" xfId="3373" xr:uid="{D5C9F813-9E7B-4F8E-BFA1-9F25F4CD25EE}"/>
    <cellStyle name="Comma 2 2 2 3 3" xfId="1214" xr:uid="{E80A8182-4F77-4B0A-954E-DF21F1A5B95F}"/>
    <cellStyle name="Comma 2 2 2 3 3 2" xfId="2399" xr:uid="{578ECEBE-EEB0-4446-970E-B7C7B09786F3}"/>
    <cellStyle name="Comma 2 2 2 3 3 2 2" xfId="4765" xr:uid="{F1476919-98D3-4E19-AFC1-9FE57E6FABC0}"/>
    <cellStyle name="Comma 2 2 2 3 3 3" xfId="3582" xr:uid="{31C42CD6-0590-4971-B136-867B5610B06E}"/>
    <cellStyle name="Comma 2 2 2 3 4" xfId="1807" xr:uid="{4E14EAE6-C15E-450E-B948-D2E8FDFD1DCD}"/>
    <cellStyle name="Comma 2 2 2 3 4 2" xfId="4173" xr:uid="{6C6D3F5B-6274-45DC-B402-79B0137E2785}"/>
    <cellStyle name="Comma 2 2 2 3 5" xfId="2990" xr:uid="{8B7DAB11-422B-49D9-8CE6-6F8D8A7890D4}"/>
    <cellStyle name="Comma 2 2 2 4" xfId="188" xr:uid="{1B7E840E-9ADF-4378-863C-9A79AFE6ABBC}"/>
    <cellStyle name="Comma 2 2 2 4 2" xfId="994" xr:uid="{7D81931B-FB81-497F-8434-EC62B437B621}"/>
    <cellStyle name="Comma 2 2 2 4 2 2" xfId="1414" xr:uid="{EC82D724-9175-4B9A-A57C-C2B4BCC25BC1}"/>
    <cellStyle name="Comma 2 2 2 4 2 2 2" xfId="2598" xr:uid="{B557C6B7-1795-4FFC-8312-876840C8051F}"/>
    <cellStyle name="Comma 2 2 2 4 2 2 2 2" xfId="4964" xr:uid="{9CE9D102-3EE2-4E67-A8E4-3D03EE55353A}"/>
    <cellStyle name="Comma 2 2 2 4 2 2 3" xfId="3781" xr:uid="{F71D1E4B-8DC7-40CE-A609-1ED8CAA96A99}"/>
    <cellStyle name="Comma 2 2 2 4 2 3" xfId="2180" xr:uid="{E9897697-2A92-4E37-B1A9-9FF36297524E}"/>
    <cellStyle name="Comma 2 2 2 4 2 3 2" xfId="4546" xr:uid="{E76BACBD-2B6A-4E40-94EE-A4127F30D397}"/>
    <cellStyle name="Comma 2 2 2 4 2 4" xfId="3363" xr:uid="{ABF83977-4241-40B4-B1ED-92E694041751}"/>
    <cellStyle name="Comma 2 2 2 4 3" xfId="1204" xr:uid="{2C646F7B-8271-45F3-995E-2119D6E16E09}"/>
    <cellStyle name="Comma 2 2 2 4 3 2" xfId="2389" xr:uid="{4E6579BD-372F-4168-B1FE-1541DEC579B7}"/>
    <cellStyle name="Comma 2 2 2 4 3 2 2" xfId="4755" xr:uid="{63D42FBF-ED91-45DD-AE58-FCC94EF007BB}"/>
    <cellStyle name="Comma 2 2 2 4 3 3" xfId="3572" xr:uid="{3BDA6ACA-F9C1-4547-A44B-9D8A9829685C}"/>
    <cellStyle name="Comma 2 2 2 4 4" xfId="1797" xr:uid="{584B5686-59C7-42CC-867F-0C12EF4A03F7}"/>
    <cellStyle name="Comma 2 2 2 4 4 2" xfId="4163" xr:uid="{6B61CA4C-E1F9-40E4-A98A-2C3FC1740633}"/>
    <cellStyle name="Comma 2 2 2 4 5" xfId="2980" xr:uid="{CD6E630C-8F88-4B74-9D98-935736D79385}"/>
    <cellStyle name="Comma 2 2 2 5" xfId="155" xr:uid="{07D98E84-532E-4700-8A85-2DBACD98CBD9}"/>
    <cellStyle name="Comma 2 2 2 5 2" xfId="962" xr:uid="{1E682D14-10BE-41F5-9E18-9B9CDBE9D4F5}"/>
    <cellStyle name="Comma 2 2 2 5 2 2" xfId="1382" xr:uid="{95020028-9BD7-4BCB-91B6-F4D7186AD816}"/>
    <cellStyle name="Comma 2 2 2 5 2 2 2" xfId="2566" xr:uid="{726C7A91-C9A4-4E5D-80EE-BECC4B150127}"/>
    <cellStyle name="Comma 2 2 2 5 2 2 2 2" xfId="4932" xr:uid="{CFCB6447-0877-4D23-8B0B-F275CAE6B237}"/>
    <cellStyle name="Comma 2 2 2 5 2 2 3" xfId="3749" xr:uid="{66C99F28-D385-42AC-B601-16F5E143ED12}"/>
    <cellStyle name="Comma 2 2 2 5 2 3" xfId="2148" xr:uid="{880B08A3-D999-429F-91D8-336D8DDC08DA}"/>
    <cellStyle name="Comma 2 2 2 5 2 3 2" xfId="4514" xr:uid="{C80F77FB-6A94-45DF-8268-417DA6DAEE84}"/>
    <cellStyle name="Comma 2 2 2 5 2 4" xfId="3331" xr:uid="{3BAEC3E3-F1E6-4ADE-B82A-3C459D864801}"/>
    <cellStyle name="Comma 2 2 2 5 3" xfId="1172" xr:uid="{672B3985-B830-4F5A-94D1-2BC79A6C980F}"/>
    <cellStyle name="Comma 2 2 2 5 3 2" xfId="2357" xr:uid="{7A103C5F-0A41-45A9-8FD6-0B416F57C638}"/>
    <cellStyle name="Comma 2 2 2 5 3 2 2" xfId="4723" xr:uid="{E936361E-6F0C-43A3-8C47-8F8BBF696386}"/>
    <cellStyle name="Comma 2 2 2 5 3 3" xfId="3540" xr:uid="{F2A29BEB-BF6B-4BC4-AE1D-F0F04BC25888}"/>
    <cellStyle name="Comma 2 2 2 5 4" xfId="1765" xr:uid="{E22AC120-9DFF-4023-B201-1BC4BA94659C}"/>
    <cellStyle name="Comma 2 2 2 5 4 2" xfId="4131" xr:uid="{7E7247AB-2930-4967-BEF2-A280ADE474D8}"/>
    <cellStyle name="Comma 2 2 2 5 5" xfId="2948" xr:uid="{B3FCF5F3-3BE9-49FB-B369-4E1569E91781}"/>
    <cellStyle name="Comma 2 2 2 6" xfId="935" xr:uid="{319AD178-F04D-4BF1-8215-D818DB842007}"/>
    <cellStyle name="Comma 2 2 2 6 2" xfId="1355" xr:uid="{F2E6A36A-F056-456E-894D-A5733F258E7F}"/>
    <cellStyle name="Comma 2 2 2 6 2 2" xfId="2539" xr:uid="{8459DB15-ACE1-4C82-9DDA-C8A4EB5F8F6C}"/>
    <cellStyle name="Comma 2 2 2 6 2 2 2" xfId="4905" xr:uid="{EE787C8D-089F-4B05-B993-37C8EF1A2425}"/>
    <cellStyle name="Comma 2 2 2 6 2 3" xfId="3722" xr:uid="{657F3015-45C8-4C57-8089-F4FBDE2615CD}"/>
    <cellStyle name="Comma 2 2 2 6 3" xfId="2121" xr:uid="{E3AB510C-7B8C-4E0C-8A68-B83A4C2C3667}"/>
    <cellStyle name="Comma 2 2 2 6 3 2" xfId="4487" xr:uid="{BB9EF194-DE18-4C2C-B730-B98C7F43313F}"/>
    <cellStyle name="Comma 2 2 2 6 4" xfId="3304" xr:uid="{A8416469-52BF-43A5-A08E-6B83C6002F6D}"/>
    <cellStyle name="Comma 2 2 2 7" xfId="1145" xr:uid="{B90B622F-1DA7-4809-B8A1-C0CD40E82F8B}"/>
    <cellStyle name="Comma 2 2 2 7 2" xfId="2330" xr:uid="{722E0765-692B-4C4C-861D-9A8825364D83}"/>
    <cellStyle name="Comma 2 2 2 7 2 2" xfId="4696" xr:uid="{8CD5A7D8-D17A-4C65-B137-D64E8B541E8A}"/>
    <cellStyle name="Comma 2 2 2 7 3" xfId="3513" xr:uid="{34376817-05C8-4F9D-BDB4-A65BB3C36411}"/>
    <cellStyle name="Comma 2 2 2 8" xfId="1738" xr:uid="{33C5183E-0F78-4E32-B16B-ADE57890566D}"/>
    <cellStyle name="Comma 2 2 2 8 2" xfId="4104" xr:uid="{109F3754-2937-42D3-8725-DF30C3059B88}"/>
    <cellStyle name="Comma 2 2 2 9" xfId="2921" xr:uid="{13AE37E5-C6B9-42A3-AF3D-9C73EA315759}"/>
    <cellStyle name="Comma 2 2 3" xfId="116" xr:uid="{511475E3-3F53-455B-8F35-01BF756A85EE}"/>
    <cellStyle name="Comma 2 2 3 2" xfId="211" xr:uid="{1455A3EE-4AB9-4638-9292-9D0999445DA8}"/>
    <cellStyle name="Comma 2 2 3 2 2" xfId="1013" xr:uid="{E4CA1E23-D969-40C6-B70E-87435DF5FB64}"/>
    <cellStyle name="Comma 2 2 3 2 2 2" xfId="1433" xr:uid="{EDDE31A4-10DB-44A5-BB15-EEFC7A4EDBC3}"/>
    <cellStyle name="Comma 2 2 3 2 2 2 2" xfId="2617" xr:uid="{645A7EDD-6A5F-424C-B2E9-7E14A9A4D85A}"/>
    <cellStyle name="Comma 2 2 3 2 2 2 2 2" xfId="4983" xr:uid="{7E952065-2CDF-41F0-BED9-DCC64F727E31}"/>
    <cellStyle name="Comma 2 2 3 2 2 2 3" xfId="3800" xr:uid="{B1FBB271-D34F-4C7D-8917-78CDFB5BA622}"/>
    <cellStyle name="Comma 2 2 3 2 2 3" xfId="2199" xr:uid="{8DEC817C-A3BB-4FCA-BF8D-DCAA0ECF54A5}"/>
    <cellStyle name="Comma 2 2 3 2 2 3 2" xfId="4565" xr:uid="{236F2009-88DB-4074-A3E8-17EB2F347046}"/>
    <cellStyle name="Comma 2 2 3 2 2 4" xfId="3382" xr:uid="{BB07B1DC-8D3A-401F-8B92-9EE695705A16}"/>
    <cellStyle name="Comma 2 2 3 2 3" xfId="1223" xr:uid="{1197BB85-0824-44AC-8EE4-BA67FF351503}"/>
    <cellStyle name="Comma 2 2 3 2 3 2" xfId="2408" xr:uid="{2EB70992-9FA7-4030-95E3-328254F2B93B}"/>
    <cellStyle name="Comma 2 2 3 2 3 2 2" xfId="4774" xr:uid="{F2660C2E-6E4A-468F-9347-87BBB8A803E0}"/>
    <cellStyle name="Comma 2 2 3 2 3 3" xfId="3591" xr:uid="{3784635F-D973-433F-8D51-90A224EFA361}"/>
    <cellStyle name="Comma 2 2 3 2 4" xfId="1816" xr:uid="{C72C4418-BDB0-499F-BDA4-A995C15F00CA}"/>
    <cellStyle name="Comma 2 2 3 2 4 2" xfId="4182" xr:uid="{FF4A36F9-BD41-4C03-959F-D207DD0EA4A8}"/>
    <cellStyle name="Comma 2 2 3 2 5" xfId="2999" xr:uid="{32637F05-FDF1-475C-9C28-5CA0A10362DA}"/>
    <cellStyle name="Comma 2 2 3 3" xfId="164" xr:uid="{5F23FC38-61A0-45FA-9D5F-334D2AD78CAB}"/>
    <cellStyle name="Comma 2 2 3 3 2" xfId="971" xr:uid="{C69A9060-88C0-4101-849B-B91142D5B73A}"/>
    <cellStyle name="Comma 2 2 3 3 2 2" xfId="1391" xr:uid="{5AFF1871-9A4A-4305-AF80-B63B20512360}"/>
    <cellStyle name="Comma 2 2 3 3 2 2 2" xfId="2575" xr:uid="{873652C3-D9D9-4159-91A6-D73E2FAF25C6}"/>
    <cellStyle name="Comma 2 2 3 3 2 2 2 2" xfId="4941" xr:uid="{F098C147-620A-4B29-9031-14A71A891524}"/>
    <cellStyle name="Comma 2 2 3 3 2 2 3" xfId="3758" xr:uid="{EF671085-A089-4A20-8B74-2A1085080107}"/>
    <cellStyle name="Comma 2 2 3 3 2 3" xfId="2157" xr:uid="{785C0252-A1BC-4824-BB27-50274ED64DC2}"/>
    <cellStyle name="Comma 2 2 3 3 2 3 2" xfId="4523" xr:uid="{EC350D27-2055-46BC-9BA4-8B0F8499E679}"/>
    <cellStyle name="Comma 2 2 3 3 2 4" xfId="3340" xr:uid="{C5F408B9-6FB5-4530-BE27-FD2505A32B60}"/>
    <cellStyle name="Comma 2 2 3 3 3" xfId="1181" xr:uid="{6692D5D5-58F7-43EC-8186-F800D195AE26}"/>
    <cellStyle name="Comma 2 2 3 3 3 2" xfId="2366" xr:uid="{2D20F099-A275-4D8C-90F9-EB2799381BB0}"/>
    <cellStyle name="Comma 2 2 3 3 3 2 2" xfId="4732" xr:uid="{AFBB2958-4749-46D0-BEDF-53F47BFA6AC3}"/>
    <cellStyle name="Comma 2 2 3 3 3 3" xfId="3549" xr:uid="{23C55216-D6AC-4349-9EEB-62C6F6FC5E72}"/>
    <cellStyle name="Comma 2 2 3 3 4" xfId="1774" xr:uid="{DD7E7684-E985-4611-940B-AB48F8EA52E7}"/>
    <cellStyle name="Comma 2 2 3 3 4 2" xfId="4140" xr:uid="{59B382C4-AC0A-4BDD-8962-4D4CF775F4CB}"/>
    <cellStyle name="Comma 2 2 3 3 5" xfId="2957" xr:uid="{B208E4C7-EE3E-4359-999D-707A8F7D998D}"/>
    <cellStyle name="Comma 2 2 3 4" xfId="944" xr:uid="{0406F3C0-818C-4418-87C6-8F04A3DEE6A2}"/>
    <cellStyle name="Comma 2 2 3 4 2" xfId="1364" xr:uid="{0AE4709E-B1CD-46B6-9BF6-C172A1C04646}"/>
    <cellStyle name="Comma 2 2 3 4 2 2" xfId="2548" xr:uid="{414B50D8-FDA7-49F5-9C8A-A9845AA632F1}"/>
    <cellStyle name="Comma 2 2 3 4 2 2 2" xfId="4914" xr:uid="{D46DEF83-A57D-4EC1-A930-D9098D5480B5}"/>
    <cellStyle name="Comma 2 2 3 4 2 3" xfId="3731" xr:uid="{810BC08B-7AF4-479F-8A7B-D685AC0B8AE3}"/>
    <cellStyle name="Comma 2 2 3 4 3" xfId="2130" xr:uid="{15F5EAE8-6A26-45BE-B0CC-6ACA59C3092D}"/>
    <cellStyle name="Comma 2 2 3 4 3 2" xfId="4496" xr:uid="{A70C9A6E-6E33-4C7F-9C68-7FA673915793}"/>
    <cellStyle name="Comma 2 2 3 4 4" xfId="3313" xr:uid="{ED4AE8C2-0634-4E14-80FE-D97EE0FA6E32}"/>
    <cellStyle name="Comma 2 2 3 5" xfId="1154" xr:uid="{A6FABCD4-9DE5-4FBF-8F79-CEBB408A3CDB}"/>
    <cellStyle name="Comma 2 2 3 5 2" xfId="2339" xr:uid="{602F1929-F23B-4F01-B0E3-8693B097CD7C}"/>
    <cellStyle name="Comma 2 2 3 5 2 2" xfId="4705" xr:uid="{9C60F285-9B5B-4C17-868F-699641972764}"/>
    <cellStyle name="Comma 2 2 3 5 3" xfId="3522" xr:uid="{534F958E-DCC8-4CEC-9A76-3EB418C7F2ED}"/>
    <cellStyle name="Comma 2 2 3 6" xfId="1747" xr:uid="{0AB9B510-05D4-4105-9EE5-76456125286A}"/>
    <cellStyle name="Comma 2 2 3 6 2" xfId="4113" xr:uid="{FB07052D-7CD4-431B-8102-A9A56585399E}"/>
    <cellStyle name="Comma 2 2 3 7" xfId="2930" xr:uid="{6FB011CF-F819-4CE0-8ED7-C268BAF488EF}"/>
    <cellStyle name="Comma 2 2 4" xfId="144" xr:uid="{D89E0E3A-9D07-4D6F-B77D-34FCBB156655}"/>
    <cellStyle name="Comma 2 2 5" xfId="186" xr:uid="{D01014D5-7185-43A3-8325-D7A162D4C612}"/>
    <cellStyle name="Comma 2 2 5 2" xfId="992" xr:uid="{DB4E7846-BBC7-48C2-A44F-C7CBE1C32AB2}"/>
    <cellStyle name="Comma 2 2 5 2 2" xfId="1412" xr:uid="{A7D2DE47-DCCA-4A2A-9103-40E4F09C300C}"/>
    <cellStyle name="Comma 2 2 5 2 2 2" xfId="2596" xr:uid="{6D2BD138-BFC3-4BB3-BCB6-A73230B0C8EF}"/>
    <cellStyle name="Comma 2 2 5 2 2 2 2" xfId="4962" xr:uid="{8BEBEAB3-C1B8-484D-BA42-F1981C69DDA9}"/>
    <cellStyle name="Comma 2 2 5 2 2 3" xfId="3779" xr:uid="{DBE373AF-B0B6-4973-BB11-F964B51C991B}"/>
    <cellStyle name="Comma 2 2 5 2 3" xfId="2178" xr:uid="{06E5DC50-0A55-442D-A6D1-A8F2170CAB20}"/>
    <cellStyle name="Comma 2 2 5 2 3 2" xfId="4544" xr:uid="{7E3653BD-9C96-4B83-9AF6-420E9846FAAC}"/>
    <cellStyle name="Comma 2 2 5 2 4" xfId="3361" xr:uid="{68440A81-5075-4101-9E91-CBD6C0D7A1E1}"/>
    <cellStyle name="Comma 2 2 5 3" xfId="1202" xr:uid="{68E1FF9D-06AE-42B9-B519-9604B707085D}"/>
    <cellStyle name="Comma 2 2 5 3 2" xfId="2387" xr:uid="{F72F5144-B1BA-4423-9C01-08C9A930B689}"/>
    <cellStyle name="Comma 2 2 5 3 2 2" xfId="4753" xr:uid="{2E44F0EC-DE80-41B0-83A5-057BD05D6C8B}"/>
    <cellStyle name="Comma 2 2 5 3 3" xfId="3570" xr:uid="{CC82CD71-EAB3-4C67-AF1F-D1BD3DD95151}"/>
    <cellStyle name="Comma 2 2 5 4" xfId="1795" xr:uid="{A215E494-3006-4DFA-8E64-A68145516DA8}"/>
    <cellStyle name="Comma 2 2 5 4 2" xfId="4161" xr:uid="{4107A922-57D3-4141-AD9D-5801C71F2E35}"/>
    <cellStyle name="Comma 2 2 5 5" xfId="2978" xr:uid="{A7A43168-8282-4F63-9D06-A5BAF377B1D1}"/>
    <cellStyle name="Comma 2 2 6" xfId="97" xr:uid="{387B636F-D775-40B0-8C8A-77B29AF3FDE7}"/>
    <cellStyle name="Comma 2 2 6 2" xfId="932" xr:uid="{E9307BA4-0181-409F-B678-C20FB205A8B3}"/>
    <cellStyle name="Comma 2 2 6 2 2" xfId="1352" xr:uid="{D9598B2D-B806-4CE9-AB76-5B9AD74E3179}"/>
    <cellStyle name="Comma 2 2 6 2 2 2" xfId="2536" xr:uid="{EE7FBCEB-62BF-4E1E-B4C1-BE6B6313FAB2}"/>
    <cellStyle name="Comma 2 2 6 2 2 2 2" xfId="4902" xr:uid="{4EAB4962-8B54-4746-A98B-2B03A59CA043}"/>
    <cellStyle name="Comma 2 2 6 2 2 3" xfId="3719" xr:uid="{A1C3F063-0982-4D55-8B0E-0CF29DAEBC77}"/>
    <cellStyle name="Comma 2 2 6 2 3" xfId="2118" xr:uid="{43179B4F-276D-4D40-BA46-B86EE04A68C3}"/>
    <cellStyle name="Comma 2 2 6 2 3 2" xfId="4484" xr:uid="{150E2664-C90D-47B7-A0F7-E993F0B93553}"/>
    <cellStyle name="Comma 2 2 6 2 4" xfId="3301" xr:uid="{B94B6F32-120B-4B25-911A-24C0A307717A}"/>
    <cellStyle name="Comma 2 2 6 3" xfId="1142" xr:uid="{156039DF-65D5-436C-883B-1DDECB639BDB}"/>
    <cellStyle name="Comma 2 2 6 3 2" xfId="2327" xr:uid="{B82D6664-6C39-4318-83E5-DACD00FC0F03}"/>
    <cellStyle name="Comma 2 2 6 3 2 2" xfId="4693" xr:uid="{6E324687-AF14-453E-B182-78B3B5BB9FD2}"/>
    <cellStyle name="Comma 2 2 6 3 3" xfId="3510" xr:uid="{E0C60F91-A1E3-4236-8CA9-1F4FEB7D7802}"/>
    <cellStyle name="Comma 2 2 6 4" xfId="1735" xr:uid="{3DB0458E-FF32-4822-8F6F-0EDA431E6064}"/>
    <cellStyle name="Comma 2 2 6 4 2" xfId="4101" xr:uid="{6C0CE012-4BB1-4464-B50D-C4FB1D359C7C}"/>
    <cellStyle name="Comma 2 2 6 5" xfId="2918" xr:uid="{DE62CF5A-F8C9-45D1-9CFC-6DEB5CCBDA42}"/>
    <cellStyle name="Comma 2 2 7" xfId="68" xr:uid="{59B2D8C1-2C6F-416E-9708-FAA777B613B5}"/>
    <cellStyle name="Comma 2 2 7 2" xfId="924" xr:uid="{904CD406-105C-4EFF-B68E-40CC003D447A}"/>
    <cellStyle name="Comma 2 2 7 2 2" xfId="1344" xr:uid="{91819DA2-985F-42A3-BCB1-C5A8651B0625}"/>
    <cellStyle name="Comma 2 2 7 2 2 2" xfId="2528" xr:uid="{BCAC2085-7457-424F-8558-67FE350D444B}"/>
    <cellStyle name="Comma 2 2 7 2 2 2 2" xfId="4894" xr:uid="{3B7C18C8-7388-4D31-A53A-CDDC78C413EF}"/>
    <cellStyle name="Comma 2 2 7 2 2 3" xfId="3711" xr:uid="{22125D72-FDE5-4D69-A8A9-F41DCCD7C170}"/>
    <cellStyle name="Comma 2 2 7 2 3" xfId="2110" xr:uid="{F8EB0A85-8DA7-48A0-BC6A-439A06875839}"/>
    <cellStyle name="Comma 2 2 7 2 3 2" xfId="4476" xr:uid="{19E37DAB-63B8-4589-A4E4-2E22D4F1CDF8}"/>
    <cellStyle name="Comma 2 2 7 2 4" xfId="3293" xr:uid="{70659DEC-CF46-44FC-8D9C-F61148FE0875}"/>
    <cellStyle name="Comma 2 2 7 3" xfId="1134" xr:uid="{AF1E92A6-CB59-4C29-8E3A-788BAA46573B}"/>
    <cellStyle name="Comma 2 2 7 3 2" xfId="2319" xr:uid="{708D1AAF-8EA6-4ACD-A80D-6AF849899312}"/>
    <cellStyle name="Comma 2 2 7 3 2 2" xfId="4685" xr:uid="{1F8383AA-C5A1-40C5-AA5D-6A4F136AED8E}"/>
    <cellStyle name="Comma 2 2 7 3 3" xfId="3502" xr:uid="{3861D255-62B6-49CE-84DB-8F0A5F1518A0}"/>
    <cellStyle name="Comma 2 2 7 4" xfId="1727" xr:uid="{5D487FE2-0BAA-4D52-91F6-A230AA6C1F30}"/>
    <cellStyle name="Comma 2 2 7 4 2" xfId="4093" xr:uid="{1A981B49-BDCD-46D7-A4C8-F4D5C5C7B57B}"/>
    <cellStyle name="Comma 2 2 7 5" xfId="2910" xr:uid="{B47B51CC-64F3-4CE7-95C9-D50077807832}"/>
    <cellStyle name="Comma 2 2 8" xfId="226" xr:uid="{C23102A2-8E7B-4267-937B-105494B80959}"/>
    <cellStyle name="Comma 2 2 8 2" xfId="1028" xr:uid="{E70EAE9B-221B-4D1D-A39E-CBA8BA0B0D5F}"/>
    <cellStyle name="Comma 2 2 8 2 2" xfId="1448" xr:uid="{B715E945-794F-4DFD-992B-F935B003E0C7}"/>
    <cellStyle name="Comma 2 2 8 2 2 2" xfId="2632" xr:uid="{5ACFE154-B016-4B8E-84BF-FFE46380563A}"/>
    <cellStyle name="Comma 2 2 8 2 2 2 2" xfId="4998" xr:uid="{E6201264-8B04-4CB9-BD23-5560A7BA4A51}"/>
    <cellStyle name="Comma 2 2 8 2 2 3" xfId="3815" xr:uid="{A92C24CF-B425-4B6F-AC59-994009F35E37}"/>
    <cellStyle name="Comma 2 2 8 2 3" xfId="2214" xr:uid="{6FF825F4-F916-47EA-8C6F-EC7A35F6A385}"/>
    <cellStyle name="Comma 2 2 8 2 3 2" xfId="4580" xr:uid="{1E682CA1-DE01-47D8-9F42-E1459924873F}"/>
    <cellStyle name="Comma 2 2 8 2 4" xfId="3397" xr:uid="{D324B216-6B52-454E-B703-BC8B41AE1F0F}"/>
    <cellStyle name="Comma 2 2 8 3" xfId="1238" xr:uid="{2B5DD070-7042-4DFF-B02F-A335718CE94E}"/>
    <cellStyle name="Comma 2 2 8 3 2" xfId="2423" xr:uid="{6A4D3367-CD44-4D26-B4A7-E87D867CDD08}"/>
    <cellStyle name="Comma 2 2 8 3 2 2" xfId="4789" xr:uid="{751827C3-DA30-4545-A3FF-E0C8F8B0463D}"/>
    <cellStyle name="Comma 2 2 8 3 3" xfId="3606" xr:uid="{D3B8E89E-8EDE-49A8-BD12-06B26B0CB651}"/>
    <cellStyle name="Comma 2 2 8 4" xfId="1831" xr:uid="{278E3A0D-FF0D-44C2-8E98-5682BAEEBB49}"/>
    <cellStyle name="Comma 2 2 8 4 2" xfId="4197" xr:uid="{EE223676-01AB-40A9-8CC7-1D097DAAB781}"/>
    <cellStyle name="Comma 2 2 8 5" xfId="3014" xr:uid="{DD7CF252-0A3C-406B-846B-1A053673D409}"/>
    <cellStyle name="Comma 2 2 9" xfId="63" xr:uid="{47F97648-72C1-4BD6-8CEC-EFEA07FE4359}"/>
    <cellStyle name="Comma 2 2 9 2" xfId="920" xr:uid="{2BB312C8-114D-40E2-9FC7-5CA6D447379D}"/>
    <cellStyle name="Comma 2 2 9 2 2" xfId="1340" xr:uid="{37F8623A-A3E5-49AA-8B31-FB312C562AD6}"/>
    <cellStyle name="Comma 2 2 9 2 2 2" xfId="2524" xr:uid="{519E7333-43F7-468B-B206-DE77F2DC0121}"/>
    <cellStyle name="Comma 2 2 9 2 2 2 2" xfId="4890" xr:uid="{8113A069-30E5-4A63-89D2-7B9F2B2C5722}"/>
    <cellStyle name="Comma 2 2 9 2 2 3" xfId="3707" xr:uid="{385A3424-7130-429A-A8FE-9A0197659174}"/>
    <cellStyle name="Comma 2 2 9 2 3" xfId="2106" xr:uid="{AC6D14A8-2B74-4B61-95D2-E25A798B312C}"/>
    <cellStyle name="Comma 2 2 9 2 3 2" xfId="4472" xr:uid="{B00FB6CF-0EB5-495B-9EE1-5CF99B672D65}"/>
    <cellStyle name="Comma 2 2 9 2 4" xfId="3289" xr:uid="{FE3E083A-63B9-4992-A20A-5935D8A2E8F4}"/>
    <cellStyle name="Comma 2 2 9 3" xfId="1130" xr:uid="{ABFFBBAC-B60B-4254-949E-E65E7F0F3EF8}"/>
    <cellStyle name="Comma 2 2 9 3 2" xfId="2315" xr:uid="{2DA26078-2DED-45EC-8773-5D5B90B30DAA}"/>
    <cellStyle name="Comma 2 2 9 3 2 2" xfId="4681" xr:uid="{6ED573C6-1E09-4EEE-8D36-94A242639995}"/>
    <cellStyle name="Comma 2 2 9 3 3" xfId="3498" xr:uid="{37623A1D-8D8C-4DDB-8977-F686885B66E6}"/>
    <cellStyle name="Comma 2 2 9 4" xfId="1723" xr:uid="{361582C5-2B1E-4291-A8FE-9069F67E2D16}"/>
    <cellStyle name="Comma 2 2 9 4 2" xfId="4089" xr:uid="{D8FB8E77-8458-46CF-BC25-09733EA3CE50}"/>
    <cellStyle name="Comma 2 2 9 5" xfId="2906" xr:uid="{FA3358F5-5FCE-4207-8340-FEB9779041D2}"/>
    <cellStyle name="Comma 2 3" xfId="114" xr:uid="{61FAE388-EB06-48CD-BE91-A1D5AC20691D}"/>
    <cellStyle name="Comma 2 3 2" xfId="209" xr:uid="{20B1913D-9C55-4E8E-851D-759536F0C4D4}"/>
    <cellStyle name="Comma 2 3 2 2" xfId="1011" xr:uid="{0D54225A-C6A8-4B93-A2D7-FE39FECA896A}"/>
    <cellStyle name="Comma 2 3 2 2 2" xfId="1431" xr:uid="{2C62E504-6DF0-432C-B7B4-739226FC9F23}"/>
    <cellStyle name="Comma 2 3 2 2 2 2" xfId="2615" xr:uid="{0497B13E-10CD-4334-88D4-8EB1D8B3FE69}"/>
    <cellStyle name="Comma 2 3 2 2 2 2 2" xfId="4981" xr:uid="{77C4A889-B6A5-4CD2-8DFB-54F0D5977D07}"/>
    <cellStyle name="Comma 2 3 2 2 2 3" xfId="3798" xr:uid="{26605A05-E749-4E60-90CE-EC7FD90C2D58}"/>
    <cellStyle name="Comma 2 3 2 2 3" xfId="2197" xr:uid="{E6759A3B-5F1C-47DC-84D3-0AE5F8CCE1A9}"/>
    <cellStyle name="Comma 2 3 2 2 3 2" xfId="4563" xr:uid="{474F7EB4-B3CF-448C-A542-20A20E6DAB5D}"/>
    <cellStyle name="Comma 2 3 2 2 4" xfId="3380" xr:uid="{2AFAA93A-5524-4B96-80EF-FB03B90D7454}"/>
    <cellStyle name="Comma 2 3 2 3" xfId="1221" xr:uid="{D5BA2F7D-D171-4E09-94A8-640E6B635142}"/>
    <cellStyle name="Comma 2 3 2 3 2" xfId="2406" xr:uid="{BE61AFCE-CF5C-4C00-B0CE-C02D9E798910}"/>
    <cellStyle name="Comma 2 3 2 3 2 2" xfId="4772" xr:uid="{F742821D-0A27-4DF4-89A5-66388DB2EACA}"/>
    <cellStyle name="Comma 2 3 2 3 3" xfId="3589" xr:uid="{81606096-DAE7-43F9-B155-8C92F56D4FB7}"/>
    <cellStyle name="Comma 2 3 2 4" xfId="1814" xr:uid="{DE8D45E9-7F66-4F44-9A48-B018FC1C32BA}"/>
    <cellStyle name="Comma 2 3 2 4 2" xfId="4180" xr:uid="{45335582-A102-401D-95F5-0FAF524F49E8}"/>
    <cellStyle name="Comma 2 3 2 5" xfId="2997" xr:uid="{12D3D499-6A1C-433A-8067-EB92880A780D}"/>
    <cellStyle name="Comma 2 3 3" xfId="162" xr:uid="{21D2D203-C6C0-4938-A434-AF4F089AB335}"/>
    <cellStyle name="Comma 2 3 3 2" xfId="969" xr:uid="{47C98640-3B5F-467D-B3F2-83F0AACD106D}"/>
    <cellStyle name="Comma 2 3 3 2 2" xfId="1389" xr:uid="{91D72518-8EE8-4D2A-84A1-D045180F1232}"/>
    <cellStyle name="Comma 2 3 3 2 2 2" xfId="2573" xr:uid="{DB301750-60F7-4897-9560-8F9B78740E76}"/>
    <cellStyle name="Comma 2 3 3 2 2 2 2" xfId="4939" xr:uid="{22739DE8-C36F-41D6-B9C1-98D7E055139B}"/>
    <cellStyle name="Comma 2 3 3 2 2 3" xfId="3756" xr:uid="{1F55818B-EF11-4068-99CD-6C5100C6B2FE}"/>
    <cellStyle name="Comma 2 3 3 2 3" xfId="2155" xr:uid="{BD7BFCA6-390C-425D-A044-D8A485E4EF1D}"/>
    <cellStyle name="Comma 2 3 3 2 3 2" xfId="4521" xr:uid="{27811CEF-5100-4AD0-94B5-1F84B36408E5}"/>
    <cellStyle name="Comma 2 3 3 2 4" xfId="3338" xr:uid="{6D060EEA-817E-452E-B14D-AAE3BEC76D85}"/>
    <cellStyle name="Comma 2 3 3 3" xfId="1179" xr:uid="{4557F1EB-C596-44E0-8983-2F285E79A5D6}"/>
    <cellStyle name="Comma 2 3 3 3 2" xfId="2364" xr:uid="{362E1702-538F-4207-9D35-0F2B5503F05E}"/>
    <cellStyle name="Comma 2 3 3 3 2 2" xfId="4730" xr:uid="{86D3CAC2-F4EE-4476-98F9-1BE598B30DC9}"/>
    <cellStyle name="Comma 2 3 3 3 3" xfId="3547" xr:uid="{3D9DB920-12A0-4590-907F-FD33F0B5FBBB}"/>
    <cellStyle name="Comma 2 3 3 4" xfId="1772" xr:uid="{B5283AE2-6F75-4C4B-94BF-511282525201}"/>
    <cellStyle name="Comma 2 3 3 4 2" xfId="4138" xr:uid="{318864F1-DB4E-4CEB-888C-0B32632449FB}"/>
    <cellStyle name="Comma 2 3 3 5" xfId="2955" xr:uid="{3F476B1C-08CF-4A05-A61B-06BBD4150F0B}"/>
    <cellStyle name="Comma 2 3 4" xfId="942" xr:uid="{F6D2FD71-F2CB-4D3F-ABAD-E0935FFE3A95}"/>
    <cellStyle name="Comma 2 3 4 2" xfId="1362" xr:uid="{1736344D-C1A6-4A1F-B787-8A67A5E45930}"/>
    <cellStyle name="Comma 2 3 4 2 2" xfId="2546" xr:uid="{E484791D-E7D1-428E-831B-BEF3A3895122}"/>
    <cellStyle name="Comma 2 3 4 2 2 2" xfId="4912" xr:uid="{E7722BDE-2BA2-48A5-99E0-FC32FA3D8B5D}"/>
    <cellStyle name="Comma 2 3 4 2 3" xfId="3729" xr:uid="{AD622D42-7253-461D-BC3D-B2A0E727BF16}"/>
    <cellStyle name="Comma 2 3 4 3" xfId="2128" xr:uid="{5EC2DA64-610D-46C5-A8B8-EB03252147FE}"/>
    <cellStyle name="Comma 2 3 4 3 2" xfId="4494" xr:uid="{2360D320-F515-4021-A305-31FD2CE76E7F}"/>
    <cellStyle name="Comma 2 3 4 4" xfId="3311" xr:uid="{C4CF889A-99E4-43C5-A40A-2634AA663EE1}"/>
    <cellStyle name="Comma 2 3 5" xfId="1152" xr:uid="{3022395B-3449-45C0-9C78-FE05096F2FDE}"/>
    <cellStyle name="Comma 2 3 5 2" xfId="2337" xr:uid="{EBF60FAD-9353-401C-AB95-9E57D037C612}"/>
    <cellStyle name="Comma 2 3 5 2 2" xfId="4703" xr:uid="{092F758F-5E6B-4BCA-B7A5-E138E397DF7F}"/>
    <cellStyle name="Comma 2 3 5 3" xfId="3520" xr:uid="{AD28BDA8-66ED-40FC-BAC5-5129C4DD34D1}"/>
    <cellStyle name="Comma 2 3 6" xfId="1745" xr:uid="{9480638B-3AEA-4217-AD09-5288B08B2989}"/>
    <cellStyle name="Comma 2 3 6 2" xfId="4111" xr:uid="{BE7A85F8-CE5E-467C-A395-67EF0CF9E9FE}"/>
    <cellStyle name="Comma 2 3 7" xfId="2928" xr:uid="{C12A6026-5994-4DD4-8746-B74F55A5FCE3}"/>
    <cellStyle name="Comma 2 4" xfId="196" xr:uid="{04425C75-037F-46A6-A903-F3E7E8D67E98}"/>
    <cellStyle name="Comma 2 4 2" xfId="1001" xr:uid="{A7EC2D95-40D4-4C9C-AEDB-C0AEA8F04E15}"/>
    <cellStyle name="Comma 2 4 2 2" xfId="1421" xr:uid="{D7A8CA60-1D4D-4099-9399-2196B04644DA}"/>
    <cellStyle name="Comma 2 4 2 2 2" xfId="2605" xr:uid="{ECEEB19B-C403-43E5-95A4-7FEAC0348B00}"/>
    <cellStyle name="Comma 2 4 2 2 2 2" xfId="4971" xr:uid="{4FDE4F71-F6C3-474E-AA56-F27F437FB6F5}"/>
    <cellStyle name="Comma 2 4 2 2 3" xfId="3788" xr:uid="{F11CB9C4-42A9-4216-B297-242584F5C3D0}"/>
    <cellStyle name="Comma 2 4 2 3" xfId="2187" xr:uid="{DD4B9D4C-BC1D-4810-B5B2-2E7A2DAD99A7}"/>
    <cellStyle name="Comma 2 4 2 3 2" xfId="4553" xr:uid="{4E05C165-FD4A-4F06-B971-76A009D3C0BB}"/>
    <cellStyle name="Comma 2 4 2 4" xfId="3370" xr:uid="{264E79FC-EB46-44BC-8A7F-4D66CC9AB1ED}"/>
    <cellStyle name="Comma 2 4 3" xfId="1211" xr:uid="{6CD0DAA1-19DC-4C36-8399-209ED371A8BC}"/>
    <cellStyle name="Comma 2 4 3 2" xfId="2396" xr:uid="{530494E0-40F5-4EC2-B19F-B8D9FD994F47}"/>
    <cellStyle name="Comma 2 4 3 2 2" xfId="4762" xr:uid="{7EABB60A-05ED-486C-A58C-F352C0DC9F03}"/>
    <cellStyle name="Comma 2 4 3 3" xfId="3579" xr:uid="{6FEB1570-482D-4E78-AD2D-77F821ECFA00}"/>
    <cellStyle name="Comma 2 4 4" xfId="1804" xr:uid="{E8FF2D05-9EF7-4481-B337-07A3B037F3A8}"/>
    <cellStyle name="Comma 2 4 4 2" xfId="4170" xr:uid="{D0B9C9BB-338D-41C8-A88F-C31364BF94D0}"/>
    <cellStyle name="Comma 2 4 5" xfId="2987" xr:uid="{24230142-4AD3-4719-A671-EB39D5185450}"/>
    <cellStyle name="Comma 2 5" xfId="184" xr:uid="{66BD07A6-D025-408C-AF9B-147C067759A4}"/>
    <cellStyle name="Comma 2 5 2" xfId="990" xr:uid="{78E79EA3-752F-44F2-8659-26439A877CB9}"/>
    <cellStyle name="Comma 2 5 2 2" xfId="1410" xr:uid="{4783E3DF-800A-4A92-AB8A-A7B0CCA3591D}"/>
    <cellStyle name="Comma 2 5 2 2 2" xfId="2594" xr:uid="{95C1F55A-71EB-4A80-AC9C-ECBDC017AF27}"/>
    <cellStyle name="Comma 2 5 2 2 2 2" xfId="4960" xr:uid="{07D198A8-EBB1-45C9-9910-651D35C788A9}"/>
    <cellStyle name="Comma 2 5 2 2 3" xfId="3777" xr:uid="{2D489B75-5FA2-4E4A-835B-AAB250F76D21}"/>
    <cellStyle name="Comma 2 5 2 3" xfId="2176" xr:uid="{523F05C6-AAB2-4B8F-AE0B-28B897DE0796}"/>
    <cellStyle name="Comma 2 5 2 3 2" xfId="4542" xr:uid="{DB3C863E-22F4-4EC2-9C73-9C8201953858}"/>
    <cellStyle name="Comma 2 5 2 4" xfId="3359" xr:uid="{9391D361-BADD-4593-B205-64378C4869FE}"/>
    <cellStyle name="Comma 2 5 3" xfId="1200" xr:uid="{68CD6869-D24C-442B-9329-0713B720C5F4}"/>
    <cellStyle name="Comma 2 5 3 2" xfId="2385" xr:uid="{F064E51B-1D75-448C-A0AF-6F974AAA43FA}"/>
    <cellStyle name="Comma 2 5 3 2 2" xfId="4751" xr:uid="{1AA02C51-2E95-47BB-9AFB-D369C95FB534}"/>
    <cellStyle name="Comma 2 5 3 3" xfId="3568" xr:uid="{1CCF1F67-FC0A-4976-A75E-84FB42751646}"/>
    <cellStyle name="Comma 2 5 4" xfId="1793" xr:uid="{28ADBA33-7170-481E-9C7C-341898B09412}"/>
    <cellStyle name="Comma 2 5 4 2" xfId="4159" xr:uid="{1BFB31E8-EA33-468C-A14C-E4FF2B57D98E}"/>
    <cellStyle name="Comma 2 5 5" xfId="2976" xr:uid="{7023BF66-848F-473A-B757-DA1DEA213EF5}"/>
    <cellStyle name="Comma 2 6" xfId="152" xr:uid="{62FFA87D-C150-4FD6-8F4F-E9C0E3141A3D}"/>
    <cellStyle name="Comma 2 6 2" xfId="959" xr:uid="{8F8519B2-01C4-413E-8068-23FF96A1B397}"/>
    <cellStyle name="Comma 2 6 2 2" xfId="1379" xr:uid="{C11D25B1-91CD-4E7E-B1F9-8D592147DD71}"/>
    <cellStyle name="Comma 2 6 2 2 2" xfId="2563" xr:uid="{C51A5C98-672B-43FA-B180-BF877254C926}"/>
    <cellStyle name="Comma 2 6 2 2 2 2" xfId="4929" xr:uid="{541C501C-7EF4-4D17-81F4-7D450A03D6ED}"/>
    <cellStyle name="Comma 2 6 2 2 3" xfId="3746" xr:uid="{E5C380E3-6540-437E-AA9A-B6A272D3C7B1}"/>
    <cellStyle name="Comma 2 6 2 3" xfId="2145" xr:uid="{95777644-968E-492C-8632-1BAF48D84DFE}"/>
    <cellStyle name="Comma 2 6 2 3 2" xfId="4511" xr:uid="{63B06F96-65DF-4860-A3FB-0E2D363F06CA}"/>
    <cellStyle name="Comma 2 6 2 4" xfId="3328" xr:uid="{81FC1FF7-8D33-4D05-9ADD-7F08B6D0BAC8}"/>
    <cellStyle name="Comma 2 6 3" xfId="1169" xr:uid="{A444B450-2E72-4360-BBAD-E4730ACC8D2B}"/>
    <cellStyle name="Comma 2 6 3 2" xfId="2354" xr:uid="{20275112-2498-4696-B5A1-568E92AFACF7}"/>
    <cellStyle name="Comma 2 6 3 2 2" xfId="4720" xr:uid="{D6CD739E-620B-45A6-B920-A79B263F7E83}"/>
    <cellStyle name="Comma 2 6 3 3" xfId="3537" xr:uid="{C31114A3-4319-4768-99F6-D09011F2C814}"/>
    <cellStyle name="Comma 2 6 4" xfId="1762" xr:uid="{44C1A031-DCC6-457D-8A71-64653598C1AE}"/>
    <cellStyle name="Comma 2 6 4 2" xfId="4128" xr:uid="{59583FD0-2A98-4D1C-82E1-4C61B537EF3C}"/>
    <cellStyle name="Comma 2 6 5" xfId="2945" xr:uid="{C43ABE57-3533-41D4-8D09-0DCA4ED5DBA0}"/>
    <cellStyle name="Comma 2 7" xfId="84" xr:uid="{68FF14FA-32C0-4412-9A01-418C79F05F1B}"/>
    <cellStyle name="Comma 2 7 2" xfId="930" xr:uid="{06ED0986-C0FE-4C43-B6AC-3BBC467D21AB}"/>
    <cellStyle name="Comma 2 7 2 2" xfId="1350" xr:uid="{887EE388-0B56-4F62-8926-8DD9BD680CA1}"/>
    <cellStyle name="Comma 2 7 2 2 2" xfId="2534" xr:uid="{98CAC28B-1D45-46C1-8085-D08DD5AEAFB0}"/>
    <cellStyle name="Comma 2 7 2 2 2 2" xfId="4900" xr:uid="{A816D770-B168-442D-AAB4-1EA48EF52602}"/>
    <cellStyle name="Comma 2 7 2 2 3" xfId="3717" xr:uid="{34DC6141-D9F7-43F2-9DCD-9F0B551B646E}"/>
    <cellStyle name="Comma 2 7 2 3" xfId="2116" xr:uid="{FC9C179F-76BD-4234-829A-8F9A9815880F}"/>
    <cellStyle name="Comma 2 7 2 3 2" xfId="4482" xr:uid="{7ADADE2E-BADE-439F-8E09-C98FA1680DAA}"/>
    <cellStyle name="Comma 2 7 2 4" xfId="3299" xr:uid="{5DA89F80-81E5-4B6E-AD40-F5CCE6D0EAEE}"/>
    <cellStyle name="Comma 2 7 3" xfId="1140" xr:uid="{7446AED0-58FF-47E2-B6A1-6F96581A8674}"/>
    <cellStyle name="Comma 2 7 3 2" xfId="2325" xr:uid="{1231EF48-2E73-497E-9602-13CCFE6AA547}"/>
    <cellStyle name="Comma 2 7 3 2 2" xfId="4691" xr:uid="{73705203-1B28-4385-B962-492B040BAA7C}"/>
    <cellStyle name="Comma 2 7 3 3" xfId="3508" xr:uid="{34AC33B2-515E-4443-8CAC-86E3D1DF1491}"/>
    <cellStyle name="Comma 2 7 4" xfId="1733" xr:uid="{CF1C3A88-E6A4-4287-A132-FAD7471F5374}"/>
    <cellStyle name="Comma 2 7 4 2" xfId="4099" xr:uid="{AFBA94E8-FF81-4499-A1BA-F3178E3724F3}"/>
    <cellStyle name="Comma 2 7 5" xfId="2916" xr:uid="{5DA3CBE8-5885-4F65-A605-279AF35EFA72}"/>
    <cellStyle name="Comma 3" xfId="93" xr:uid="{778820F1-54C2-4A56-B700-3E784666F2F5}"/>
    <cellStyle name="Comma 3 2" xfId="133" xr:uid="{21F85D56-9C1D-49BC-A794-0FFA26E200D2}"/>
    <cellStyle name="Comma 4" xfId="94" xr:uid="{456E5C12-1C7E-49C5-BA0B-C8BA0B306B5B}"/>
    <cellStyle name="Comma 4 2" xfId="134" xr:uid="{8091119E-E6E0-460D-86D0-921429EA025F}"/>
    <cellStyle name="Comma 5" xfId="82" xr:uid="{525BCA87-03EA-4069-B71B-B05119DCD756}"/>
    <cellStyle name="Comma 5 2" xfId="131" xr:uid="{91927FFF-8701-4967-9C92-82E6B9C953C9}"/>
    <cellStyle name="Comma 6" xfId="90" xr:uid="{25B8D004-B9B9-4F15-9650-4122E9A12C8F}"/>
    <cellStyle name="Comma 6 2" xfId="132" xr:uid="{131843BB-189B-4591-80DF-7D1D0D6EB43B}"/>
    <cellStyle name="Comma 7" xfId="95" xr:uid="{E94D02A0-4BE5-4727-BB4F-0E93C8B0C811}"/>
    <cellStyle name="Comma 7 2" xfId="135" xr:uid="{91A33982-9653-42B8-8E85-2BCCAC3F7F74}"/>
    <cellStyle name="Comma 8" xfId="96" xr:uid="{D19FE2D4-67F6-4205-90FF-5F4E94AAC68A}"/>
    <cellStyle name="Comma 8 2" xfId="136" xr:uid="{FA8F2F36-92E1-4F2C-A44E-8757629F404D}"/>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Excel Built-in Normal 2" xfId="5291" xr:uid="{7E509039-312E-4DF0-AAFE-55AC2DEF2438}"/>
    <cellStyle name="Hipervínculo" xfId="58" builtinId="8"/>
    <cellStyle name="Hipervínculo 2" xfId="249" xr:uid="{B4D43234-A736-4986-8E94-8FF62AAA6A5F}"/>
    <cellStyle name="Hipervínculo 2 2" xfId="5289" xr:uid="{D3F31AF7-1F04-45E3-83A8-7829D725E6B5}"/>
    <cellStyle name="Hipervínculo 3" xfId="465" xr:uid="{7EF390A5-9C0A-4D12-AAD3-A818BC71E5C8}"/>
    <cellStyle name="Incorrecto" xfId="7" builtinId="27" customBuiltin="1"/>
    <cellStyle name="Intermitente" xfId="736" xr:uid="{D0D21CB4-E62C-4E9D-B857-353E7D2FED17}"/>
    <cellStyle name="Millares" xfId="1" builtinId="3"/>
    <cellStyle name="Millares [0]" xfId="51" builtinId="6"/>
    <cellStyle name="Millares [0] 10" xfId="98" xr:uid="{7027B8B8-83EF-420C-9FA9-78EF53089FD0}"/>
    <cellStyle name="Millares [0] 10 10" xfId="2919" xr:uid="{14F3576C-3E88-4515-B8FF-FA8535ABDF17}"/>
    <cellStyle name="Millares [0] 10 11" xfId="5364" xr:uid="{C55DAA5F-7C08-4242-A576-B317CB7666E0}"/>
    <cellStyle name="Millares [0] 10 2" xfId="601" xr:uid="{E64A32A3-0176-4929-A0FE-A465E93FAD3D}"/>
    <cellStyle name="Millares [0] 10 2 2" xfId="819" xr:uid="{92B44EE8-AE4F-4C95-BFBC-54914ADB07EF}"/>
    <cellStyle name="Millares [0] 10 2 2 2" xfId="1623" xr:uid="{A7DF8665-8BB2-4899-BEDB-371927C29047}"/>
    <cellStyle name="Millares [0] 10 2 2 2 2" xfId="2806" xr:uid="{4F51C037-8A8D-4451-AC8A-5A4925B69415}"/>
    <cellStyle name="Millares [0] 10 2 2 2 2 2" xfId="5172" xr:uid="{2D4B860D-73DB-43EB-ABF8-09E898345EF5}"/>
    <cellStyle name="Millares [0] 10 2 2 2 3" xfId="3989" xr:uid="{29AF6F38-7588-4E75-A9F9-B4254A6AE594}"/>
    <cellStyle name="Millares [0] 10 2 2 3" xfId="2005" xr:uid="{99645A1A-2512-41FA-BAD0-41FEA468804E}"/>
    <cellStyle name="Millares [0] 10 2 2 3 2" xfId="4371" xr:uid="{793F5B7C-21EB-40B6-9F14-A82FC23819FD}"/>
    <cellStyle name="Millares [0] 10 2 2 4" xfId="3188" xr:uid="{364C54D2-25DA-4397-AB25-C3DAE3F25B33}"/>
    <cellStyle name="Millares [0] 10 2 3" xfId="1088" xr:uid="{3B34BA3A-90E7-4E64-9BBB-1927EB4CA37B}"/>
    <cellStyle name="Millares [0] 10 2 3 2" xfId="1508" xr:uid="{F6BC80B2-9001-485F-8F28-D54D623C7847}"/>
    <cellStyle name="Millares [0] 10 2 3 2 2" xfId="2691" xr:uid="{D4D456DF-EAB0-44B5-A294-22EA4AA58B14}"/>
    <cellStyle name="Millares [0] 10 2 3 2 2 2" xfId="5057" xr:uid="{97CAB599-AC07-4BA7-9BA2-199871AAA804}"/>
    <cellStyle name="Millares [0] 10 2 3 2 3" xfId="3874" xr:uid="{4468D1A8-D2EB-4F72-AEA8-27E977C63280}"/>
    <cellStyle name="Millares [0] 10 2 3 3" xfId="2273" xr:uid="{522F1843-57A2-4DD6-B7EC-E91C8DA8AB84}"/>
    <cellStyle name="Millares [0] 10 2 3 3 2" xfId="4639" xr:uid="{8BF0D37C-E191-4420-A874-4750356F8ECA}"/>
    <cellStyle name="Millares [0] 10 2 3 4" xfId="3456" xr:uid="{8C492308-CFC6-40A2-940A-2B6378224612}"/>
    <cellStyle name="Millares [0] 10 2 4" xfId="1298" xr:uid="{1B5EE1C2-A2D9-47FC-BF4E-5D87D1581E3E}"/>
    <cellStyle name="Millares [0] 10 2 4 2" xfId="2482" xr:uid="{43F8A388-83E2-4815-8B66-54044F8FDC2B}"/>
    <cellStyle name="Millares [0] 10 2 4 2 2" xfId="4848" xr:uid="{258FD3A9-2710-4C18-8940-AACDE986DB1E}"/>
    <cellStyle name="Millares [0] 10 2 4 3" xfId="3665" xr:uid="{9AD4457F-8597-45BE-9339-1D72C2A3A73C}"/>
    <cellStyle name="Millares [0] 10 2 5" xfId="1890" xr:uid="{81D6F361-8C69-471D-8250-C2BCC0844C8D}"/>
    <cellStyle name="Millares [0] 10 2 5 2" xfId="4256" xr:uid="{2D07E0A9-E403-4769-8367-9CA3C4EDBE31}"/>
    <cellStyle name="Millares [0] 10 2 6" xfId="3073" xr:uid="{64E16E8A-9708-4FD4-ABC6-DED0823A120E}"/>
    <cellStyle name="Millares [0] 10 3" xfId="355" xr:uid="{DE50EF16-5586-4B49-BFD3-D5B5444AFC70}"/>
    <cellStyle name="Millares [0] 10 3 2" xfId="847" xr:uid="{7C690D8C-374B-4A56-9C43-781CB5F1C871}"/>
    <cellStyle name="Millares [0] 10 3 2 2" xfId="1651" xr:uid="{3BAA2534-829C-4E8D-B336-CB2670DF2366}"/>
    <cellStyle name="Millares [0] 10 3 2 2 2" xfId="2834" xr:uid="{D63B4AE7-7EF9-4875-B3C8-94A0C3261E5B}"/>
    <cellStyle name="Millares [0] 10 3 2 2 2 2" xfId="5200" xr:uid="{C9024642-7093-41C3-9894-B425C47EBC3C}"/>
    <cellStyle name="Millares [0] 10 3 2 2 3" xfId="4017" xr:uid="{AEB64CDD-ADCE-4924-8C55-AEE5A227C7AC}"/>
    <cellStyle name="Millares [0] 10 3 2 3" xfId="2033" xr:uid="{242AC1CC-0E47-44B3-99FF-EA261617AFB5}"/>
    <cellStyle name="Millares [0] 10 3 2 3 2" xfId="4399" xr:uid="{120C885F-BCA5-45D7-A0B5-884B047D2760}"/>
    <cellStyle name="Millares [0] 10 3 2 4" xfId="3216" xr:uid="{D1ED111A-5E30-4F8B-AB3B-A54BB4590620}"/>
    <cellStyle name="Millares [0] 10 3 3" xfId="1053" xr:uid="{DD1F4248-4760-4133-9E74-49AEAE268702}"/>
    <cellStyle name="Millares [0] 10 3 3 2" xfId="1473" xr:uid="{85470DB8-C8C7-4C70-B399-2B144C758BF9}"/>
    <cellStyle name="Millares [0] 10 3 3 2 2" xfId="2656" xr:uid="{92CCDD4D-EC27-45C6-9CC0-0630F3A5F7F2}"/>
    <cellStyle name="Millares [0] 10 3 3 2 2 2" xfId="5022" xr:uid="{189E7861-C2C8-4D58-80D6-E37C0D3A8B66}"/>
    <cellStyle name="Millares [0] 10 3 3 2 3" xfId="3839" xr:uid="{971F26D0-8EE6-46B9-A388-CB4A49FB0B4C}"/>
    <cellStyle name="Millares [0] 10 3 3 3" xfId="2238" xr:uid="{6A712704-AACE-4A2C-8F48-B194064B5523}"/>
    <cellStyle name="Millares [0] 10 3 3 3 2" xfId="4604" xr:uid="{B96D4A74-6E3E-4456-BDFB-6FAC78356338}"/>
    <cellStyle name="Millares [0] 10 3 3 4" xfId="3421" xr:uid="{7EDBAC4E-D543-4D31-8094-EC950E0AE170}"/>
    <cellStyle name="Millares [0] 10 3 4" xfId="1263" xr:uid="{5002BFF4-1E43-46D8-B08C-1F383D9F8313}"/>
    <cellStyle name="Millares [0] 10 3 4 2" xfId="2447" xr:uid="{87824429-A5CC-4B28-8F3B-3D3D310DB6E3}"/>
    <cellStyle name="Millares [0] 10 3 4 2 2" xfId="4813" xr:uid="{9FA3262C-D35F-44FF-87E2-DBE594D28A60}"/>
    <cellStyle name="Millares [0] 10 3 4 3" xfId="3630" xr:uid="{8DD5CB93-223F-452C-AC52-7B3C9807D2BC}"/>
    <cellStyle name="Millares [0] 10 3 5" xfId="1855" xr:uid="{D76E9FD5-FD8E-4CB7-90D0-FAB58040C8A3}"/>
    <cellStyle name="Millares [0] 10 3 5 2" xfId="4221" xr:uid="{2B00AA20-442D-4838-92E7-BFD40EA32373}"/>
    <cellStyle name="Millares [0] 10 3 6" xfId="3038" xr:uid="{AC1E9289-5AA0-43EE-BCB6-1F5ABA10E506}"/>
    <cellStyle name="Millares [0] 10 4" xfId="759" xr:uid="{E6C24EA8-C75C-4DEC-A6AC-813D817338A4}"/>
    <cellStyle name="Millares [0] 10 4 2" xfId="875" xr:uid="{6D7221DF-FDDD-4813-BBD5-0CB79BB2F73D}"/>
    <cellStyle name="Millares [0] 10 4 2 2" xfId="1679" xr:uid="{0943D2E5-4692-486A-A59D-1CCCFD1993D4}"/>
    <cellStyle name="Millares [0] 10 4 2 2 2" xfId="2862" xr:uid="{9C7841AA-CE47-4B89-96A6-0218A0756048}"/>
    <cellStyle name="Millares [0] 10 4 2 2 2 2" xfId="5228" xr:uid="{F0598A73-F4CA-4513-A13A-82D4D9AF22DD}"/>
    <cellStyle name="Millares [0] 10 4 2 2 3" xfId="4045" xr:uid="{D9E3D6B4-9909-49DD-B8E5-1F2AF6FB8AC1}"/>
    <cellStyle name="Millares [0] 10 4 2 3" xfId="2061" xr:uid="{1847D867-0FE4-4D1D-ABC9-845858D31463}"/>
    <cellStyle name="Millares [0] 10 4 2 3 2" xfId="4427" xr:uid="{F16C9FA4-EE6A-40EC-9C62-D94FD17C0526}"/>
    <cellStyle name="Millares [0] 10 4 2 4" xfId="3244" xr:uid="{33CE0218-35FD-4473-99B0-B620D6885A61}"/>
    <cellStyle name="Millares [0] 10 4 3" xfId="1563" xr:uid="{BF835C62-DA53-479E-B8E0-5262851EDFE1}"/>
    <cellStyle name="Millares [0] 10 4 3 2" xfId="2746" xr:uid="{F917C7AD-832E-4F0B-BCEE-80603AEF09E2}"/>
    <cellStyle name="Millares [0] 10 4 3 2 2" xfId="5112" xr:uid="{5877E8C8-0AC2-4E01-AD28-7EC78C9AE7B3}"/>
    <cellStyle name="Millares [0] 10 4 3 3" xfId="3929" xr:uid="{EB947792-FB9D-4496-BA94-0E28CFF2CABA}"/>
    <cellStyle name="Millares [0] 10 4 4" xfId="1945" xr:uid="{9A0E0BD0-3157-457F-82C6-51AEC2E5DFA5}"/>
    <cellStyle name="Millares [0] 10 4 4 2" xfId="4311" xr:uid="{DE80CF8F-3672-4812-BF54-D6B20935F30C}"/>
    <cellStyle name="Millares [0] 10 4 5" xfId="3128" xr:uid="{EAFE6392-4216-4AA6-BEFF-56326675F728}"/>
    <cellStyle name="Millares [0] 10 5" xfId="903" xr:uid="{B4107C85-D2F1-45B4-A56A-3619FE764DB5}"/>
    <cellStyle name="Millares [0] 10 5 2" xfId="1707" xr:uid="{3EE4FF8A-F6F3-489E-B914-0C7507974C51}"/>
    <cellStyle name="Millares [0] 10 5 2 2" xfId="2890" xr:uid="{222E9E42-2934-4282-B5C3-85B1F00B41FB}"/>
    <cellStyle name="Millares [0] 10 5 2 2 2" xfId="5256" xr:uid="{F5DB30EC-9228-4BDE-B06F-A3FC07F1D9E0}"/>
    <cellStyle name="Millares [0] 10 5 2 3" xfId="4073" xr:uid="{A8ECABA1-B199-479F-97EE-E4A5B550448A}"/>
    <cellStyle name="Millares [0] 10 5 3" xfId="2089" xr:uid="{212C70B2-188D-46A1-9714-6B113FBBCD45}"/>
    <cellStyle name="Millares [0] 10 5 3 2" xfId="4455" xr:uid="{01679D4E-3C8B-4593-BDB1-822C0478847D}"/>
    <cellStyle name="Millares [0] 10 5 4" xfId="3272" xr:uid="{A5E1F638-32E6-4D83-B993-6556099873E4}"/>
    <cellStyle name="Millares [0] 10 6" xfId="791" xr:uid="{E93D22C7-874F-4EC4-93AA-FAF00704848F}"/>
    <cellStyle name="Millares [0] 10 6 2" xfId="1595" xr:uid="{85129007-34BD-4548-A81F-95764F2D6850}"/>
    <cellStyle name="Millares [0] 10 6 2 2" xfId="2778" xr:uid="{E7B78A41-FDF2-453A-A4AA-665B3BF09C54}"/>
    <cellStyle name="Millares [0] 10 6 2 2 2" xfId="5144" xr:uid="{67C96103-3C3D-4B83-B96B-1E695FF46580}"/>
    <cellStyle name="Millares [0] 10 6 2 3" xfId="3961" xr:uid="{E2327486-ADDF-443C-B69C-5E88847696E5}"/>
    <cellStyle name="Millares [0] 10 6 3" xfId="1977" xr:uid="{E2867334-ACED-4319-8E50-2B5698D6FFBD}"/>
    <cellStyle name="Millares [0] 10 6 3 2" xfId="4343" xr:uid="{A6CE2327-FD63-4A71-8752-AD9EE6DAAF80}"/>
    <cellStyle name="Millares [0] 10 6 4" xfId="3160" xr:uid="{FCA11D6E-004C-4FDF-805D-AF1D0B1C3ADC}"/>
    <cellStyle name="Millares [0] 10 7" xfId="933" xr:uid="{27BFE6F3-39EB-4266-A202-8B417356BEE1}"/>
    <cellStyle name="Millares [0] 10 7 2" xfId="1353" xr:uid="{43489AFA-1047-4E45-AD20-AB091DBD991C}"/>
    <cellStyle name="Millares [0] 10 7 2 2" xfId="2537" xr:uid="{083F0AC9-79E6-4304-8253-49A5584DBBAE}"/>
    <cellStyle name="Millares [0] 10 7 2 2 2" xfId="4903" xr:uid="{6BF37749-B7F5-4EA5-8B77-62DE7F3A9A11}"/>
    <cellStyle name="Millares [0] 10 7 2 3" xfId="3720" xr:uid="{9B5AE57C-01DB-42B4-82D2-AF85CB36A6FA}"/>
    <cellStyle name="Millares [0] 10 7 3" xfId="2119" xr:uid="{3FF36850-2423-4A4E-B2C5-F5B14B6E0908}"/>
    <cellStyle name="Millares [0] 10 7 3 2" xfId="4485" xr:uid="{BC96D322-8B93-4C1D-B612-8EA6FDD4C2B2}"/>
    <cellStyle name="Millares [0] 10 7 4" xfId="3302" xr:uid="{75568AA6-3FAD-4A01-BCA5-F7BB490F49CA}"/>
    <cellStyle name="Millares [0] 10 8" xfId="1143" xr:uid="{22AACD40-5C6B-422F-BC6C-7D7C51B56A97}"/>
    <cellStyle name="Millares [0] 10 8 2" xfId="2328" xr:uid="{9AF21C84-D7E6-4A3A-AACD-3C5DA281142F}"/>
    <cellStyle name="Millares [0] 10 8 2 2" xfId="4694" xr:uid="{DB959975-7168-413B-9E6A-BE43DF8B1789}"/>
    <cellStyle name="Millares [0] 10 8 3" xfId="3511" xr:uid="{B6C592EE-3925-4EBC-A96B-6B2BE587EC20}"/>
    <cellStyle name="Millares [0] 10 9" xfId="1736" xr:uid="{7429AF70-3376-492D-8518-75EBB3C75A75}"/>
    <cellStyle name="Millares [0] 10 9 2" xfId="4102" xr:uid="{5360967C-3BCA-4FFA-8385-7617317E5704}"/>
    <cellStyle name="Millares [0] 11" xfId="70" xr:uid="{918926A1-D1AD-4499-A95D-5E9633C87512}"/>
    <cellStyle name="Millares [0] 11 10" xfId="2912" xr:uid="{26F1BC8D-7CE6-472F-961A-3D85BE4BCB2B}"/>
    <cellStyle name="Millares [0] 11 11" xfId="5389" xr:uid="{96F2097B-CD16-486A-87C4-EA55831E816A}"/>
    <cellStyle name="Millares [0] 11 2" xfId="626" xr:uid="{949E536D-2404-4C5F-9D32-CC64492F8AF5}"/>
    <cellStyle name="Millares [0] 11 2 2" xfId="821" xr:uid="{E31540B6-C07B-4892-9A81-E566F1B08E83}"/>
    <cellStyle name="Millares [0] 11 2 2 2" xfId="1625" xr:uid="{6B6DBA2B-D20E-433B-93EB-FFADE8E22F48}"/>
    <cellStyle name="Millares [0] 11 2 2 2 2" xfId="2808" xr:uid="{CD898161-9A4A-40AD-B180-64A840B58735}"/>
    <cellStyle name="Millares [0] 11 2 2 2 2 2" xfId="5174" xr:uid="{908000E7-FEE2-4C6E-B9CF-B0D5CC723B4B}"/>
    <cellStyle name="Millares [0] 11 2 2 2 3" xfId="3991" xr:uid="{2D48B336-EAA5-4A23-895A-5DD7D9F35291}"/>
    <cellStyle name="Millares [0] 11 2 2 3" xfId="2007" xr:uid="{DF6C1A34-D5FE-4016-B451-8AFDE4E1D4CE}"/>
    <cellStyle name="Millares [0] 11 2 2 3 2" xfId="4373" xr:uid="{0B6D4B60-0618-4453-ABB1-D70E64FF15C5}"/>
    <cellStyle name="Millares [0] 11 2 2 4" xfId="3190" xr:uid="{64769943-0A19-4770-A3CD-C244E6CD7D66}"/>
    <cellStyle name="Millares [0] 11 2 3" xfId="1091" xr:uid="{BDA52AEC-3882-4516-BA6D-90BA91557B4B}"/>
    <cellStyle name="Millares [0] 11 2 3 2" xfId="1511" xr:uid="{814D9F4F-26AE-4984-B43D-8F4B7A4300F0}"/>
    <cellStyle name="Millares [0] 11 2 3 2 2" xfId="2694" xr:uid="{4654DE9E-231A-4A61-A3CC-A0AD6340C8C4}"/>
    <cellStyle name="Millares [0] 11 2 3 2 2 2" xfId="5060" xr:uid="{38BEE2F7-84FD-41BE-B473-7E2C54BE84A4}"/>
    <cellStyle name="Millares [0] 11 2 3 2 3" xfId="3877" xr:uid="{5AFBBBEA-A0D1-417F-8345-CBFF94DF48CF}"/>
    <cellStyle name="Millares [0] 11 2 3 3" xfId="2276" xr:uid="{9446A117-6CA3-4D96-A0C8-A090B22A3672}"/>
    <cellStyle name="Millares [0] 11 2 3 3 2" xfId="4642" xr:uid="{DF1D53E2-8642-4D3B-8A3B-681CD967CAD9}"/>
    <cellStyle name="Millares [0] 11 2 3 4" xfId="3459" xr:uid="{3DC622E9-BD9F-4EA4-9B07-6686E186CE16}"/>
    <cellStyle name="Millares [0] 11 2 4" xfId="1301" xr:uid="{DAC62614-200B-40FF-BAAB-6FD1747F7CBA}"/>
    <cellStyle name="Millares [0] 11 2 4 2" xfId="2485" xr:uid="{4D34D503-F7DA-45C1-BF85-0477F3745EFE}"/>
    <cellStyle name="Millares [0] 11 2 4 2 2" xfId="4851" xr:uid="{2568DC13-6439-455A-93B4-4C604E1A0D1C}"/>
    <cellStyle name="Millares [0] 11 2 4 3" xfId="3668" xr:uid="{1B576765-7907-45A3-B208-06145D049008}"/>
    <cellStyle name="Millares [0] 11 2 5" xfId="1893" xr:uid="{20050ADD-BB10-467A-8F3A-ECE928926ECF}"/>
    <cellStyle name="Millares [0] 11 2 5 2" xfId="4259" xr:uid="{56CE8038-CDAB-4A77-AB3B-A0650A20B2CC}"/>
    <cellStyle name="Millares [0] 11 2 6" xfId="3076" xr:uid="{72A40A9F-4A31-4797-8145-40C13CEC955D}"/>
    <cellStyle name="Millares [0] 11 3" xfId="379" xr:uid="{A976A1BA-CF11-4B59-9B4E-48022725DC2D}"/>
    <cellStyle name="Millares [0] 11 3 2" xfId="849" xr:uid="{5AB4A4AB-AC9C-4553-B265-DCAAD2AF59A2}"/>
    <cellStyle name="Millares [0] 11 3 2 2" xfId="1653" xr:uid="{A05B6A51-4D59-45E3-BEE1-448016A0DFE1}"/>
    <cellStyle name="Millares [0] 11 3 2 2 2" xfId="2836" xr:uid="{C8AC7737-BC4A-4191-9352-A1D303E7B92C}"/>
    <cellStyle name="Millares [0] 11 3 2 2 2 2" xfId="5202" xr:uid="{4A3D4480-3BF8-4B66-ABAB-96B8B3422B28}"/>
    <cellStyle name="Millares [0] 11 3 2 2 3" xfId="4019" xr:uid="{8BA16BF2-A3D0-4495-84F5-DD7C9DCF90E2}"/>
    <cellStyle name="Millares [0] 11 3 2 3" xfId="2035" xr:uid="{666C9AE3-D88C-46A2-979E-8F3A25DCD4C7}"/>
    <cellStyle name="Millares [0] 11 3 2 3 2" xfId="4401" xr:uid="{45EFEA36-5ECA-4D25-986E-259435AE3E55}"/>
    <cellStyle name="Millares [0] 11 3 2 4" xfId="3218" xr:uid="{B804EF71-14F7-421D-A81D-FC2F2A0CFF5A}"/>
    <cellStyle name="Millares [0] 11 3 3" xfId="1056" xr:uid="{FF91A015-C5F9-4C7E-9BA9-DE92D4CB58A4}"/>
    <cellStyle name="Millares [0] 11 3 3 2" xfId="1476" xr:uid="{A5B588F1-A13C-4143-81D6-B095946CA105}"/>
    <cellStyle name="Millares [0] 11 3 3 2 2" xfId="2659" xr:uid="{7203E448-3D9E-489A-901A-8D2523FC9EEE}"/>
    <cellStyle name="Millares [0] 11 3 3 2 2 2" xfId="5025" xr:uid="{43416B9A-A68D-43D8-B303-F6F71FE63CE2}"/>
    <cellStyle name="Millares [0] 11 3 3 2 3" xfId="3842" xr:uid="{20269B42-86DB-43D1-94F9-3C18E7073044}"/>
    <cellStyle name="Millares [0] 11 3 3 3" xfId="2241" xr:uid="{09747E48-5D57-4436-814F-2D0276EC149F}"/>
    <cellStyle name="Millares [0] 11 3 3 3 2" xfId="4607" xr:uid="{C85C571E-E327-4C68-BF9A-95DDC8B7332B}"/>
    <cellStyle name="Millares [0] 11 3 3 4" xfId="3424" xr:uid="{71432C8E-1128-41D9-963F-5517DB5F4B36}"/>
    <cellStyle name="Millares [0] 11 3 4" xfId="1266" xr:uid="{AA5E6FE2-3F16-46F9-9386-83A44103A874}"/>
    <cellStyle name="Millares [0] 11 3 4 2" xfId="2450" xr:uid="{18E117AE-022C-4C3E-B2D7-06E69AE8ECC9}"/>
    <cellStyle name="Millares [0] 11 3 4 2 2" xfId="4816" xr:uid="{7E3355A8-37B5-4FE7-8212-D990FCC70589}"/>
    <cellStyle name="Millares [0] 11 3 4 3" xfId="3633" xr:uid="{5B5952D3-0B81-4C0B-940E-8A116F239EC0}"/>
    <cellStyle name="Millares [0] 11 3 5" xfId="1858" xr:uid="{76605F60-7A2A-41A1-821B-8976BE86E99E}"/>
    <cellStyle name="Millares [0] 11 3 5 2" xfId="4224" xr:uid="{0B9A636A-DBB2-46B4-A0A9-FAF88F14D59D}"/>
    <cellStyle name="Millares [0] 11 3 6" xfId="3041" xr:uid="{2C665923-30B9-4BFD-946E-13B3E429F721}"/>
    <cellStyle name="Millares [0] 11 4" xfId="762" xr:uid="{ED0FDE98-F863-44D6-B2CD-022892A4419A}"/>
    <cellStyle name="Millares [0] 11 4 2" xfId="877" xr:uid="{122D4550-F24F-4A50-A96A-EA929E69CDD3}"/>
    <cellStyle name="Millares [0] 11 4 2 2" xfId="1681" xr:uid="{A463238E-1F63-487C-9D40-4498B50A1E41}"/>
    <cellStyle name="Millares [0] 11 4 2 2 2" xfId="2864" xr:uid="{260741B0-BF80-4DA0-BF0E-8FFFB29E78FF}"/>
    <cellStyle name="Millares [0] 11 4 2 2 2 2" xfId="5230" xr:uid="{B57968AE-4EF7-4C87-A228-E2C1B4D35F46}"/>
    <cellStyle name="Millares [0] 11 4 2 2 3" xfId="4047" xr:uid="{89FE9710-6A7B-4460-900F-7444BB6285B0}"/>
    <cellStyle name="Millares [0] 11 4 2 3" xfId="2063" xr:uid="{CC2AD004-1DC6-4641-B50F-F016A4D7DDE3}"/>
    <cellStyle name="Millares [0] 11 4 2 3 2" xfId="4429" xr:uid="{E1705C9F-537B-4775-92AE-9814233F8C78}"/>
    <cellStyle name="Millares [0] 11 4 2 4" xfId="3246" xr:uid="{BABAC64A-EBD9-4A3F-AEDF-7C50F585C84E}"/>
    <cellStyle name="Millares [0] 11 4 3" xfId="1566" xr:uid="{1BF5C013-C419-4C96-8189-26C3420DF49A}"/>
    <cellStyle name="Millares [0] 11 4 3 2" xfId="2749" xr:uid="{4C19914E-E432-4B96-AEBF-15B13E809885}"/>
    <cellStyle name="Millares [0] 11 4 3 2 2" xfId="5115" xr:uid="{89C1FD79-B895-405A-B74A-8C5925F586F0}"/>
    <cellStyle name="Millares [0] 11 4 3 3" xfId="3932" xr:uid="{8C8319E3-ABAD-4E19-8E7C-64B2F22F682A}"/>
    <cellStyle name="Millares [0] 11 4 4" xfId="1948" xr:uid="{7AD78782-4ADD-4F4A-8150-B0616D6C183E}"/>
    <cellStyle name="Millares [0] 11 4 4 2" xfId="4314" xr:uid="{CD7AAC21-1C15-4736-8937-4A90CD069F40}"/>
    <cellStyle name="Millares [0] 11 4 5" xfId="3131" xr:uid="{30D459FA-A23A-4557-B9B6-CA7F3D833D3B}"/>
    <cellStyle name="Millares [0] 11 5" xfId="905" xr:uid="{7066B433-2706-4B82-AEC5-B57A24E543CE}"/>
    <cellStyle name="Millares [0] 11 5 2" xfId="1709" xr:uid="{15B05FFE-6D30-48CB-BFE5-129CD290169D}"/>
    <cellStyle name="Millares [0] 11 5 2 2" xfId="2892" xr:uid="{84CF428F-3A72-413F-A70C-928D94157F53}"/>
    <cellStyle name="Millares [0] 11 5 2 2 2" xfId="5258" xr:uid="{648C43B1-BF11-47C6-839B-B22EF294DBC9}"/>
    <cellStyle name="Millares [0] 11 5 2 3" xfId="4075" xr:uid="{EF923211-DCEC-46A7-A387-D51182C9B63A}"/>
    <cellStyle name="Millares [0] 11 5 3" xfId="2091" xr:uid="{58C07923-8574-41A5-A19D-48995132B058}"/>
    <cellStyle name="Millares [0] 11 5 3 2" xfId="4457" xr:uid="{7BD44307-8FB9-407F-BC20-9849133BAE80}"/>
    <cellStyle name="Millares [0] 11 5 4" xfId="3274" xr:uid="{5B1BB232-9A44-4FCF-8FE4-830F55ABCAD9}"/>
    <cellStyle name="Millares [0] 11 6" xfId="793" xr:uid="{4BA3A80E-E6DD-4A00-B4FE-56B0A86972BA}"/>
    <cellStyle name="Millares [0] 11 6 2" xfId="1597" xr:uid="{1F74CCA2-1AFA-4183-A45D-2DDF2032DEAF}"/>
    <cellStyle name="Millares [0] 11 6 2 2" xfId="2780" xr:uid="{EDC381A8-D6CA-4A8B-AA92-BD4EC4A8234E}"/>
    <cellStyle name="Millares [0] 11 6 2 2 2" xfId="5146" xr:uid="{B9625AA1-29BC-4619-878A-B7594F6459E7}"/>
    <cellStyle name="Millares [0] 11 6 2 3" xfId="3963" xr:uid="{A6AAC13C-64A9-443B-BF52-C15A5F4BB550}"/>
    <cellStyle name="Millares [0] 11 6 3" xfId="1979" xr:uid="{F375B3F2-8625-4CEF-98E8-0308D0C5F116}"/>
    <cellStyle name="Millares [0] 11 6 3 2" xfId="4345" xr:uid="{DEF406B3-E401-441D-97E7-85AC315F72C1}"/>
    <cellStyle name="Millares [0] 11 6 4" xfId="3162" xr:uid="{00FD60B0-0C4C-4F2E-86C7-2FDDF02C4943}"/>
    <cellStyle name="Millares [0] 11 7" xfId="926" xr:uid="{0B5E91CE-99A7-480F-8A12-CE65D3B74BFA}"/>
    <cellStyle name="Millares [0] 11 7 2" xfId="1346" xr:uid="{A5BA0060-6BDD-49FC-8061-A84D3BEA9B80}"/>
    <cellStyle name="Millares [0] 11 7 2 2" xfId="2530" xr:uid="{1D9286CE-20D7-4B2D-A271-841990C7C84F}"/>
    <cellStyle name="Millares [0] 11 7 2 2 2" xfId="4896" xr:uid="{5A0F9E1D-5461-4A98-9D7D-43269ECF6F20}"/>
    <cellStyle name="Millares [0] 11 7 2 3" xfId="3713" xr:uid="{1B1CC5D7-B3FA-46DB-BEB7-9850389BDDC6}"/>
    <cellStyle name="Millares [0] 11 7 3" xfId="2112" xr:uid="{5AF92B56-EEA6-4C16-85B5-26CA104A7A68}"/>
    <cellStyle name="Millares [0] 11 7 3 2" xfId="4478" xr:uid="{A0C31A39-EB91-4520-9933-2A8A212E3487}"/>
    <cellStyle name="Millares [0] 11 7 4" xfId="3295" xr:uid="{E75BE5F1-9BAE-4BBF-9689-AC898D47D5A7}"/>
    <cellStyle name="Millares [0] 11 8" xfId="1136" xr:uid="{843C0DE1-A544-4565-BE6C-DEDFBE1480F7}"/>
    <cellStyle name="Millares [0] 11 8 2" xfId="2321" xr:uid="{98F3AD79-F4F2-48F1-BBEE-FB1503DF31FA}"/>
    <cellStyle name="Millares [0] 11 8 2 2" xfId="4687" xr:uid="{2FBA5C03-9A66-41F2-A6E5-EE0A06CEF1FA}"/>
    <cellStyle name="Millares [0] 11 8 3" xfId="3504" xr:uid="{1B8EBAFE-C484-4859-82D6-18B7AA885D06}"/>
    <cellStyle name="Millares [0] 11 9" xfId="1729" xr:uid="{3D646757-70FC-4E17-956A-76EB977E3A6B}"/>
    <cellStyle name="Millares [0] 11 9 2" xfId="4095" xr:uid="{9AB0C130-34BB-4039-AB68-59A0A221B824}"/>
    <cellStyle name="Millares [0] 12" xfId="65" xr:uid="{393FBA3E-7033-4589-A4F4-B647B0487923}"/>
    <cellStyle name="Millares [0] 12 10" xfId="2908" xr:uid="{8273D30A-4DD2-4261-97CA-897DA58ED815}"/>
    <cellStyle name="Millares [0] 12 11" xfId="5414" xr:uid="{900A632E-79E9-4E66-8E05-63ADB34D8477}"/>
    <cellStyle name="Millares [0] 12 2" xfId="650" xr:uid="{71E61709-918C-432D-A64E-274277F0947F}"/>
    <cellStyle name="Millares [0] 12 2 2" xfId="823" xr:uid="{C8AAF3F7-974B-4AA3-8F96-2E6FC77A4984}"/>
    <cellStyle name="Millares [0] 12 2 2 2" xfId="1627" xr:uid="{F8CB4285-2BD6-4960-B8D0-DCD6891BC3C1}"/>
    <cellStyle name="Millares [0] 12 2 2 2 2" xfId="2810" xr:uid="{864F7344-C755-4C58-A091-1BC2E86E7119}"/>
    <cellStyle name="Millares [0] 12 2 2 2 2 2" xfId="5176" xr:uid="{D3A9238C-33B7-4D9A-8AED-11F0B93EC20D}"/>
    <cellStyle name="Millares [0] 12 2 2 2 3" xfId="3993" xr:uid="{B5AB307E-B94C-4B16-A4FB-00F398939014}"/>
    <cellStyle name="Millares [0] 12 2 2 3" xfId="2009" xr:uid="{DEA791FE-5C9B-415B-B332-AEB503011762}"/>
    <cellStyle name="Millares [0] 12 2 2 3 2" xfId="4375" xr:uid="{050EB6F2-D55F-4F38-A37C-C98D4EC1749C}"/>
    <cellStyle name="Millares [0] 12 2 2 4" xfId="3192" xr:uid="{326D651A-49DA-4F28-A128-E174C91BA99C}"/>
    <cellStyle name="Millares [0] 12 2 3" xfId="1094" xr:uid="{4CD1CCFB-1456-43E0-BEB6-24C803F5F122}"/>
    <cellStyle name="Millares [0] 12 2 3 2" xfId="1514" xr:uid="{029C1E88-8EDD-449B-A7DB-4B3C94B4F44F}"/>
    <cellStyle name="Millares [0] 12 2 3 2 2" xfId="2697" xr:uid="{CBC4FF8A-1AA9-42AB-8711-594476883F55}"/>
    <cellStyle name="Millares [0] 12 2 3 2 2 2" xfId="5063" xr:uid="{03C4D1EF-1E93-42D2-8534-D03D5B92F976}"/>
    <cellStyle name="Millares [0] 12 2 3 2 3" xfId="3880" xr:uid="{D4AFFE76-E9DE-48B2-B600-C66EF68F1092}"/>
    <cellStyle name="Millares [0] 12 2 3 3" xfId="2279" xr:uid="{916FB29B-6390-4F75-90F0-25B11A9883DC}"/>
    <cellStyle name="Millares [0] 12 2 3 3 2" xfId="4645" xr:uid="{FC99FBCC-7D76-42BD-90A2-DE127FA7C243}"/>
    <cellStyle name="Millares [0] 12 2 3 4" xfId="3462" xr:uid="{6A9A374E-88E6-4E50-948C-CFEC49AF03DA}"/>
    <cellStyle name="Millares [0] 12 2 4" xfId="1304" xr:uid="{5E1F710E-E440-4C93-89DE-DEFF0156A900}"/>
    <cellStyle name="Millares [0] 12 2 4 2" xfId="2488" xr:uid="{C0030C09-6885-4CF7-87C5-309C94334207}"/>
    <cellStyle name="Millares [0] 12 2 4 2 2" xfId="4854" xr:uid="{EDB4811E-C88D-4DA2-A6D3-F164D1E588F4}"/>
    <cellStyle name="Millares [0] 12 2 4 3" xfId="3671" xr:uid="{B6EC69FD-2CDE-4CB0-AA25-312728445767}"/>
    <cellStyle name="Millares [0] 12 2 5" xfId="1896" xr:uid="{9DF5EF86-0E69-4421-8410-EE3D58FA1A8C}"/>
    <cellStyle name="Millares [0] 12 2 5 2" xfId="4262" xr:uid="{80BC0EE7-3710-448A-BC87-93FF3C8E8B2F}"/>
    <cellStyle name="Millares [0] 12 2 6" xfId="3079" xr:uid="{DC30F34E-3890-4DBC-9E17-995EA12A236E}"/>
    <cellStyle name="Millares [0] 12 3" xfId="403" xr:uid="{1937421F-E474-4514-8BF5-AF1CB9F1524B}"/>
    <cellStyle name="Millares [0] 12 3 2" xfId="851" xr:uid="{E2C612C6-82FE-431A-B480-38B5D231C751}"/>
    <cellStyle name="Millares [0] 12 3 2 2" xfId="1655" xr:uid="{916552B5-4AB1-47E4-96E5-66FB5DCE414F}"/>
    <cellStyle name="Millares [0] 12 3 2 2 2" xfId="2838" xr:uid="{3E362A39-FABB-4450-A923-9FFF65EF9BFA}"/>
    <cellStyle name="Millares [0] 12 3 2 2 2 2" xfId="5204" xr:uid="{7EDFD645-F722-4852-BB73-F421B39AE5BB}"/>
    <cellStyle name="Millares [0] 12 3 2 2 3" xfId="4021" xr:uid="{C496C0A5-36E8-4ACF-98A5-475364AA6B0A}"/>
    <cellStyle name="Millares [0] 12 3 2 3" xfId="2037" xr:uid="{82B5D0D1-2746-45C7-86AD-B83B4D2A1446}"/>
    <cellStyle name="Millares [0] 12 3 2 3 2" xfId="4403" xr:uid="{FF873167-F6E8-4F15-A8FB-3833319FB804}"/>
    <cellStyle name="Millares [0] 12 3 2 4" xfId="3220" xr:uid="{45245632-FFE3-4FE0-89BD-3612B23B8B1F}"/>
    <cellStyle name="Millares [0] 12 3 3" xfId="1059" xr:uid="{7F06ED08-53D3-4FFD-BEAD-280A6347ED07}"/>
    <cellStyle name="Millares [0] 12 3 3 2" xfId="1479" xr:uid="{0A527529-BF93-4947-A31E-711D53EC10FB}"/>
    <cellStyle name="Millares [0] 12 3 3 2 2" xfId="2662" xr:uid="{001E6F99-D670-4FBA-85A8-A3BFA0E8550F}"/>
    <cellStyle name="Millares [0] 12 3 3 2 2 2" xfId="5028" xr:uid="{1165428F-1066-4FF9-82C2-5B0476E14487}"/>
    <cellStyle name="Millares [0] 12 3 3 2 3" xfId="3845" xr:uid="{A08D07D1-E64D-4D0A-8D4B-922C2F56141D}"/>
    <cellStyle name="Millares [0] 12 3 3 3" xfId="2244" xr:uid="{71B730AF-4C95-4506-ACB5-E5EEB3394968}"/>
    <cellStyle name="Millares [0] 12 3 3 3 2" xfId="4610" xr:uid="{907D63D8-911E-4128-B593-30A67BCB2B6E}"/>
    <cellStyle name="Millares [0] 12 3 3 4" xfId="3427" xr:uid="{C29C43D0-4BF5-4662-AFC4-ED2368D40AFA}"/>
    <cellStyle name="Millares [0] 12 3 4" xfId="1269" xr:uid="{60139A33-2FC1-454B-8D3E-F8715EDFCA15}"/>
    <cellStyle name="Millares [0] 12 3 4 2" xfId="2453" xr:uid="{CA109A34-0AA4-4087-A5CD-B08DDC598448}"/>
    <cellStyle name="Millares [0] 12 3 4 2 2" xfId="4819" xr:uid="{375DD35B-964F-48F9-98E1-17F0BD063988}"/>
    <cellStyle name="Millares [0] 12 3 4 3" xfId="3636" xr:uid="{63FF314E-6B8E-4690-9555-735E6100F3C9}"/>
    <cellStyle name="Millares [0] 12 3 5" xfId="1861" xr:uid="{DBEF77F0-839B-4C98-94A7-387AC2927825}"/>
    <cellStyle name="Millares [0] 12 3 5 2" xfId="4227" xr:uid="{8C8D24CF-C456-49B2-8CC4-011EA57C3DBF}"/>
    <cellStyle name="Millares [0] 12 3 6" xfId="3044" xr:uid="{F2C07ED6-2568-4C3C-A8E2-F7254B1A3358}"/>
    <cellStyle name="Millares [0] 12 4" xfId="765" xr:uid="{F3F688DD-3A75-4637-BCDB-3721FC44BDD3}"/>
    <cellStyle name="Millares [0] 12 4 2" xfId="879" xr:uid="{117B5062-E386-4BF7-8729-21EDA7093989}"/>
    <cellStyle name="Millares [0] 12 4 2 2" xfId="1683" xr:uid="{902898BD-BA00-4000-94C7-3F36FDAF7AD0}"/>
    <cellStyle name="Millares [0] 12 4 2 2 2" xfId="2866" xr:uid="{AD51C8F2-112B-4B13-ACDB-656D8F6B4ECD}"/>
    <cellStyle name="Millares [0] 12 4 2 2 2 2" xfId="5232" xr:uid="{BF4AC59D-6044-41DF-8533-1B2D8861FD74}"/>
    <cellStyle name="Millares [0] 12 4 2 2 3" xfId="4049" xr:uid="{839BC1C1-3899-4A50-BFED-21E208C4EFCC}"/>
    <cellStyle name="Millares [0] 12 4 2 3" xfId="2065" xr:uid="{0BA9C648-47AD-4DA4-9AD1-A7D2EAB18DBE}"/>
    <cellStyle name="Millares [0] 12 4 2 3 2" xfId="4431" xr:uid="{4CB6A580-2EB9-4DD1-88CE-11B587270B3E}"/>
    <cellStyle name="Millares [0] 12 4 2 4" xfId="3248" xr:uid="{95FEDC4C-75F4-4403-8E0E-76BC496F5862}"/>
    <cellStyle name="Millares [0] 12 4 3" xfId="1569" xr:uid="{8A2D2FC3-1BB4-4295-8653-0F0343BEF03B}"/>
    <cellStyle name="Millares [0] 12 4 3 2" xfId="2752" xr:uid="{56D1D353-2176-4732-9461-94B91D18ADC1}"/>
    <cellStyle name="Millares [0] 12 4 3 2 2" xfId="5118" xr:uid="{AF84181B-F257-41AB-9FFF-5E8318787444}"/>
    <cellStyle name="Millares [0] 12 4 3 3" xfId="3935" xr:uid="{29C47F1B-D14F-478F-92C3-B498B2128BCE}"/>
    <cellStyle name="Millares [0] 12 4 4" xfId="1951" xr:uid="{58EC8BBF-65D5-46F9-8F31-5018049812F3}"/>
    <cellStyle name="Millares [0] 12 4 4 2" xfId="4317" xr:uid="{C7E0DB34-4BF0-462A-A89C-9CD32BF47748}"/>
    <cellStyle name="Millares [0] 12 4 5" xfId="3134" xr:uid="{8091DD08-3335-47C7-A031-4666DC65C7EC}"/>
    <cellStyle name="Millares [0] 12 5" xfId="907" xr:uid="{7B67FE4F-D20C-4C9A-ACE1-FDF5CD3F5858}"/>
    <cellStyle name="Millares [0] 12 5 2" xfId="1711" xr:uid="{76E7032A-FD52-4E79-9206-8A93C39D0244}"/>
    <cellStyle name="Millares [0] 12 5 2 2" xfId="2894" xr:uid="{8BF3042D-8AB4-4DCC-8B0F-6838D31384B5}"/>
    <cellStyle name="Millares [0] 12 5 2 2 2" xfId="5260" xr:uid="{AC44B236-C762-4545-8893-EAE8EF0142FA}"/>
    <cellStyle name="Millares [0] 12 5 2 3" xfId="4077" xr:uid="{4AED4D49-2EAE-4093-9FC7-08E682204AA6}"/>
    <cellStyle name="Millares [0] 12 5 3" xfId="2093" xr:uid="{D88202B9-D661-45B5-B88B-202914FC3F40}"/>
    <cellStyle name="Millares [0] 12 5 3 2" xfId="4459" xr:uid="{B6D41BB0-A04D-4A98-8D80-4AEB09A92B01}"/>
    <cellStyle name="Millares [0] 12 5 4" xfId="3276" xr:uid="{05FE5246-4309-4EB0-BB95-3C33C56F4703}"/>
    <cellStyle name="Millares [0] 12 6" xfId="795" xr:uid="{1359583B-E3AB-4A09-B62B-B980B227727A}"/>
    <cellStyle name="Millares [0] 12 6 2" xfId="1599" xr:uid="{F7E9584E-6388-4270-917E-7F84B9AB251B}"/>
    <cellStyle name="Millares [0] 12 6 2 2" xfId="2782" xr:uid="{C9E92452-2EE3-4087-B68A-2D5AAF48B45C}"/>
    <cellStyle name="Millares [0] 12 6 2 2 2" xfId="5148" xr:uid="{5EDBD005-1FDF-401F-809B-CE24C208B9C2}"/>
    <cellStyle name="Millares [0] 12 6 2 3" xfId="3965" xr:uid="{2425AD9D-7245-4DDC-9D10-3D0EADAC11BD}"/>
    <cellStyle name="Millares [0] 12 6 3" xfId="1981" xr:uid="{937F9522-54E4-4F99-8E0C-436B8DC632AD}"/>
    <cellStyle name="Millares [0] 12 6 3 2" xfId="4347" xr:uid="{B7644592-1ECC-444C-AB80-FCD5EFF347A4}"/>
    <cellStyle name="Millares [0] 12 6 4" xfId="3164" xr:uid="{A553054F-E0AF-46B9-AC52-2DFEBE732ED6}"/>
    <cellStyle name="Millares [0] 12 7" xfId="922" xr:uid="{20788556-BA53-4D43-ACCA-94A2858B2660}"/>
    <cellStyle name="Millares [0] 12 7 2" xfId="1342" xr:uid="{FD50C20D-66ED-40A0-B195-F98E02310E5D}"/>
    <cellStyle name="Millares [0] 12 7 2 2" xfId="2526" xr:uid="{53F209CA-2CEC-45B1-BAD9-F0F104AF8120}"/>
    <cellStyle name="Millares [0] 12 7 2 2 2" xfId="4892" xr:uid="{9B74FEF3-750B-4787-9DEE-9ED02DE89115}"/>
    <cellStyle name="Millares [0] 12 7 2 3" xfId="3709" xr:uid="{7EECB1CD-1D53-4D74-97BB-92665E1FE180}"/>
    <cellStyle name="Millares [0] 12 7 3" xfId="2108" xr:uid="{9181346F-8657-4129-A7A0-E0DDD71D4E9E}"/>
    <cellStyle name="Millares [0] 12 7 3 2" xfId="4474" xr:uid="{15804316-3852-407C-9E54-B31C042EB3BB}"/>
    <cellStyle name="Millares [0] 12 7 4" xfId="3291" xr:uid="{7825DF03-C974-4922-92C0-E4DB16925ECF}"/>
    <cellStyle name="Millares [0] 12 8" xfId="1132" xr:uid="{AE853F25-A593-4BD1-9BE3-19B90D29103B}"/>
    <cellStyle name="Millares [0] 12 8 2" xfId="2317" xr:uid="{02C7F459-CAA4-4315-97BB-656DDB37B408}"/>
    <cellStyle name="Millares [0] 12 8 2 2" xfId="4683" xr:uid="{2C3CDBC3-0141-494E-981B-4E7400854AF5}"/>
    <cellStyle name="Millares [0] 12 8 3" xfId="3500" xr:uid="{CB7AD4BB-2E75-458B-91BA-FA98D42E1DA6}"/>
    <cellStyle name="Millares [0] 12 9" xfId="1725" xr:uid="{424A184E-287B-45D7-9ECA-6ADDD0321DDA}"/>
    <cellStyle name="Millares [0] 12 9 2" xfId="4091" xr:uid="{08A3858E-9E0A-4FCD-853E-114A1316DAD8}"/>
    <cellStyle name="Millares [0] 13" xfId="224" xr:uid="{CA8CCFB0-9790-4D65-B5F8-BD199CC0DF66}"/>
    <cellStyle name="Millares [0] 13 10" xfId="3012" xr:uid="{C55425D1-28D5-49C8-AC8A-A49FACE850C5}"/>
    <cellStyle name="Millares [0] 13 11" xfId="5439" xr:uid="{709E56B3-62B9-48E4-873E-484D8F59724E}"/>
    <cellStyle name="Millares [0] 13 2" xfId="655" xr:uid="{815BA153-BB6B-4C85-B842-6E57EEDECBEC}"/>
    <cellStyle name="Millares [0] 13 2 2" xfId="825" xr:uid="{FDC98826-627E-47CA-BEA3-996147A5BBC7}"/>
    <cellStyle name="Millares [0] 13 2 2 2" xfId="1629" xr:uid="{2F95EB13-2CE6-4DB1-A382-2CDCE8FB170D}"/>
    <cellStyle name="Millares [0] 13 2 2 2 2" xfId="2812" xr:uid="{DE914CB2-93A3-4659-AD02-F9FD1A869826}"/>
    <cellStyle name="Millares [0] 13 2 2 2 2 2" xfId="5178" xr:uid="{01692F35-3AB5-4E84-91C0-413F1D106641}"/>
    <cellStyle name="Millares [0] 13 2 2 2 3" xfId="3995" xr:uid="{419F446F-6DB1-4B29-AEFA-FC065745116D}"/>
    <cellStyle name="Millares [0] 13 2 2 3" xfId="2011" xr:uid="{BD214F52-E4C2-426B-AB84-29CEB9B8C4CA}"/>
    <cellStyle name="Millares [0] 13 2 2 3 2" xfId="4377" xr:uid="{EE2266B8-EBE0-4E17-B87E-712CCE21A631}"/>
    <cellStyle name="Millares [0] 13 2 2 4" xfId="3194" xr:uid="{FC702B36-8CF3-46E5-89D8-2AABC6135BFC}"/>
    <cellStyle name="Millares [0] 13 2 3" xfId="1095" xr:uid="{04EB88C0-CE4B-4587-A6DF-5350C421C9DE}"/>
    <cellStyle name="Millares [0] 13 2 3 2" xfId="1515" xr:uid="{AAE27DB9-1561-4482-920C-F2777477A5A7}"/>
    <cellStyle name="Millares [0] 13 2 3 2 2" xfId="2698" xr:uid="{990D9E36-D123-4247-93E9-781BEF71A0E7}"/>
    <cellStyle name="Millares [0] 13 2 3 2 2 2" xfId="5064" xr:uid="{FDAEE775-A11D-45DD-BEFD-903DC9D8BB0B}"/>
    <cellStyle name="Millares [0] 13 2 3 2 3" xfId="3881" xr:uid="{315086F7-A2E6-41F6-89D3-A6B7EC3EDEBD}"/>
    <cellStyle name="Millares [0] 13 2 3 3" xfId="2280" xr:uid="{216E70ED-1B94-4370-82C3-F0A65FFCA7FA}"/>
    <cellStyle name="Millares [0] 13 2 3 3 2" xfId="4646" xr:uid="{6BEF9E96-F57A-4A68-970E-E9D9F8B3824D}"/>
    <cellStyle name="Millares [0] 13 2 3 4" xfId="3463" xr:uid="{DEEC2605-F09A-4971-AE34-AB8287DB41B3}"/>
    <cellStyle name="Millares [0] 13 2 4" xfId="1305" xr:uid="{5F50FB70-E5F1-41AA-ACEA-9B1723B1C224}"/>
    <cellStyle name="Millares [0] 13 2 4 2" xfId="2489" xr:uid="{59DBC310-E24D-4A6A-BBF6-11BFDAEE4728}"/>
    <cellStyle name="Millares [0] 13 2 4 2 2" xfId="4855" xr:uid="{01EFE0F1-827F-4946-A94A-1E77E3D82661}"/>
    <cellStyle name="Millares [0] 13 2 4 3" xfId="3672" xr:uid="{37AE20E7-6AD1-4BB8-98DD-45C8B7F409F3}"/>
    <cellStyle name="Millares [0] 13 2 5" xfId="1897" xr:uid="{04650310-8B1A-4C11-9188-99667D2A5FAA}"/>
    <cellStyle name="Millares [0] 13 2 5 2" xfId="4263" xr:uid="{12EB32D9-5328-4F66-92DB-D19F57C76897}"/>
    <cellStyle name="Millares [0] 13 2 6" xfId="3080" xr:uid="{29E00DF7-020C-485C-A9D6-86DAEC48A758}"/>
    <cellStyle name="Millares [0] 13 3" xfId="408" xr:uid="{CD4226A8-9082-43D0-A8A7-E418B339DD01}"/>
    <cellStyle name="Millares [0] 13 3 2" xfId="853" xr:uid="{97C01A79-985D-414B-9F7D-098A2F8AF178}"/>
    <cellStyle name="Millares [0] 13 3 2 2" xfId="1657" xr:uid="{6478F909-2897-4E68-89F0-93732641FB41}"/>
    <cellStyle name="Millares [0] 13 3 2 2 2" xfId="2840" xr:uid="{2009CBFA-9044-4855-8EB2-55F896A461A1}"/>
    <cellStyle name="Millares [0] 13 3 2 2 2 2" xfId="5206" xr:uid="{34A63CF5-1ECF-4B72-96DE-8C3F74E68221}"/>
    <cellStyle name="Millares [0] 13 3 2 2 3" xfId="4023" xr:uid="{449B49C0-6FB0-4958-B9DF-C9AF7A1010D7}"/>
    <cellStyle name="Millares [0] 13 3 2 3" xfId="2039" xr:uid="{30CAD4B1-2763-44CA-B078-10FFE1064AF6}"/>
    <cellStyle name="Millares [0] 13 3 2 3 2" xfId="4405" xr:uid="{ED5E4E00-8E2F-4A59-AD63-E9C270C1E250}"/>
    <cellStyle name="Millares [0] 13 3 2 4" xfId="3222" xr:uid="{48CF8DD5-54D1-4E93-B241-E91A006B59D5}"/>
    <cellStyle name="Millares [0] 13 3 3" xfId="1060" xr:uid="{879997BD-C33F-4F94-905E-9D78A5BF5C74}"/>
    <cellStyle name="Millares [0] 13 3 3 2" xfId="1480" xr:uid="{E7760508-E0CE-436E-9C1A-FE28C3EA945B}"/>
    <cellStyle name="Millares [0] 13 3 3 2 2" xfId="2663" xr:uid="{7B1D9E17-7CB5-4D33-8899-E9DD4F9C8221}"/>
    <cellStyle name="Millares [0] 13 3 3 2 2 2" xfId="5029" xr:uid="{BD91002C-C59D-4672-9C10-5EF7F56B4FF0}"/>
    <cellStyle name="Millares [0] 13 3 3 2 3" xfId="3846" xr:uid="{928E81FE-6B9E-40A3-B4E1-F060AFE9EBFD}"/>
    <cellStyle name="Millares [0] 13 3 3 3" xfId="2245" xr:uid="{069FD1D0-603F-4DE5-BF93-3613D2111A95}"/>
    <cellStyle name="Millares [0] 13 3 3 3 2" xfId="4611" xr:uid="{23DA334D-8C66-4F12-A37B-3CE7E1926A00}"/>
    <cellStyle name="Millares [0] 13 3 3 4" xfId="3428" xr:uid="{B7C4E31A-8101-40C8-9F53-1BFB3821BCA7}"/>
    <cellStyle name="Millares [0] 13 3 4" xfId="1270" xr:uid="{381918E4-DBE8-488E-981F-BB6AD2650C5A}"/>
    <cellStyle name="Millares [0] 13 3 4 2" xfId="2454" xr:uid="{9A76C274-72E6-40C6-8DCD-EDB33F0607F9}"/>
    <cellStyle name="Millares [0] 13 3 4 2 2" xfId="4820" xr:uid="{4C8D3204-5A65-439F-AAD9-29A44EC1B955}"/>
    <cellStyle name="Millares [0] 13 3 4 3" xfId="3637" xr:uid="{B1BDE318-C60E-4A08-B937-AB190DB42739}"/>
    <cellStyle name="Millares [0] 13 3 5" xfId="1862" xr:uid="{59C5468E-F874-49DE-8AAD-D3166EE5A92D}"/>
    <cellStyle name="Millares [0] 13 3 5 2" xfId="4228" xr:uid="{390202BC-2D06-4050-862B-8D9381DDC48C}"/>
    <cellStyle name="Millares [0] 13 3 6" xfId="3045" xr:uid="{331A97C4-8883-464F-B535-DBBDE5BCADAA}"/>
    <cellStyle name="Millares [0] 13 4" xfId="766" xr:uid="{0D5462BD-370A-475F-B571-E249D49808F9}"/>
    <cellStyle name="Millares [0] 13 4 2" xfId="881" xr:uid="{AB031B74-8D50-4F8F-A989-D6D8B7DE5109}"/>
    <cellStyle name="Millares [0] 13 4 2 2" xfId="1685" xr:uid="{D508C188-B76B-4AFF-A35B-40FA98722B53}"/>
    <cellStyle name="Millares [0] 13 4 2 2 2" xfId="2868" xr:uid="{7F6D6FF0-3CCE-416A-9EA2-0D76D84D5AF4}"/>
    <cellStyle name="Millares [0] 13 4 2 2 2 2" xfId="5234" xr:uid="{7D9CE38B-FFF7-4CB9-B6B5-F326F888B4A8}"/>
    <cellStyle name="Millares [0] 13 4 2 2 3" xfId="4051" xr:uid="{6020D88A-4CDF-4BD2-827E-74506DC34F24}"/>
    <cellStyle name="Millares [0] 13 4 2 3" xfId="2067" xr:uid="{DF59CBF3-67A2-491B-8DFD-561570002443}"/>
    <cellStyle name="Millares [0] 13 4 2 3 2" xfId="4433" xr:uid="{8E8DF8C6-5936-41C6-8407-F8AC77AC80CF}"/>
    <cellStyle name="Millares [0] 13 4 2 4" xfId="3250" xr:uid="{D80CF3F9-C697-4492-BF27-9AB0D38F59F4}"/>
    <cellStyle name="Millares [0] 13 4 3" xfId="1570" xr:uid="{3A129F9C-FA76-4774-8A4F-B52C6E3300E7}"/>
    <cellStyle name="Millares [0] 13 4 3 2" xfId="2753" xr:uid="{05A8A4CE-5F4A-4D20-9887-E27A3C5E2832}"/>
    <cellStyle name="Millares [0] 13 4 3 2 2" xfId="5119" xr:uid="{55BA7028-A9B1-49F7-BD58-ADE24E6DA82B}"/>
    <cellStyle name="Millares [0] 13 4 3 3" xfId="3936" xr:uid="{DC3999F5-56EE-42D8-B0F1-FC04AA3A8D6E}"/>
    <cellStyle name="Millares [0] 13 4 4" xfId="1952" xr:uid="{1EFF4550-51E4-48BB-A209-6C1A9F748035}"/>
    <cellStyle name="Millares [0] 13 4 4 2" xfId="4318" xr:uid="{05F18A78-1569-43CD-9305-CA6AF1CDAE35}"/>
    <cellStyle name="Millares [0] 13 4 5" xfId="3135" xr:uid="{E1B45321-9A71-4C8D-8AF0-88EEE33C901D}"/>
    <cellStyle name="Millares [0] 13 5" xfId="909" xr:uid="{82D68C0D-383A-4DC8-AB34-B0600EA445CE}"/>
    <cellStyle name="Millares [0] 13 5 2" xfId="1713" xr:uid="{DC9017C3-CA1C-4A1E-9EC4-8C905F7B095D}"/>
    <cellStyle name="Millares [0] 13 5 2 2" xfId="2896" xr:uid="{C23D5A39-2429-46A6-9347-0D58154F4AE6}"/>
    <cellStyle name="Millares [0] 13 5 2 2 2" xfId="5262" xr:uid="{1E4B8DFA-3CCF-4691-909A-3ECA85FFE972}"/>
    <cellStyle name="Millares [0] 13 5 2 3" xfId="4079" xr:uid="{F783C682-D972-49F4-BCEF-E5AEDA1C2929}"/>
    <cellStyle name="Millares [0] 13 5 3" xfId="2095" xr:uid="{9CD09C8F-6B60-4843-B404-BC227F5F3B5C}"/>
    <cellStyle name="Millares [0] 13 5 3 2" xfId="4461" xr:uid="{228EDA5E-B192-429B-859D-86D5DC7CE042}"/>
    <cellStyle name="Millares [0] 13 5 4" xfId="3278" xr:uid="{075D45B9-F9F5-4A58-9437-A4046B148290}"/>
    <cellStyle name="Millares [0] 13 6" xfId="797" xr:uid="{8FAD0ABD-44D5-45EE-A227-113AE0380DFF}"/>
    <cellStyle name="Millares [0] 13 6 2" xfId="1601" xr:uid="{14FA1878-E3C2-42D9-B249-215BFE255597}"/>
    <cellStyle name="Millares [0] 13 6 2 2" xfId="2784" xr:uid="{8792FCC2-09A0-4392-AB1A-267C17C03A61}"/>
    <cellStyle name="Millares [0] 13 6 2 2 2" xfId="5150" xr:uid="{764EBF37-3792-436E-808D-85EA93C5D0CB}"/>
    <cellStyle name="Millares [0] 13 6 2 3" xfId="3967" xr:uid="{DBDB90C0-A97C-4A99-B55A-BA30A9C53FEA}"/>
    <cellStyle name="Millares [0] 13 6 3" xfId="1983" xr:uid="{742B21D9-767D-4766-8C9C-696213548A2D}"/>
    <cellStyle name="Millares [0] 13 6 3 2" xfId="4349" xr:uid="{E2DC2494-B595-46E8-B575-FFE3ACE11477}"/>
    <cellStyle name="Millares [0] 13 6 4" xfId="3166" xr:uid="{30D60475-5B0A-4100-80E6-A9D2B1F0019D}"/>
    <cellStyle name="Millares [0] 13 7" xfId="1026" xr:uid="{03D84865-F786-429C-A667-64CD9271B2F3}"/>
    <cellStyle name="Millares [0] 13 7 2" xfId="1446" xr:uid="{36DAC0AD-10BB-4C9A-9435-E5210F9A8E95}"/>
    <cellStyle name="Millares [0] 13 7 2 2" xfId="2630" xr:uid="{9D91AB47-CCC4-49BA-B736-6B7705DC179C}"/>
    <cellStyle name="Millares [0] 13 7 2 2 2" xfId="4996" xr:uid="{172E12EE-271A-4BD4-9BD0-0C9F8F64FDA9}"/>
    <cellStyle name="Millares [0] 13 7 2 3" xfId="3813" xr:uid="{5D571254-F7AB-4CC1-B0EA-7297177E68A3}"/>
    <cellStyle name="Millares [0] 13 7 3" xfId="2212" xr:uid="{51661FF3-580B-4CAF-86DA-9B3BC44851BF}"/>
    <cellStyle name="Millares [0] 13 7 3 2" xfId="4578" xr:uid="{3462030D-A376-4751-BABA-6346C9EBD0C5}"/>
    <cellStyle name="Millares [0] 13 7 4" xfId="3395" xr:uid="{6A516880-2756-417E-97A9-E1D55EFD7976}"/>
    <cellStyle name="Millares [0] 13 8" xfId="1236" xr:uid="{F5B90EE1-3343-46D4-A96D-2915D6EFA978}"/>
    <cellStyle name="Millares [0] 13 8 2" xfId="2421" xr:uid="{342AD356-F40E-40E9-BDB6-EA7A8565744D}"/>
    <cellStyle name="Millares [0] 13 8 2 2" xfId="4787" xr:uid="{75D250DF-C610-48DE-BC97-9CDC885AEDCB}"/>
    <cellStyle name="Millares [0] 13 8 3" xfId="3604" xr:uid="{0E3CED00-4291-4A3B-9290-A5B867A1309D}"/>
    <cellStyle name="Millares [0] 13 9" xfId="1829" xr:uid="{D5C2D5A7-30E8-4E29-B5F0-524DA8E58A5F}"/>
    <cellStyle name="Millares [0] 13 9 2" xfId="4195" xr:uid="{C3B09BB5-6BDD-4AE5-B348-BB5C93746649}"/>
    <cellStyle name="Millares [0] 14" xfId="61" xr:uid="{DD37AB62-8369-4A26-A238-129480FD4970}"/>
    <cellStyle name="Millares [0] 14 10" xfId="2904" xr:uid="{93A3B18B-95D6-4C7D-B69E-F930CFD975D8}"/>
    <cellStyle name="Millares [0] 14 11" xfId="5465" xr:uid="{C98E1E05-14B9-4636-8AC5-FDE88FEF799D}"/>
    <cellStyle name="Millares [0] 14 2" xfId="467" xr:uid="{02F42122-68AB-4AEB-A427-AF3AC9C91063}"/>
    <cellStyle name="Millares [0] 14 2 2" xfId="827" xr:uid="{B02173B4-245D-4B3A-B95E-55F7775522AA}"/>
    <cellStyle name="Millares [0] 14 2 2 2" xfId="1631" xr:uid="{7FCF8632-3EF7-40E8-BFF2-B6F030573C8C}"/>
    <cellStyle name="Millares [0] 14 2 2 2 2" xfId="2814" xr:uid="{DCA09317-C268-4B15-B1FF-29713EDF0686}"/>
    <cellStyle name="Millares [0] 14 2 2 2 2 2" xfId="5180" xr:uid="{866CAA8A-6C68-43C2-AF7B-0E674822EA25}"/>
    <cellStyle name="Millares [0] 14 2 2 2 3" xfId="3997" xr:uid="{25E494BC-268F-4DCE-9580-4F7FC92B2E7F}"/>
    <cellStyle name="Millares [0] 14 2 2 3" xfId="2013" xr:uid="{CB59D3FF-EEF1-4AFC-8FE9-4BE783E45E05}"/>
    <cellStyle name="Millares [0] 14 2 2 3 2" xfId="4379" xr:uid="{4EC60B05-BB97-45EF-B125-845BED6B2457}"/>
    <cellStyle name="Millares [0] 14 2 2 4" xfId="3196" xr:uid="{FD41F81C-9D76-4197-B67A-ADC62FB2E78E}"/>
    <cellStyle name="Millares [0] 14 2 3" xfId="1066" xr:uid="{D48FEFE5-8A9A-4F73-935F-FE6440B4F0F7}"/>
    <cellStyle name="Millares [0] 14 2 3 2" xfId="1486" xr:uid="{8843E743-8B21-4177-A969-7DB186DD84A8}"/>
    <cellStyle name="Millares [0] 14 2 3 2 2" xfId="2669" xr:uid="{57F9C347-2F87-4E7B-8492-2FA268EF6864}"/>
    <cellStyle name="Millares [0] 14 2 3 2 2 2" xfId="5035" xr:uid="{99C669F0-058C-4EE9-B014-C2907A63F514}"/>
    <cellStyle name="Millares [0] 14 2 3 2 3" xfId="3852" xr:uid="{165011E9-FFEC-4888-85E3-4E506CA2F722}"/>
    <cellStyle name="Millares [0] 14 2 3 3" xfId="2251" xr:uid="{1B6B3A0F-01D2-4DDE-BC6B-74B977AEF267}"/>
    <cellStyle name="Millares [0] 14 2 3 3 2" xfId="4617" xr:uid="{418DDD84-7E0D-44EC-909D-1CE25DB9C318}"/>
    <cellStyle name="Millares [0] 14 2 3 4" xfId="3434" xr:uid="{56C75F9D-0EBE-41AD-A64B-7DC3F07E1596}"/>
    <cellStyle name="Millares [0] 14 2 4" xfId="1276" xr:uid="{49B67559-B497-4239-9ACE-12E47871B0A8}"/>
    <cellStyle name="Millares [0] 14 2 4 2" xfId="2460" xr:uid="{6E8ADBF6-E981-4416-BFC9-9340EB32BCAA}"/>
    <cellStyle name="Millares [0] 14 2 4 2 2" xfId="4826" xr:uid="{85DE7004-9419-47DB-AF02-6199349E9CE9}"/>
    <cellStyle name="Millares [0] 14 2 4 3" xfId="3643" xr:uid="{C3631985-5E3C-42F0-856B-36D0EA343122}"/>
    <cellStyle name="Millares [0] 14 2 5" xfId="1868" xr:uid="{99503919-5965-4FCE-BCB2-6979D8E86C1A}"/>
    <cellStyle name="Millares [0] 14 2 5 2" xfId="4234" xr:uid="{79B73780-6D6E-4A50-B602-650A06C83B2F}"/>
    <cellStyle name="Millares [0] 14 2 6" xfId="3051" xr:uid="{1345937E-5C68-4BD9-ADC0-E211291952D7}"/>
    <cellStyle name="Millares [0] 14 3" xfId="855" xr:uid="{B2A4DEAE-86AA-4EF3-A832-4A7AB98A00F3}"/>
    <cellStyle name="Millares [0] 14 3 2" xfId="1659" xr:uid="{8337AF2A-6EDF-4BF6-9882-ED3728D9A51E}"/>
    <cellStyle name="Millares [0] 14 3 2 2" xfId="2842" xr:uid="{080D8C31-C96E-48E0-8BAD-8EA2D4EA1BE9}"/>
    <cellStyle name="Millares [0] 14 3 2 2 2" xfId="5208" xr:uid="{5BF81A3E-81CE-4899-9FF2-C4B7189233F8}"/>
    <cellStyle name="Millares [0] 14 3 2 3" xfId="4025" xr:uid="{14D00985-59CB-40FD-8644-EBA3F434C811}"/>
    <cellStyle name="Millares [0] 14 3 3" xfId="2041" xr:uid="{3F8AFB92-ECA3-4FF3-A563-DEAAE4705988}"/>
    <cellStyle name="Millares [0] 14 3 3 2" xfId="4407" xr:uid="{BC1CF3C6-A48A-4F72-9910-8FD78081771E}"/>
    <cellStyle name="Millares [0] 14 3 4" xfId="3224" xr:uid="{3A2209FC-9331-4565-90C7-2FE59ED966D9}"/>
    <cellStyle name="Millares [0] 14 4" xfId="883" xr:uid="{EA3C769F-90E4-4B91-81F5-836A6729B1EC}"/>
    <cellStyle name="Millares [0] 14 4 2" xfId="1687" xr:uid="{ED3F5BD0-D143-4519-9153-79E7B01B6743}"/>
    <cellStyle name="Millares [0] 14 4 2 2" xfId="2870" xr:uid="{E32C4449-DA0D-49A4-B705-D7A92CCBC509}"/>
    <cellStyle name="Millares [0] 14 4 2 2 2" xfId="5236" xr:uid="{D68C45EA-766F-4240-9C84-3B7C3C96B001}"/>
    <cellStyle name="Millares [0] 14 4 2 3" xfId="4053" xr:uid="{3BD5C38D-CCCB-4343-86EB-EFF8C7130C5D}"/>
    <cellStyle name="Millares [0] 14 4 3" xfId="2069" xr:uid="{03D624A8-DB62-458F-8F27-95D4AD031099}"/>
    <cellStyle name="Millares [0] 14 4 3 2" xfId="4435" xr:uid="{4384092A-6A57-42B6-97E7-C2DCAAD89174}"/>
    <cellStyle name="Millares [0] 14 4 4" xfId="3252" xr:uid="{61C1DBF2-55B6-46D6-BFC2-5CF87F7A22F7}"/>
    <cellStyle name="Millares [0] 14 5" xfId="911" xr:uid="{AEE01010-772D-4C58-B2F2-63E51B1FBCCD}"/>
    <cellStyle name="Millares [0] 14 5 2" xfId="1715" xr:uid="{9846CA94-5B66-49BE-AA30-535BF42D9A16}"/>
    <cellStyle name="Millares [0] 14 5 2 2" xfId="2898" xr:uid="{7CFD161A-C20D-4CF0-A24B-8C262B7CDFF4}"/>
    <cellStyle name="Millares [0] 14 5 2 2 2" xfId="5264" xr:uid="{3601F880-5B4E-4DCF-94E6-B56734A522A3}"/>
    <cellStyle name="Millares [0] 14 5 2 3" xfId="4081" xr:uid="{89CE619D-5F8D-4C2C-9A43-608C0409F271}"/>
    <cellStyle name="Millares [0] 14 5 3" xfId="2097" xr:uid="{7047E2E1-3A5A-460D-9976-8598796DF7F9}"/>
    <cellStyle name="Millares [0] 14 5 3 2" xfId="4463" xr:uid="{5CBF36D8-D4B2-40ED-A5CB-DC4D25C8D5C4}"/>
    <cellStyle name="Millares [0] 14 5 4" xfId="3280" xr:uid="{BC525AA9-1297-49DA-A4F8-F4DD58292221}"/>
    <cellStyle name="Millares [0] 14 6" xfId="799" xr:uid="{A43DA862-264D-4AE0-8AEA-9465E84D83EA}"/>
    <cellStyle name="Millares [0] 14 6 2" xfId="1603" xr:uid="{CEEBD840-58E5-42A2-8EB7-E9588A40C9DE}"/>
    <cellStyle name="Millares [0] 14 6 2 2" xfId="2786" xr:uid="{C7C7ED36-3EFA-48DD-89A2-85CB4F72312E}"/>
    <cellStyle name="Millares [0] 14 6 2 2 2" xfId="5152" xr:uid="{98246716-05B6-4DC1-96A6-3A2CA4E6BA76}"/>
    <cellStyle name="Millares [0] 14 6 2 3" xfId="3969" xr:uid="{5B38AFB7-9F51-4E5C-B13F-6B2567F9719A}"/>
    <cellStyle name="Millares [0] 14 6 3" xfId="1985" xr:uid="{C586F516-94F7-4511-BA6A-1F2337330067}"/>
    <cellStyle name="Millares [0] 14 6 3 2" xfId="4351" xr:uid="{BA30C270-9BF0-467F-8669-C2ED3DD76623}"/>
    <cellStyle name="Millares [0] 14 6 4" xfId="3168" xr:uid="{47E02BAE-9539-45BF-938A-219C84C5F702}"/>
    <cellStyle name="Millares [0] 14 7" xfId="918" xr:uid="{182DDE23-AC4B-49F8-95C4-4A664C82A8A5}"/>
    <cellStyle name="Millares [0] 14 7 2" xfId="1338" xr:uid="{ADDDB413-EA56-4175-A4A4-B51F7D3B3012}"/>
    <cellStyle name="Millares [0] 14 7 2 2" xfId="2522" xr:uid="{9864F617-84D0-4F4B-9C15-6FC9FD8268C8}"/>
    <cellStyle name="Millares [0] 14 7 2 2 2" xfId="4888" xr:uid="{31B0F0D1-7C60-4D1F-BBD5-FF1585002355}"/>
    <cellStyle name="Millares [0] 14 7 2 3" xfId="3705" xr:uid="{025B2F62-2B16-43B4-985A-06D8C9F29043}"/>
    <cellStyle name="Millares [0] 14 7 3" xfId="2104" xr:uid="{B16FFBCE-0BBB-4AAF-B28C-5630CDC4BE00}"/>
    <cellStyle name="Millares [0] 14 7 3 2" xfId="4470" xr:uid="{6F4A3580-CF3E-4CA6-9803-13AE3497BC46}"/>
    <cellStyle name="Millares [0] 14 7 4" xfId="3287" xr:uid="{E0BA5F83-72BA-470F-B09D-89125B5E1693}"/>
    <cellStyle name="Millares [0] 14 8" xfId="1128" xr:uid="{14D31C2D-3484-4425-820D-8D45F10654FD}"/>
    <cellStyle name="Millares [0] 14 8 2" xfId="2313" xr:uid="{D863CA0B-44FD-48CA-BE31-94EE4CCF3D4D}"/>
    <cellStyle name="Millares [0] 14 8 2 2" xfId="4679" xr:uid="{C3B16C39-A068-476A-8B20-9D569CF5722B}"/>
    <cellStyle name="Millares [0] 14 8 3" xfId="3496" xr:uid="{7FF2C4E4-4423-43EE-BE73-E985305C3502}"/>
    <cellStyle name="Millares [0] 14 9" xfId="1721" xr:uid="{484E9E6E-9ED8-4E86-AFF1-2ADDBADFDA13}"/>
    <cellStyle name="Millares [0] 14 9 2" xfId="4087" xr:uid="{1FCF788D-1139-4E68-AA79-924B5DD3100F}"/>
    <cellStyle name="Millares [0] 15" xfId="468" xr:uid="{89385044-1E34-47DB-8BA1-109B256B004F}"/>
    <cellStyle name="Millares [0] 15 2" xfId="780" xr:uid="{4FF4AA63-4F77-4304-BB7D-5EBA6B06BC24}"/>
    <cellStyle name="Millares [0] 15 2 2" xfId="1584" xr:uid="{8F30A450-B37E-4DF8-A843-D1BFAFDA98BF}"/>
    <cellStyle name="Millares [0] 15 2 2 2" xfId="2767" xr:uid="{7E6D0767-B456-4C07-A6A8-ECAA444917A3}"/>
    <cellStyle name="Millares [0] 15 2 2 2 2" xfId="5133" xr:uid="{77B130B5-3054-44F2-A80B-AD9A8406A7E3}"/>
    <cellStyle name="Millares [0] 15 2 2 3" xfId="3950" xr:uid="{EBD44AE1-A8AE-4812-9C55-A363ABC51862}"/>
    <cellStyle name="Millares [0] 15 2 3" xfId="1966" xr:uid="{23CAD39A-4BB5-4B21-AFB8-E2B765E5D36A}"/>
    <cellStyle name="Millares [0] 15 2 3 2" xfId="4332" xr:uid="{7EF4E1D8-D452-4108-B8A7-29523CEE2A90}"/>
    <cellStyle name="Millares [0] 15 2 4" xfId="3149" xr:uid="{AFEBA15B-0FBF-4C06-823B-024E95405A60}"/>
    <cellStyle name="Millares [0] 15 3" xfId="1067" xr:uid="{D7DF748E-AFB3-41DD-9AD3-E26797855448}"/>
    <cellStyle name="Millares [0] 15 3 2" xfId="1487" xr:uid="{057CA875-E9F7-4295-8DC5-D6AEF58255EC}"/>
    <cellStyle name="Millares [0] 15 3 2 2" xfId="2670" xr:uid="{715F9246-668C-498D-93B6-55B81625FDF6}"/>
    <cellStyle name="Millares [0] 15 3 2 2 2" xfId="5036" xr:uid="{566A3307-854D-4C76-8EC5-E293CFB27D17}"/>
    <cellStyle name="Millares [0] 15 3 2 3" xfId="3853" xr:uid="{5F56D362-D5FD-4C55-B21D-FC6F751E782C}"/>
    <cellStyle name="Millares [0] 15 3 3" xfId="2252" xr:uid="{E56D9FC1-9E61-4F31-8D12-161B036F4EA8}"/>
    <cellStyle name="Millares [0] 15 3 3 2" xfId="4618" xr:uid="{B62D5650-B11F-46C3-A7B9-EC7A9ADF659E}"/>
    <cellStyle name="Millares [0] 15 3 4" xfId="3435" xr:uid="{6ADAD98E-28B7-4A25-8BB0-3BE225EE28C3}"/>
    <cellStyle name="Millares [0] 15 4" xfId="1277" xr:uid="{13C7380F-7D69-4F97-97E2-C27ECDAFF78F}"/>
    <cellStyle name="Millares [0] 15 4 2" xfId="2461" xr:uid="{9EF63C88-E7CC-46C3-8463-88D1B2716395}"/>
    <cellStyle name="Millares [0] 15 4 2 2" xfId="4827" xr:uid="{31A7DC81-D195-4DCC-9181-3EFF5F5B7C2E}"/>
    <cellStyle name="Millares [0] 15 4 3" xfId="3644" xr:uid="{01E3D185-6AE5-48D0-89A5-3FB598830057}"/>
    <cellStyle name="Millares [0] 15 5" xfId="1869" xr:uid="{BC09A06F-98DA-4437-8B4C-40D5A1512EBB}"/>
    <cellStyle name="Millares [0] 15 5 2" xfId="4235" xr:uid="{5E088669-F2EC-4E02-83DD-9A932FA0386B}"/>
    <cellStyle name="Millares [0] 15 6" xfId="3052" xr:uid="{7C2F1402-E5DC-4589-8651-C3D25C4901AA}"/>
    <cellStyle name="Millares [0] 15 7" xfId="5270" xr:uid="{8E963FD9-F49D-4CBE-A80D-10CC523E4883}"/>
    <cellStyle name="Millares [0] 16" xfId="723" xr:uid="{53500B8A-574D-490E-809E-682DFA4DA434}"/>
    <cellStyle name="Millares [0] 16 2" xfId="808" xr:uid="{42E0962D-9B53-4F85-821B-5D344C7428D5}"/>
    <cellStyle name="Millares [0] 16 2 2" xfId="1612" xr:uid="{C1EA8210-C667-449B-B067-9A8B14B60B40}"/>
    <cellStyle name="Millares [0] 16 2 2 2" xfId="2795" xr:uid="{42FC20A0-3BC9-401D-9F88-AC31F9B27CF4}"/>
    <cellStyle name="Millares [0] 16 2 2 2 2" xfId="5161" xr:uid="{C75C2419-C7AA-4528-AF01-4B3887824D1A}"/>
    <cellStyle name="Millares [0] 16 2 2 3" xfId="3978" xr:uid="{237D1CF7-F561-408C-AFB6-D57E6912A909}"/>
    <cellStyle name="Millares [0] 16 2 3" xfId="1994" xr:uid="{476DDAE5-DBB7-46CE-90B6-030160B5B8C4}"/>
    <cellStyle name="Millares [0] 16 2 3 2" xfId="4360" xr:uid="{24B8A591-5ADD-4EE2-AB57-B97BD31CD770}"/>
    <cellStyle name="Millares [0] 16 2 4" xfId="3177" xr:uid="{A1006283-E082-42FD-B57B-BD83DA2838EC}"/>
    <cellStyle name="Millares [0] 16 3" xfId="1113" xr:uid="{AC40D7B5-7E85-4CEF-94E3-E79912C1E407}"/>
    <cellStyle name="Millares [0] 16 3 2" xfId="1533" xr:uid="{52BB5571-ED63-4A05-AF23-DB6F241C5ACC}"/>
    <cellStyle name="Millares [0] 16 3 2 2" xfId="2716" xr:uid="{754E5B00-09D3-4D20-94DC-DEB1D6C9B75E}"/>
    <cellStyle name="Millares [0] 16 3 2 2 2" xfId="5082" xr:uid="{A10D938D-F79B-455D-9358-6848554FC85E}"/>
    <cellStyle name="Millares [0] 16 3 2 3" xfId="3899" xr:uid="{134287BE-BCDB-4986-B8F8-2869FA093BF2}"/>
    <cellStyle name="Millares [0] 16 3 3" xfId="2298" xr:uid="{ECE664E6-8BC1-488D-8BBC-BB53FF042108}"/>
    <cellStyle name="Millares [0] 16 3 3 2" xfId="4664" xr:uid="{0FF8E91B-7BA7-45F5-B45D-70EDD96EB7A5}"/>
    <cellStyle name="Millares [0] 16 3 4" xfId="3481" xr:uid="{CB3836B7-012C-4632-9A85-395D4E27D872}"/>
    <cellStyle name="Millares [0] 16 4" xfId="1323" xr:uid="{7187EAD8-A349-4C06-8F15-C2D22DDA2ED4}"/>
    <cellStyle name="Millares [0] 16 4 2" xfId="2507" xr:uid="{3A032258-91CB-438C-A7C0-483F4E535E89}"/>
    <cellStyle name="Millares [0] 16 4 2 2" xfId="4873" xr:uid="{ECCA067B-471B-47BB-B3F6-E977600DCBDC}"/>
    <cellStyle name="Millares [0] 16 4 3" xfId="3690" xr:uid="{2A226BAE-3F0A-47F1-9804-2A7E366C0F02}"/>
    <cellStyle name="Millares [0] 16 5" xfId="1915" xr:uid="{2A77CBF2-7197-4F8C-A222-17AE8371B9F5}"/>
    <cellStyle name="Millares [0] 16 5 2" xfId="4281" xr:uid="{19A2C3C9-00DF-4A47-A7A2-4185D56FEA25}"/>
    <cellStyle name="Millares [0] 16 6" xfId="3098" xr:uid="{CA4D6605-0B10-4CBC-8731-F3E1D1537060}"/>
    <cellStyle name="Millares [0] 17" xfId="836" xr:uid="{BBC148DD-5F4E-448C-B831-C950139252AA}"/>
    <cellStyle name="Millares [0] 17 2" xfId="1640" xr:uid="{E2CD11E5-5E87-49C2-8E8F-05C1911D8004}"/>
    <cellStyle name="Millares [0] 17 2 2" xfId="2823" xr:uid="{0DC45BFE-64F9-49D9-BD5E-6FDF07083545}"/>
    <cellStyle name="Millares [0] 17 2 2 2" xfId="5189" xr:uid="{01AD7E77-CCB9-4241-B9FE-718F3726E958}"/>
    <cellStyle name="Millares [0] 17 2 3" xfId="4006" xr:uid="{71C898EE-EA64-457A-A129-B3E162C73DF0}"/>
    <cellStyle name="Millares [0] 17 3" xfId="2022" xr:uid="{5EEB3E82-6293-4D36-A66E-EA86F96C1DC2}"/>
    <cellStyle name="Millares [0] 17 3 2" xfId="4388" xr:uid="{4E0F83C8-9B3D-4E1B-8A80-1978A039EB70}"/>
    <cellStyle name="Millares [0] 17 4" xfId="3205" xr:uid="{BD385722-56BD-49B3-9012-9B45131C54F7}"/>
    <cellStyle name="Millares [0] 18" xfId="864" xr:uid="{0A6F3D69-AE35-45CD-8EE1-6BD81ECFD644}"/>
    <cellStyle name="Millares [0] 18 2" xfId="1668" xr:uid="{A275019F-558A-408C-A961-90E7EB5C4198}"/>
    <cellStyle name="Millares [0] 18 2 2" xfId="2851" xr:uid="{E97BD4A2-235A-4A74-A92A-3C3AD1FE95B5}"/>
    <cellStyle name="Millares [0] 18 2 2 2" xfId="5217" xr:uid="{BD821B6D-AE17-4883-84FB-F39229752748}"/>
    <cellStyle name="Millares [0] 18 2 3" xfId="4034" xr:uid="{B9FF9BFD-8D7B-4246-93A5-EBA5742A52CA}"/>
    <cellStyle name="Millares [0] 18 3" xfId="2050" xr:uid="{B93CE261-FC7C-4850-AB1D-1A4207361713}"/>
    <cellStyle name="Millares [0] 18 3 2" xfId="4416" xr:uid="{C005B027-0E7D-4694-B134-F1AA41199E94}"/>
    <cellStyle name="Millares [0] 18 4" xfId="3233" xr:uid="{31EE7FEE-5BAF-4C22-AB02-C5A17412160C}"/>
    <cellStyle name="Millares [0] 19" xfId="892" xr:uid="{F344354E-DF16-408A-8CAD-469F1602D2E4}"/>
    <cellStyle name="Millares [0] 19 2" xfId="1696" xr:uid="{DE25C206-783B-4007-B699-E3994C15554B}"/>
    <cellStyle name="Millares [0] 19 2 2" xfId="2879" xr:uid="{510BA7D0-CC2A-4C81-A75A-EF8916DE10B2}"/>
    <cellStyle name="Millares [0] 19 2 2 2" xfId="5245" xr:uid="{8F529ECF-2730-4118-A7A0-70B0CA0E98D3}"/>
    <cellStyle name="Millares [0] 19 2 3" xfId="4062" xr:uid="{295EB22D-E6FB-477E-8E1B-8096FB6AA3D6}"/>
    <cellStyle name="Millares [0] 19 3" xfId="2078" xr:uid="{F10D092D-02AA-48DF-B9DC-F20413AD108E}"/>
    <cellStyle name="Millares [0] 19 3 2" xfId="4444" xr:uid="{5100F558-0381-44F4-86BF-7BC6D112DE82}"/>
    <cellStyle name="Millares [0] 19 4" xfId="3261" xr:uid="{B40ABE44-543F-410B-9587-4ECAA2C57D97}"/>
    <cellStyle name="Millares [0] 2" xfId="45" xr:uid="{00000000-0005-0000-0000-000028000000}"/>
    <cellStyle name="Millares [0] 2 10" xfId="724" xr:uid="{B7E9565B-134A-4B6B-87EC-043C5D72ABE9}"/>
    <cellStyle name="Millares [0] 2 10 2" xfId="1114" xr:uid="{043E956E-47FB-4186-9678-4DB008309423}"/>
    <cellStyle name="Millares [0] 2 10 2 2" xfId="1534" xr:uid="{D29A5E64-A3FD-44F0-930C-51560B78EE7C}"/>
    <cellStyle name="Millares [0] 2 10 2 2 2" xfId="2717" xr:uid="{560A67AC-ECEB-43E6-9A0D-330F5200C125}"/>
    <cellStyle name="Millares [0] 2 10 2 2 2 2" xfId="5083" xr:uid="{0363F6EC-3DA3-4D69-99DF-97ACC74E8B1A}"/>
    <cellStyle name="Millares [0] 2 10 2 2 3" xfId="3900" xr:uid="{DAC8A80E-0AB0-4FEF-8D44-AA57CF0294B9}"/>
    <cellStyle name="Millares [0] 2 10 2 3" xfId="2299" xr:uid="{6B0F4ABD-54BD-4884-AA6D-B1DE1BE02674}"/>
    <cellStyle name="Millares [0] 2 10 2 3 2" xfId="4665" xr:uid="{B772EA33-074B-456C-8E3B-2CB862328EF8}"/>
    <cellStyle name="Millares [0] 2 10 2 4" xfId="3482" xr:uid="{34F61C3B-69B9-4C8A-887A-B8427CDE5DA5}"/>
    <cellStyle name="Millares [0] 2 10 3" xfId="1324" xr:uid="{1C47051B-C03F-4590-9374-47D0DA255726}"/>
    <cellStyle name="Millares [0] 2 10 3 2" xfId="2508" xr:uid="{CF4854C1-D986-49B6-A279-F1E3863DDB87}"/>
    <cellStyle name="Millares [0] 2 10 3 2 2" xfId="4874" xr:uid="{6008BF5A-5289-41B7-ADF4-904A3264853B}"/>
    <cellStyle name="Millares [0] 2 10 3 3" xfId="3691" xr:uid="{0574D16E-E652-4E51-87CB-3236FE917F84}"/>
    <cellStyle name="Millares [0] 2 10 4" xfId="1916" xr:uid="{94F5BBB0-EAF6-4CAF-A65F-D0315A646609}"/>
    <cellStyle name="Millares [0] 2 10 4 2" xfId="4282" xr:uid="{6BF7674D-557F-42D2-A28C-786CD8A0E0B5}"/>
    <cellStyle name="Millares [0] 2 10 5" xfId="3099" xr:uid="{668332DE-39C9-445F-B3A8-451D3EBBE886}"/>
    <cellStyle name="Millares [0] 2 10 6" xfId="5391" xr:uid="{B69F744D-8A56-4DA5-9CEF-3D6142C093A1}"/>
    <cellStyle name="Millares [0] 2 11" xfId="741" xr:uid="{25C96BA0-D39C-48DC-8756-7A5A6A12B6BB}"/>
    <cellStyle name="Millares [0] 2 11 2" xfId="1545" xr:uid="{56C9AFF9-1EEB-45BE-9C38-41B44DEB642C}"/>
    <cellStyle name="Millares [0] 2 11 2 2" xfId="2728" xr:uid="{2E5C01D9-152B-4EEA-ABC3-D62F868742A9}"/>
    <cellStyle name="Millares [0] 2 11 2 2 2" xfId="5094" xr:uid="{5C0253F2-1412-4060-B219-DDDCF5543299}"/>
    <cellStyle name="Millares [0] 2 11 2 3" xfId="3911" xr:uid="{2A7BE77D-207C-4E0E-B4D5-3A912EA4F8C1}"/>
    <cellStyle name="Millares [0] 2 11 3" xfId="1927" xr:uid="{72BB3F4E-94E0-4EAF-B873-4B754BB4D240}"/>
    <cellStyle name="Millares [0] 2 11 3 2" xfId="4293" xr:uid="{40B635E2-1312-4D70-8044-3C980F347E73}"/>
    <cellStyle name="Millares [0] 2 11 4" xfId="3110" xr:uid="{8A62DED2-2045-4A54-B412-D721237ED2B9}"/>
    <cellStyle name="Millares [0] 2 11 5" xfId="5416" xr:uid="{3B03EDAC-F8C6-4E2E-A422-A632A03EF371}"/>
    <cellStyle name="Millares [0] 2 12" xfId="773" xr:uid="{F95E064F-6CDE-4DCE-B714-0056A64F2D9E}"/>
    <cellStyle name="Millares [0] 2 12 2" xfId="1577" xr:uid="{067A8D2D-94D4-4AE3-9121-54A21B30177E}"/>
    <cellStyle name="Millares [0] 2 12 2 2" xfId="2760" xr:uid="{D89C81DC-64D5-48D2-9988-8A5DC61CA170}"/>
    <cellStyle name="Millares [0] 2 12 2 2 2" xfId="5126" xr:uid="{94611D54-EAE6-48A8-A1A9-D46B16163971}"/>
    <cellStyle name="Millares [0] 2 12 2 3" xfId="3943" xr:uid="{FE248A1E-2F8D-4D66-A8C4-0D366A40883A}"/>
    <cellStyle name="Millares [0] 2 12 3" xfId="1959" xr:uid="{86C4F8FC-D3DC-4600-B2E6-8B8658D225A2}"/>
    <cellStyle name="Millares [0] 2 12 3 2" xfId="4325" xr:uid="{EE1A751A-18AB-4B83-B03E-E01C44366424}"/>
    <cellStyle name="Millares [0] 2 12 4" xfId="3142" xr:uid="{B3ABFEE9-B04E-4B7D-BBDF-6EA601E62DC1}"/>
    <cellStyle name="Millares [0] 2 12 5" xfId="5442" xr:uid="{BD80E2EE-959C-4704-B9D1-31687A93D3D2}"/>
    <cellStyle name="Millares [0] 2 13" xfId="5468" xr:uid="{83F31AFD-F831-4310-8409-E84657D10665}"/>
    <cellStyle name="Millares [0] 2 14" xfId="5271" xr:uid="{7529A29D-A026-40D6-82DF-D2F3B1D46EA0}"/>
    <cellStyle name="Millares [0] 2 15" xfId="5492" xr:uid="{05CC02F2-1B06-4981-866A-02CBA15D002E}"/>
    <cellStyle name="Millares [0] 2 2" xfId="54" xr:uid="{00000000-0005-0000-0000-000029000000}"/>
    <cellStyle name="Millares [0] 2 2 10" xfId="744" xr:uid="{063AC84A-EEB3-4177-88C1-4C3B6F3F1F60}"/>
    <cellStyle name="Millares [0] 2 2 10 10" xfId="5443" xr:uid="{1E8CC533-4CB4-4563-B49F-585E7F8E84FD}"/>
    <cellStyle name="Millares [0] 2 2 10 2" xfId="824" xr:uid="{011BF80C-67D4-44D0-8847-BBC1380DD692}"/>
    <cellStyle name="Millares [0] 2 2 10 2 2" xfId="1628" xr:uid="{72756949-59CF-49FD-9005-B1CE38EA41E2}"/>
    <cellStyle name="Millares [0] 2 2 10 2 2 2" xfId="2811" xr:uid="{0CBFB544-7B90-4F24-80C3-A3FDFD626AF0}"/>
    <cellStyle name="Millares [0] 2 2 10 2 2 2 2" xfId="5177" xr:uid="{87EADA5A-82E4-4122-A6B1-F80EAF139FB1}"/>
    <cellStyle name="Millares [0] 2 2 10 2 2 3" xfId="3994" xr:uid="{59F12349-93E2-4751-9172-7484681DA072}"/>
    <cellStyle name="Millares [0] 2 2 10 2 3" xfId="2010" xr:uid="{4F4EF95C-3F56-4AA9-B1D2-EEFA97BE720F}"/>
    <cellStyle name="Millares [0] 2 2 10 2 3 2" xfId="4376" xr:uid="{672D092F-13B5-4332-9F77-144B8AEC1471}"/>
    <cellStyle name="Millares [0] 2 2 10 2 4" xfId="3193" xr:uid="{162BBBF3-DF6B-4524-AC57-6F937977E0C5}"/>
    <cellStyle name="Millares [0] 2 2 10 3" xfId="852" xr:uid="{7A8A4E79-AB18-43A3-A93D-8861A20252D2}"/>
    <cellStyle name="Millares [0] 2 2 10 3 2" xfId="1656" xr:uid="{0C11FF03-0945-4C5D-A1AB-B2CFE3C66791}"/>
    <cellStyle name="Millares [0] 2 2 10 3 2 2" xfId="2839" xr:uid="{E55A4973-6FD7-4DAF-A7CB-B19702F5CC1F}"/>
    <cellStyle name="Millares [0] 2 2 10 3 2 2 2" xfId="5205" xr:uid="{24F964D6-00FF-4304-8FD5-B5F47E18920E}"/>
    <cellStyle name="Millares [0] 2 2 10 3 2 3" xfId="4022" xr:uid="{C306A5C0-1D34-4EAD-BA60-18CCC2612BF5}"/>
    <cellStyle name="Millares [0] 2 2 10 3 3" xfId="2038" xr:uid="{8BB74674-D899-4BB5-A8BA-70CD03393EE2}"/>
    <cellStyle name="Millares [0] 2 2 10 3 3 2" xfId="4404" xr:uid="{AEFE222A-1474-4AEF-A465-02AF20D05B9E}"/>
    <cellStyle name="Millares [0] 2 2 10 3 4" xfId="3221" xr:uid="{C76E2E8B-C10A-44E4-A111-8C5021BE09A8}"/>
    <cellStyle name="Millares [0] 2 2 10 4" xfId="880" xr:uid="{811B3C02-CBE7-46A6-91E5-646A9833041E}"/>
    <cellStyle name="Millares [0] 2 2 10 4 2" xfId="1684" xr:uid="{0E1B39E7-5AD8-4DF3-A487-50AE8271A533}"/>
    <cellStyle name="Millares [0] 2 2 10 4 2 2" xfId="2867" xr:uid="{BD0D6B3D-8CD8-4FCC-B398-F9EAF07F6939}"/>
    <cellStyle name="Millares [0] 2 2 10 4 2 2 2" xfId="5233" xr:uid="{9B991021-D26B-4302-B142-EDC2DAD0259A}"/>
    <cellStyle name="Millares [0] 2 2 10 4 2 3" xfId="4050" xr:uid="{A87DB2C7-64B4-414C-863A-81B6E66EF04C}"/>
    <cellStyle name="Millares [0] 2 2 10 4 3" xfId="2066" xr:uid="{9AE9CC54-3794-488A-A899-4CE0668A5B72}"/>
    <cellStyle name="Millares [0] 2 2 10 4 3 2" xfId="4432" xr:uid="{B1860397-EF04-46AA-BE20-8C414036779E}"/>
    <cellStyle name="Millares [0] 2 2 10 4 4" xfId="3249" xr:uid="{A3F6C19D-3701-4D82-AECF-9FC33C84EF7F}"/>
    <cellStyle name="Millares [0] 2 2 10 5" xfId="908" xr:uid="{A6EDD125-8734-41FC-B1BF-BF498FE45D23}"/>
    <cellStyle name="Millares [0] 2 2 10 5 2" xfId="1712" xr:uid="{AA120634-0DDC-446F-B6BF-2FF6B799C0B6}"/>
    <cellStyle name="Millares [0] 2 2 10 5 2 2" xfId="2895" xr:uid="{F8532302-4E67-4BBB-8369-453894611BF2}"/>
    <cellStyle name="Millares [0] 2 2 10 5 2 2 2" xfId="5261" xr:uid="{E5493947-CCD5-44B2-851B-0CB18E19ECD8}"/>
    <cellStyle name="Millares [0] 2 2 10 5 2 3" xfId="4078" xr:uid="{610D5D06-8BB7-462A-BB92-00FAA1143DB1}"/>
    <cellStyle name="Millares [0] 2 2 10 5 3" xfId="2094" xr:uid="{656032C2-8FE1-41B9-A687-9FC6E09F694C}"/>
    <cellStyle name="Millares [0] 2 2 10 5 3 2" xfId="4460" xr:uid="{909E073D-4085-4911-BCB2-9A5CDD6D69AE}"/>
    <cellStyle name="Millares [0] 2 2 10 5 4" xfId="3277" xr:uid="{015260F6-68AE-4B36-B3CE-D730F8312337}"/>
    <cellStyle name="Millares [0] 2 2 10 6" xfId="796" xr:uid="{D2AAC400-33F8-4D01-9EAE-7315BABFE91C}"/>
    <cellStyle name="Millares [0] 2 2 10 6 2" xfId="1600" xr:uid="{1744D9ED-E4A8-4466-9275-19EDC3D2941B}"/>
    <cellStyle name="Millares [0] 2 2 10 6 2 2" xfId="2783" xr:uid="{7507F741-80C1-4697-8C94-FFF4B4C97E71}"/>
    <cellStyle name="Millares [0] 2 2 10 6 2 2 2" xfId="5149" xr:uid="{880678B4-3989-4D18-9DF1-8FF8D996EE1F}"/>
    <cellStyle name="Millares [0] 2 2 10 6 2 3" xfId="3966" xr:uid="{BD580D5A-E30A-48A3-9EDB-7245DA2457DB}"/>
    <cellStyle name="Millares [0] 2 2 10 6 3" xfId="1982" xr:uid="{9EFDDB2B-1882-4D58-B67C-83CEF814FD6E}"/>
    <cellStyle name="Millares [0] 2 2 10 6 3 2" xfId="4348" xr:uid="{9762DC1A-DD02-4D9A-9B78-08E2B2B7663D}"/>
    <cellStyle name="Millares [0] 2 2 10 6 4" xfId="3165" xr:uid="{F4C3CA09-B151-46AB-A0E3-7A42D5A080BB}"/>
    <cellStyle name="Millares [0] 2 2 10 7" xfId="1548" xr:uid="{E188DFC1-DF74-4A68-A375-5A2FC86737C5}"/>
    <cellStyle name="Millares [0] 2 2 10 7 2" xfId="2731" xr:uid="{75A62759-E5D7-4518-A345-4D95D83ACB8E}"/>
    <cellStyle name="Millares [0] 2 2 10 7 2 2" xfId="5097" xr:uid="{005A346F-A19C-4A71-A881-FDF8896CCBBE}"/>
    <cellStyle name="Millares [0] 2 2 10 7 3" xfId="3914" xr:uid="{BBA56266-8BD7-497B-974D-14E44F074C0C}"/>
    <cellStyle name="Millares [0] 2 2 10 8" xfId="1930" xr:uid="{5DA1056B-91F4-4FEA-8FDB-667E2AAF8380}"/>
    <cellStyle name="Millares [0] 2 2 10 8 2" xfId="4296" xr:uid="{52BC3F3A-EF7B-4F50-9C91-28A586276FAD}"/>
    <cellStyle name="Millares [0] 2 2 10 9" xfId="3113" xr:uid="{C9EF4484-3449-47B8-B57D-0448E1F60772}"/>
    <cellStyle name="Millares [0] 2 2 11" xfId="798" xr:uid="{B191E4FC-A27E-483B-BBAE-33C542303535}"/>
    <cellStyle name="Millares [0] 2 2 11 2" xfId="826" xr:uid="{83765351-9310-4392-AF98-EA299F24801C}"/>
    <cellStyle name="Millares [0] 2 2 11 2 2" xfId="1630" xr:uid="{C7E4B53B-B1D0-4096-9C6F-8416AF8BBACA}"/>
    <cellStyle name="Millares [0] 2 2 11 2 2 2" xfId="2813" xr:uid="{BAF2696D-8850-4BAD-839F-B654706B296A}"/>
    <cellStyle name="Millares [0] 2 2 11 2 2 2 2" xfId="5179" xr:uid="{F7DDEA2B-C32D-4DB0-975E-9D7D8DD749F2}"/>
    <cellStyle name="Millares [0] 2 2 11 2 2 3" xfId="3996" xr:uid="{1D6DAF1B-9A6B-4BE5-96C7-27002285B4CB}"/>
    <cellStyle name="Millares [0] 2 2 11 2 3" xfId="2012" xr:uid="{0769F7A0-349B-479A-89E7-FAE2D4F23C10}"/>
    <cellStyle name="Millares [0] 2 2 11 2 3 2" xfId="4378" xr:uid="{43E5E356-C4C1-43BC-95CA-8E7D6EBA68D3}"/>
    <cellStyle name="Millares [0] 2 2 11 2 4" xfId="3195" xr:uid="{922E5079-1717-4BF9-A1B4-029CDC275A0E}"/>
    <cellStyle name="Millares [0] 2 2 11 3" xfId="854" xr:uid="{45722003-DD4A-42D0-B608-68D95FFAD372}"/>
    <cellStyle name="Millares [0] 2 2 11 3 2" xfId="1658" xr:uid="{1CE7811C-DC60-4444-A260-8BB6E1F431DE}"/>
    <cellStyle name="Millares [0] 2 2 11 3 2 2" xfId="2841" xr:uid="{0E68819D-BBBE-4FA1-9295-83A3D0539B44}"/>
    <cellStyle name="Millares [0] 2 2 11 3 2 2 2" xfId="5207" xr:uid="{26C6F18C-649A-4CBC-9C0B-02D323F41E80}"/>
    <cellStyle name="Millares [0] 2 2 11 3 2 3" xfId="4024" xr:uid="{A50BC061-4C1D-45E4-BCF2-376129FB73D3}"/>
    <cellStyle name="Millares [0] 2 2 11 3 3" xfId="2040" xr:uid="{F84A64E7-9D9B-4D03-ACD5-1DA0C4C1826C}"/>
    <cellStyle name="Millares [0] 2 2 11 3 3 2" xfId="4406" xr:uid="{E5BFCCC3-2096-407C-BA90-46E5928BDBFE}"/>
    <cellStyle name="Millares [0] 2 2 11 3 4" xfId="3223" xr:uid="{FC729641-456C-44E3-BBA4-4F59F6C77CF3}"/>
    <cellStyle name="Millares [0] 2 2 11 4" xfId="882" xr:uid="{2AA18F2F-3ED7-403C-A8EC-42B1C492C02A}"/>
    <cellStyle name="Millares [0] 2 2 11 4 2" xfId="1686" xr:uid="{BCCA7061-F670-46C4-B213-F4C005730524}"/>
    <cellStyle name="Millares [0] 2 2 11 4 2 2" xfId="2869" xr:uid="{480B8EC2-6425-4E7D-A147-EAD2E9942C55}"/>
    <cellStyle name="Millares [0] 2 2 11 4 2 2 2" xfId="5235" xr:uid="{B6D328D5-8C91-405B-92BB-7E60C39FBD6E}"/>
    <cellStyle name="Millares [0] 2 2 11 4 2 3" xfId="4052" xr:uid="{8F9ACB6D-896D-434F-ADFC-6E46CF10129D}"/>
    <cellStyle name="Millares [0] 2 2 11 4 3" xfId="2068" xr:uid="{6EB137E4-F425-4C6C-BDAC-BE39AD418E18}"/>
    <cellStyle name="Millares [0] 2 2 11 4 3 2" xfId="4434" xr:uid="{620F2CC5-2688-4CBA-985B-F44A89F62F6E}"/>
    <cellStyle name="Millares [0] 2 2 11 4 4" xfId="3251" xr:uid="{53930E45-E87F-4EF3-9F51-3D6B854A9480}"/>
    <cellStyle name="Millares [0] 2 2 11 5" xfId="910" xr:uid="{81F39FC6-7497-4C8D-BE9B-2CBEDCA485B5}"/>
    <cellStyle name="Millares [0] 2 2 11 5 2" xfId="1714" xr:uid="{6DFA4859-DD9B-40AC-8826-FD318FC5324A}"/>
    <cellStyle name="Millares [0] 2 2 11 5 2 2" xfId="2897" xr:uid="{CEE91109-33C0-4AD9-BC1E-C5D76D30A960}"/>
    <cellStyle name="Millares [0] 2 2 11 5 2 2 2" xfId="5263" xr:uid="{A70EDEBB-06BB-447F-9F9E-C5A19884DAA3}"/>
    <cellStyle name="Millares [0] 2 2 11 5 2 3" xfId="4080" xr:uid="{F561AB86-1D68-474C-A9B0-807910586B91}"/>
    <cellStyle name="Millares [0] 2 2 11 5 3" xfId="2096" xr:uid="{409ECCD2-ADC8-42FB-855B-3D1046485DCD}"/>
    <cellStyle name="Millares [0] 2 2 11 5 3 2" xfId="4462" xr:uid="{2DAEA5E9-2D02-49A0-B0BD-5E5CBD8B2ECE}"/>
    <cellStyle name="Millares [0] 2 2 11 5 4" xfId="3279" xr:uid="{93706ECB-2069-4070-A90E-60CB981D4764}"/>
    <cellStyle name="Millares [0] 2 2 11 6" xfId="1602" xr:uid="{03696BD5-D801-421F-8A7B-3F5D19DAC742}"/>
    <cellStyle name="Millares [0] 2 2 11 6 2" xfId="2785" xr:uid="{97FF924A-0ED5-4A3E-9B90-34AE209C92DB}"/>
    <cellStyle name="Millares [0] 2 2 11 6 2 2" xfId="5151" xr:uid="{E3A868C8-4D9F-4A63-AF1D-35CDABCE038E}"/>
    <cellStyle name="Millares [0] 2 2 11 6 3" xfId="3968" xr:uid="{1941C8B1-7292-483F-8FBB-43BB07799F53}"/>
    <cellStyle name="Millares [0] 2 2 11 7" xfId="1984" xr:uid="{94DF7BBD-5029-4798-9569-9ECBC14AB24F}"/>
    <cellStyle name="Millares [0] 2 2 11 7 2" xfId="4350" xr:uid="{A9B4DE98-3F2F-4DEB-819C-2EF9462B1DB0}"/>
    <cellStyle name="Millares [0] 2 2 11 8" xfId="3167" xr:uid="{4157A27D-EF7F-408B-BAB2-7CCE322CC6B3}"/>
    <cellStyle name="Millares [0] 2 2 11 9" xfId="5469" xr:uid="{32042570-3AC7-4766-89CA-45B2E0772AD0}"/>
    <cellStyle name="Millares [0] 2 2 12" xfId="800" xr:uid="{0B28206C-A979-4A1D-A57E-DD4F1E35AEA2}"/>
    <cellStyle name="Millares [0] 2 2 12 2" xfId="828" xr:uid="{9730C98F-84A2-4E26-A16D-9A0CC2EF7F39}"/>
    <cellStyle name="Millares [0] 2 2 12 2 2" xfId="1632" xr:uid="{8CE2187C-2A50-4EC7-9239-1E1F5C33BD22}"/>
    <cellStyle name="Millares [0] 2 2 12 2 2 2" xfId="2815" xr:uid="{256236AC-5490-409F-8AD1-28287826DBE1}"/>
    <cellStyle name="Millares [0] 2 2 12 2 2 2 2" xfId="5181" xr:uid="{2A627A02-26A6-49B7-B478-5CC3CA05BEA9}"/>
    <cellStyle name="Millares [0] 2 2 12 2 2 3" xfId="3998" xr:uid="{67D771DE-733B-4925-B1EA-7CEBF7249C0D}"/>
    <cellStyle name="Millares [0] 2 2 12 2 3" xfId="2014" xr:uid="{D317AB77-E19F-4DE2-ABC9-3E5879ED579B}"/>
    <cellStyle name="Millares [0] 2 2 12 2 3 2" xfId="4380" xr:uid="{1AA8E482-3611-4E5B-8144-62DE7F51EB5D}"/>
    <cellStyle name="Millares [0] 2 2 12 2 4" xfId="3197" xr:uid="{6CD5E519-55DD-4D05-BBB9-B416CC069BDA}"/>
    <cellStyle name="Millares [0] 2 2 12 3" xfId="856" xr:uid="{6A006717-8D18-4A04-BFD6-CDC8BCB6CC4F}"/>
    <cellStyle name="Millares [0] 2 2 12 3 2" xfId="1660" xr:uid="{84274D24-BAF4-4845-8968-A509BC40D7C6}"/>
    <cellStyle name="Millares [0] 2 2 12 3 2 2" xfId="2843" xr:uid="{AFFD27BF-D02A-470E-8500-C2BEC079A5F4}"/>
    <cellStyle name="Millares [0] 2 2 12 3 2 2 2" xfId="5209" xr:uid="{E3E8F1FD-48D5-47BD-A447-ACF35BF50773}"/>
    <cellStyle name="Millares [0] 2 2 12 3 2 3" xfId="4026" xr:uid="{904EBDE7-2FE7-427D-BC25-CBCED8063950}"/>
    <cellStyle name="Millares [0] 2 2 12 3 3" xfId="2042" xr:uid="{65D5ED04-4642-40D3-93CB-7A3B95CE7AB7}"/>
    <cellStyle name="Millares [0] 2 2 12 3 3 2" xfId="4408" xr:uid="{0F5C78E3-57E7-4CB6-864D-8D4BA2749D66}"/>
    <cellStyle name="Millares [0] 2 2 12 3 4" xfId="3225" xr:uid="{A414412F-CBCC-4AD8-9B22-055044017A12}"/>
    <cellStyle name="Millares [0] 2 2 12 4" xfId="884" xr:uid="{93395A55-0580-404B-A8CF-B201CFD834A8}"/>
    <cellStyle name="Millares [0] 2 2 12 4 2" xfId="1688" xr:uid="{4BF203B8-560B-4BA3-A9E3-D0074AF7F7DC}"/>
    <cellStyle name="Millares [0] 2 2 12 4 2 2" xfId="2871" xr:uid="{756D5034-2591-4175-8A69-D15210C3D1F7}"/>
    <cellStyle name="Millares [0] 2 2 12 4 2 2 2" xfId="5237" xr:uid="{4998483A-84E8-472B-87BD-7CBD3596B8A2}"/>
    <cellStyle name="Millares [0] 2 2 12 4 2 3" xfId="4054" xr:uid="{79C1C123-5633-409B-B841-11D3CAF145F4}"/>
    <cellStyle name="Millares [0] 2 2 12 4 3" xfId="2070" xr:uid="{FBD7D0B0-73F3-4E63-8AE7-8898D7935B0E}"/>
    <cellStyle name="Millares [0] 2 2 12 4 3 2" xfId="4436" xr:uid="{D6F4D6DF-34B9-48AE-895F-ED88E01EBE7A}"/>
    <cellStyle name="Millares [0] 2 2 12 4 4" xfId="3253" xr:uid="{A5085D03-A5B0-4101-8329-080BAB3C6C71}"/>
    <cellStyle name="Millares [0] 2 2 12 5" xfId="912" xr:uid="{D8D3753D-B640-471D-BD77-42B7EF04832D}"/>
    <cellStyle name="Millares [0] 2 2 12 5 2" xfId="1716" xr:uid="{720A079E-C89C-4DC1-8221-87D8FF5BD925}"/>
    <cellStyle name="Millares [0] 2 2 12 5 2 2" xfId="2899" xr:uid="{CC92BB00-C6D9-4B34-8EE8-ED418C0A375D}"/>
    <cellStyle name="Millares [0] 2 2 12 5 2 2 2" xfId="5265" xr:uid="{64620164-7671-4458-93DC-E15BBF4C4310}"/>
    <cellStyle name="Millares [0] 2 2 12 5 2 3" xfId="4082" xr:uid="{B1252176-4BE7-4249-843A-CD5FD57B7CCD}"/>
    <cellStyle name="Millares [0] 2 2 12 5 3" xfId="2098" xr:uid="{85A1B78F-04B0-400A-AFC4-CDB06DFF6B9E}"/>
    <cellStyle name="Millares [0] 2 2 12 5 3 2" xfId="4464" xr:uid="{A64F78A4-A30E-4E6B-A14B-FE227DFEF7B0}"/>
    <cellStyle name="Millares [0] 2 2 12 5 4" xfId="3281" xr:uid="{8E132775-6946-4EAB-9CEF-1F4636585EBC}"/>
    <cellStyle name="Millares [0] 2 2 12 6" xfId="1604" xr:uid="{30875E28-4F6C-48DE-8163-68759E180FD7}"/>
    <cellStyle name="Millares [0] 2 2 12 6 2" xfId="2787" xr:uid="{2EDDC5FA-ACA4-4A98-94C5-B13876814448}"/>
    <cellStyle name="Millares [0] 2 2 12 6 2 2" xfId="5153" xr:uid="{3F682FB0-F84A-44AD-AA83-DA78FCE777CA}"/>
    <cellStyle name="Millares [0] 2 2 12 6 3" xfId="3970" xr:uid="{0CA62EB3-FF58-4CB3-AFAE-BB563A2836F7}"/>
    <cellStyle name="Millares [0] 2 2 12 7" xfId="1986" xr:uid="{50C4FDD1-A6ED-42F1-BEBC-CDC88FCFEE84}"/>
    <cellStyle name="Millares [0] 2 2 12 7 2" xfId="4352" xr:uid="{8D2D5BDB-B155-46D0-8E7C-DDBDBC6D1710}"/>
    <cellStyle name="Millares [0] 2 2 12 8" xfId="3169" xr:uid="{4AD6A77E-A592-4110-91AD-654A745F9159}"/>
    <cellStyle name="Millares [0] 2 2 13" xfId="803" xr:uid="{5973B5B6-4FD9-4671-9574-C427F36F29D3}"/>
    <cellStyle name="Millares [0] 2 2 13 2" xfId="1607" xr:uid="{22D9AEE5-BE11-46B6-B6D1-31F102E119B2}"/>
    <cellStyle name="Millares [0] 2 2 13 2 2" xfId="2790" xr:uid="{6D5F118B-6D41-4F75-A3B1-134AB2776782}"/>
    <cellStyle name="Millares [0] 2 2 13 2 2 2" xfId="5156" xr:uid="{75BE9C5A-955C-4EE7-9042-23A40FE0C2AC}"/>
    <cellStyle name="Millares [0] 2 2 13 2 3" xfId="3973" xr:uid="{150F5AF9-0183-498D-BABB-7F1FE4E25EBA}"/>
    <cellStyle name="Millares [0] 2 2 13 3" xfId="1989" xr:uid="{8CBAEB14-BCCE-4F04-8EA9-F2D94D8A6E0B}"/>
    <cellStyle name="Millares [0] 2 2 13 3 2" xfId="4355" xr:uid="{D9FF05B7-D4AD-4AB7-9436-8F8438C1C09F}"/>
    <cellStyle name="Millares [0] 2 2 13 4" xfId="3172" xr:uid="{EB9CF41E-275D-48C9-9238-2BD438EE0A82}"/>
    <cellStyle name="Millares [0] 2 2 14" xfId="831" xr:uid="{2C660849-626C-4D46-B3A0-F1042FA6D586}"/>
    <cellStyle name="Millares [0] 2 2 14 2" xfId="1635" xr:uid="{4B5706D5-4E09-4ABB-99C7-28B6C46F2D56}"/>
    <cellStyle name="Millares [0] 2 2 14 2 2" xfId="2818" xr:uid="{95FB3597-F5FE-4775-99AA-74C1B80C6521}"/>
    <cellStyle name="Millares [0] 2 2 14 2 2 2" xfId="5184" xr:uid="{940C8817-980E-4519-8A6E-6D5B16C05925}"/>
    <cellStyle name="Millares [0] 2 2 14 2 3" xfId="4001" xr:uid="{786C1075-FBA0-4FA3-B9E4-43C18CE5AA3F}"/>
    <cellStyle name="Millares [0] 2 2 14 3" xfId="2017" xr:uid="{13E30A0B-FB01-4140-820E-215428801471}"/>
    <cellStyle name="Millares [0] 2 2 14 3 2" xfId="4383" xr:uid="{BDAFA1B0-DB02-4CB6-93D2-8604BCA1CC78}"/>
    <cellStyle name="Millares [0] 2 2 14 4" xfId="3200" xr:uid="{44E15B01-36F8-4F4B-8A8F-48E010C785BC}"/>
    <cellStyle name="Millares [0] 2 2 15" xfId="859" xr:uid="{49D8E9CD-BC85-421C-A3E7-1DDB94E2DD44}"/>
    <cellStyle name="Millares [0] 2 2 15 2" xfId="1663" xr:uid="{38E01B4B-26E2-4110-9BB3-D92A52FD3B26}"/>
    <cellStyle name="Millares [0] 2 2 15 2 2" xfId="2846" xr:uid="{E3E17ECB-E58D-4A55-AD19-5A3C7EA33A52}"/>
    <cellStyle name="Millares [0] 2 2 15 2 2 2" xfId="5212" xr:uid="{30E4A9A8-61FA-49A0-9ED4-A24862354CB3}"/>
    <cellStyle name="Millares [0] 2 2 15 2 3" xfId="4029" xr:uid="{C65FE1AB-4BBA-4A1A-A336-E4351915A46F}"/>
    <cellStyle name="Millares [0] 2 2 15 3" xfId="2045" xr:uid="{0EC54391-C663-4816-A5D2-BE2422F16BD8}"/>
    <cellStyle name="Millares [0] 2 2 15 3 2" xfId="4411" xr:uid="{8DE8080E-7E0F-4045-B110-4C617D2C89FD}"/>
    <cellStyle name="Millares [0] 2 2 15 4" xfId="3228" xr:uid="{375206D8-1867-437A-B179-80E1C9F3BC44}"/>
    <cellStyle name="Millares [0] 2 2 16" xfId="887" xr:uid="{78A7AAF7-0047-465F-9F26-9BDFADF53419}"/>
    <cellStyle name="Millares [0] 2 2 16 2" xfId="1691" xr:uid="{6D574878-4F25-49CD-914C-3F7F37747704}"/>
    <cellStyle name="Millares [0] 2 2 16 2 2" xfId="2874" xr:uid="{9DEFCD49-F9C5-4D98-9380-33540AFAC2D9}"/>
    <cellStyle name="Millares [0] 2 2 16 2 2 2" xfId="5240" xr:uid="{72BEB65A-56F2-424C-8D17-BFCD44845DFA}"/>
    <cellStyle name="Millares [0] 2 2 16 2 3" xfId="4057" xr:uid="{5FBDAF2C-54F6-4DB8-ACE4-7989B63669F5}"/>
    <cellStyle name="Millares [0] 2 2 16 3" xfId="2073" xr:uid="{E6A19397-9D06-462C-95C9-7673E6F55458}"/>
    <cellStyle name="Millares [0] 2 2 16 3 2" xfId="4439" xr:uid="{C8A7E8EE-FAEB-4BE7-86B5-10E450D78DA3}"/>
    <cellStyle name="Millares [0] 2 2 16 4" xfId="3256" xr:uid="{0923A8B8-D5B2-456A-A00B-5F63B7839392}"/>
    <cellStyle name="Millares [0] 2 2 17" xfId="775" xr:uid="{30969D27-A238-4C06-8464-65EC72A3B968}"/>
    <cellStyle name="Millares [0] 2 2 17 2" xfId="1579" xr:uid="{C9255ACB-536E-4C05-8D44-D662D6DFAE37}"/>
    <cellStyle name="Millares [0] 2 2 17 2 2" xfId="2762" xr:uid="{3F3E1A66-0101-4BFF-A104-E560F395F422}"/>
    <cellStyle name="Millares [0] 2 2 17 2 2 2" xfId="5128" xr:uid="{9534C186-8457-4E13-9D52-83FDE2728EA9}"/>
    <cellStyle name="Millares [0] 2 2 17 2 3" xfId="3945" xr:uid="{8DE05246-3820-4926-B734-60E556DA4EAC}"/>
    <cellStyle name="Millares [0] 2 2 17 3" xfId="1961" xr:uid="{3F237849-B35A-442E-BC20-A1342259689A}"/>
    <cellStyle name="Millares [0] 2 2 17 3 2" xfId="4327" xr:uid="{F618D84F-EB9E-45CB-982D-BCC5852661BB}"/>
    <cellStyle name="Millares [0] 2 2 17 4" xfId="3144" xr:uid="{C24C15EF-22BE-469F-870B-2211ABBD6CBA}"/>
    <cellStyle name="Millares [0] 2 2 18" xfId="915" xr:uid="{32A0A742-99B5-4AC5-8EA1-7E59C3AA86BE}"/>
    <cellStyle name="Millares [0] 2 2 18 2" xfId="1335" xr:uid="{76DC062E-EE64-4F73-A813-C9409E890830}"/>
    <cellStyle name="Millares [0] 2 2 18 2 2" xfId="2519" xr:uid="{CE286372-0CA5-477B-8CE4-A70FAC46E88B}"/>
    <cellStyle name="Millares [0] 2 2 18 2 2 2" xfId="4885" xr:uid="{BE2F2B16-5CE6-46F7-A2C5-9F2E972B7F38}"/>
    <cellStyle name="Millares [0] 2 2 18 2 3" xfId="3702" xr:uid="{E878FCFF-DF32-492E-8096-C09A65CDDD25}"/>
    <cellStyle name="Millares [0] 2 2 18 3" xfId="2101" xr:uid="{DACDA277-6EBA-45B0-B0B5-9C8458CA4362}"/>
    <cellStyle name="Millares [0] 2 2 18 3 2" xfId="4467" xr:uid="{BCADDF24-D275-4C32-B9F1-C338F55ED81E}"/>
    <cellStyle name="Millares [0] 2 2 18 4" xfId="3284" xr:uid="{B598A6E6-00D5-446A-85E7-643F234F21F3}"/>
    <cellStyle name="Millares [0] 2 2 19" xfId="1125" xr:uid="{7DE54DDC-1078-4A29-87CD-A7BEBF4A7DAD}"/>
    <cellStyle name="Millares [0] 2 2 19 2" xfId="2310" xr:uid="{AE2522D6-5694-4889-BCE2-C3746590A971}"/>
    <cellStyle name="Millares [0] 2 2 19 2 2" xfId="4676" xr:uid="{780D862E-B551-4C87-863F-C074F69A473C}"/>
    <cellStyle name="Millares [0] 2 2 19 3" xfId="3493" xr:uid="{7A8C984D-CEE9-4D10-871C-6FADA0BF8CF2}"/>
    <cellStyle name="Millares [0] 2 2 2" xfId="121" xr:uid="{444087E8-D5B6-444C-88A1-E47440159E93}"/>
    <cellStyle name="Millares [0] 2 2 2 10" xfId="1752" xr:uid="{69AA0215-9B40-4BF2-8CC7-35A128BB9719}"/>
    <cellStyle name="Millares [0] 2 2 2 10 2" xfId="4118" xr:uid="{E512E929-A592-4FF6-9E26-EBC9A792654B}"/>
    <cellStyle name="Millares [0] 2 2 2 11" xfId="2935" xr:uid="{D3C4E210-F574-42F9-846B-E15B9ACB9086}"/>
    <cellStyle name="Millares [0] 2 2 2 12" xfId="5299" xr:uid="{BBD6C0DA-7ABC-4329-A9AE-C5CDF3BB4020}"/>
    <cellStyle name="Millares [0] 2 2 2 2" xfId="216" xr:uid="{BE4E9EEE-2D70-4CB0-8330-CA43B3E5B5D1}"/>
    <cellStyle name="Millares [0] 2 2 2 2 10" xfId="3004" xr:uid="{C485C4D9-BC70-4A4C-BB34-84965574F61F}"/>
    <cellStyle name="Millares [0] 2 2 2 2 11" xfId="5314" xr:uid="{07D5B6C8-E989-457D-9A63-226F41BCEFF1}"/>
    <cellStyle name="Millares [0] 2 2 2 2 2" xfId="546" xr:uid="{6C7F1BC3-8791-4D28-BBF9-C4E201B45910}"/>
    <cellStyle name="Millares [0] 2 2 2 2 2 2" xfId="814" xr:uid="{14C2D9FB-004A-4DDB-A44A-D4A80713F5C3}"/>
    <cellStyle name="Millares [0] 2 2 2 2 2 2 2" xfId="1618" xr:uid="{238ADEE6-0439-4E88-B41E-E2D56EECE7E4}"/>
    <cellStyle name="Millares [0] 2 2 2 2 2 2 2 2" xfId="2801" xr:uid="{8865ECAC-D394-4DC9-B976-0C99C2BB5A9C}"/>
    <cellStyle name="Millares [0] 2 2 2 2 2 2 2 2 2" xfId="5167" xr:uid="{F5459D87-6AFA-43EF-9EEB-420ED7BD868A}"/>
    <cellStyle name="Millares [0] 2 2 2 2 2 2 2 3" xfId="3984" xr:uid="{15B669F3-A0F3-40BD-A0A4-BCAD4A98CA70}"/>
    <cellStyle name="Millares [0] 2 2 2 2 2 2 3" xfId="2000" xr:uid="{18A85B11-ABF9-4903-9F3B-C408198274D7}"/>
    <cellStyle name="Millares [0] 2 2 2 2 2 2 3 2" xfId="4366" xr:uid="{EF821AF9-DC30-42EA-9BD6-8C712293A48E}"/>
    <cellStyle name="Millares [0] 2 2 2 2 2 2 4" xfId="3183" xr:uid="{2457AE6C-548A-4D00-A522-06CE02D3E5DB}"/>
    <cellStyle name="Millares [0] 2 2 2 2 2 3" xfId="1079" xr:uid="{A5B19255-3647-4A6F-AE5A-1511DFB2059C}"/>
    <cellStyle name="Millares [0] 2 2 2 2 2 3 2" xfId="1499" xr:uid="{F48A6BE6-9E76-4697-9258-81F7E40DCE8C}"/>
    <cellStyle name="Millares [0] 2 2 2 2 2 3 2 2" xfId="2682" xr:uid="{C6EED811-51C8-445A-B78F-947B427D4E00}"/>
    <cellStyle name="Millares [0] 2 2 2 2 2 3 2 2 2" xfId="5048" xr:uid="{3C1FB686-3757-40E3-94C5-F352C57C8A97}"/>
    <cellStyle name="Millares [0] 2 2 2 2 2 3 2 3" xfId="3865" xr:uid="{46AA61BB-C98D-4F96-9933-CD95CE077293}"/>
    <cellStyle name="Millares [0] 2 2 2 2 2 3 3" xfId="2264" xr:uid="{28850EAB-AF68-438C-A4F6-E217DDF8038E}"/>
    <cellStyle name="Millares [0] 2 2 2 2 2 3 3 2" xfId="4630" xr:uid="{473ECA1D-2A54-4E7F-AE1E-856AB2EE7EF5}"/>
    <cellStyle name="Millares [0] 2 2 2 2 2 3 4" xfId="3447" xr:uid="{09F06767-5785-423A-A50C-35EA982F4AD3}"/>
    <cellStyle name="Millares [0] 2 2 2 2 2 4" xfId="1289" xr:uid="{458ED3F0-123D-404E-889F-60AD31AD0EBA}"/>
    <cellStyle name="Millares [0] 2 2 2 2 2 4 2" xfId="2473" xr:uid="{932E2B0F-8B2C-4A37-940E-5F20648250A6}"/>
    <cellStyle name="Millares [0] 2 2 2 2 2 4 2 2" xfId="4839" xr:uid="{8C529867-4FE6-4CD7-B71C-9C9BF6E22184}"/>
    <cellStyle name="Millares [0] 2 2 2 2 2 4 3" xfId="3656" xr:uid="{5E196BF5-D968-4F18-9F9D-241326D488D7}"/>
    <cellStyle name="Millares [0] 2 2 2 2 2 5" xfId="1881" xr:uid="{83642FF5-E123-46CA-A861-145B9E8DCEDE}"/>
    <cellStyle name="Millares [0] 2 2 2 2 2 5 2" xfId="4247" xr:uid="{A311017C-395B-4541-9652-7A153284EE33}"/>
    <cellStyle name="Millares [0] 2 2 2 2 2 6" xfId="3064" xr:uid="{65936939-9792-4219-B6E6-4D282B5FA248}"/>
    <cellStyle name="Millares [0] 2 2 2 2 2 7" xfId="5340" xr:uid="{52008B5B-FDEE-4A9B-AED9-2425D8D84E08}"/>
    <cellStyle name="Millares [0] 2 2 2 2 3" xfId="842" xr:uid="{F75A0F81-FF67-4006-84EA-80747AE2B936}"/>
    <cellStyle name="Millares [0] 2 2 2 2 3 2" xfId="1646" xr:uid="{708DE185-467F-436F-8AF5-740E70939991}"/>
    <cellStyle name="Millares [0] 2 2 2 2 3 2 2" xfId="2829" xr:uid="{F31F67A6-2747-4472-9A58-740434437008}"/>
    <cellStyle name="Millares [0] 2 2 2 2 3 2 2 2" xfId="5195" xr:uid="{B7726AF8-BD51-431A-A0BF-71F3CF81C16A}"/>
    <cellStyle name="Millares [0] 2 2 2 2 3 2 3" xfId="4012" xr:uid="{294F3749-191E-423C-A452-F9F28898BAC0}"/>
    <cellStyle name="Millares [0] 2 2 2 2 3 3" xfId="2028" xr:uid="{347F1B81-224B-46FB-895E-E5B03A027B98}"/>
    <cellStyle name="Millares [0] 2 2 2 2 3 3 2" xfId="4394" xr:uid="{F638DF0E-7DAA-4211-8F56-EDB6BA149727}"/>
    <cellStyle name="Millares [0] 2 2 2 2 3 4" xfId="3211" xr:uid="{357D6B7B-3C56-4766-92E0-5C694357A71E}"/>
    <cellStyle name="Millares [0] 2 2 2 2 3 5" xfId="5363" xr:uid="{96A2DB1C-B510-487D-9973-2E6FF8D78DE3}"/>
    <cellStyle name="Millares [0] 2 2 2 2 4" xfId="870" xr:uid="{F0370672-DA2C-4D8E-8FEB-A28A1B78CF75}"/>
    <cellStyle name="Millares [0] 2 2 2 2 4 2" xfId="1674" xr:uid="{4AB49E01-768E-4319-9857-3746FF4194B6}"/>
    <cellStyle name="Millares [0] 2 2 2 2 4 2 2" xfId="2857" xr:uid="{A943218F-74E9-4C46-975C-DC60121C56AF}"/>
    <cellStyle name="Millares [0] 2 2 2 2 4 2 2 2" xfId="5223" xr:uid="{AF6E61DF-6FDF-4E8A-A47B-CFA76DBA1CA3}"/>
    <cellStyle name="Millares [0] 2 2 2 2 4 2 3" xfId="4040" xr:uid="{EBD9185D-FA81-4A2A-838A-A73A413EBBF8}"/>
    <cellStyle name="Millares [0] 2 2 2 2 4 3" xfId="2056" xr:uid="{6E7DD4A4-1E00-41BD-BDD7-D211334F8B44}"/>
    <cellStyle name="Millares [0] 2 2 2 2 4 3 2" xfId="4422" xr:uid="{9FA8B512-5F21-4BF2-93FE-4136AAFF4A6F}"/>
    <cellStyle name="Millares [0] 2 2 2 2 4 4" xfId="3239" xr:uid="{CC817CCE-9959-49EA-B2AD-537BE61FF48D}"/>
    <cellStyle name="Millares [0] 2 2 2 2 4 5" xfId="5388" xr:uid="{2B459679-E239-461E-951B-7D8E9FEB707F}"/>
    <cellStyle name="Millares [0] 2 2 2 2 5" xfId="898" xr:uid="{64C83A62-91F1-43F2-B4CE-708044B5A5F0}"/>
    <cellStyle name="Millares [0] 2 2 2 2 5 2" xfId="1702" xr:uid="{4DFCA1A7-AB8F-4346-8F17-1C8964BE83D5}"/>
    <cellStyle name="Millares [0] 2 2 2 2 5 2 2" xfId="2885" xr:uid="{40546749-BC73-43CB-9781-CF23691D76DE}"/>
    <cellStyle name="Millares [0] 2 2 2 2 5 2 2 2" xfId="5251" xr:uid="{F52A2C06-CE37-40AF-830E-2B296AF8D9B2}"/>
    <cellStyle name="Millares [0] 2 2 2 2 5 2 3" xfId="4068" xr:uid="{A5489312-3E09-4161-B5DA-17DA447BB021}"/>
    <cellStyle name="Millares [0] 2 2 2 2 5 3" xfId="2084" xr:uid="{EB8934CB-BD75-4B08-ADF8-60F94AF0D578}"/>
    <cellStyle name="Millares [0] 2 2 2 2 5 3 2" xfId="4450" xr:uid="{499B3817-30BA-4007-9EB9-1EA5ABC3803D}"/>
    <cellStyle name="Millares [0] 2 2 2 2 5 4" xfId="3267" xr:uid="{57CE8A46-79A6-481B-A8B2-A369A95DA831}"/>
    <cellStyle name="Millares [0] 2 2 2 2 5 5" xfId="5413" xr:uid="{91E9F0AE-0546-4CA0-9FB5-1D7F8B0DD122}"/>
    <cellStyle name="Millares [0] 2 2 2 2 6" xfId="786" xr:uid="{4649A9CF-2728-49B4-ACA5-D5B599FFCD38}"/>
    <cellStyle name="Millares [0] 2 2 2 2 6 2" xfId="1590" xr:uid="{ACDAC8BE-3C99-4D36-B7C6-C3AEF2C5FAEB}"/>
    <cellStyle name="Millares [0] 2 2 2 2 6 2 2" xfId="2773" xr:uid="{E480D0F0-0244-4641-B994-A990BC2690DE}"/>
    <cellStyle name="Millares [0] 2 2 2 2 6 2 2 2" xfId="5139" xr:uid="{839886FA-541A-4684-B62B-FF6F6BDE71E9}"/>
    <cellStyle name="Millares [0] 2 2 2 2 6 2 3" xfId="3956" xr:uid="{12D1BBBD-44A3-4D91-8673-225B8FCA0C34}"/>
    <cellStyle name="Millares [0] 2 2 2 2 6 3" xfId="1972" xr:uid="{0C463755-C052-440E-9BBD-16759BF2D382}"/>
    <cellStyle name="Millares [0] 2 2 2 2 6 3 2" xfId="4338" xr:uid="{562A137E-1E84-4418-890A-40B23C4A0C83}"/>
    <cellStyle name="Millares [0] 2 2 2 2 6 4" xfId="3155" xr:uid="{55109907-54CE-42E7-8D3E-F76AC030C86E}"/>
    <cellStyle name="Millares [0] 2 2 2 2 6 5" xfId="5438" xr:uid="{474347FA-6104-4C4F-9B69-EAFD91B7F48C}"/>
    <cellStyle name="Millares [0] 2 2 2 2 7" xfId="1018" xr:uid="{C2D08508-DB54-4402-8E16-87C73C800BE6}"/>
    <cellStyle name="Millares [0] 2 2 2 2 7 2" xfId="1438" xr:uid="{2D23AF5D-F4D3-403E-AC8D-946C89DF0458}"/>
    <cellStyle name="Millares [0] 2 2 2 2 7 2 2" xfId="2622" xr:uid="{6922B573-6A28-475D-81BC-2209604831E6}"/>
    <cellStyle name="Millares [0] 2 2 2 2 7 2 2 2" xfId="4988" xr:uid="{14825A83-F432-417C-9619-CF7ED523F884}"/>
    <cellStyle name="Millares [0] 2 2 2 2 7 2 3" xfId="3805" xr:uid="{ECE195C4-2A0F-451E-9B13-7F90BC2F7B12}"/>
    <cellStyle name="Millares [0] 2 2 2 2 7 3" xfId="2204" xr:uid="{F3FA08C6-732C-46A8-9588-D88C4597A66B}"/>
    <cellStyle name="Millares [0] 2 2 2 2 7 3 2" xfId="4570" xr:uid="{1506EDAA-816F-477C-B9E4-60D9B6A6D2DD}"/>
    <cellStyle name="Millares [0] 2 2 2 2 7 4" xfId="3387" xr:uid="{1F3FA452-89C0-4571-BC0A-C11DEBEE308F}"/>
    <cellStyle name="Millares [0] 2 2 2 2 7 5" xfId="5464" xr:uid="{CB763C43-E514-4F35-B8C7-E014DD14BB18}"/>
    <cellStyle name="Millares [0] 2 2 2 2 8" xfId="1228" xr:uid="{4B230075-8C10-44A8-A05A-13C82427E6D7}"/>
    <cellStyle name="Millares [0] 2 2 2 2 8 2" xfId="2413" xr:uid="{35FE4533-F1B5-4794-96DA-A222AA68F497}"/>
    <cellStyle name="Millares [0] 2 2 2 2 8 2 2" xfId="4779" xr:uid="{F33FC8B5-6058-4460-B50C-DF9A2009CACC}"/>
    <cellStyle name="Millares [0] 2 2 2 2 8 3" xfId="3596" xr:uid="{3B5A11F2-00C2-4315-A0DB-9965BB4E8FE1}"/>
    <cellStyle name="Millares [0] 2 2 2 2 8 4" xfId="5490" xr:uid="{EE050321-4604-4689-ABFB-4F7F0FEF8A85}"/>
    <cellStyle name="Millares [0] 2 2 2 2 9" xfId="1821" xr:uid="{7A44CF85-80D3-4229-8C64-E581B7CA82CC}"/>
    <cellStyle name="Millares [0] 2 2 2 2 9 2" xfId="4187" xr:uid="{728A2A8B-4A98-4518-91A5-E5D0E430C1B8}"/>
    <cellStyle name="Millares [0] 2 2 2 3" xfId="169" xr:uid="{941AE9FF-8DB4-421F-9B0A-C7296D229288}"/>
    <cellStyle name="Millares [0] 2 2 2 3 2" xfId="805" xr:uid="{1544CD0D-E83E-4D68-8184-641CBFF26249}"/>
    <cellStyle name="Millares [0] 2 2 2 3 2 2" xfId="1609" xr:uid="{CDAC3128-93A7-4148-91F1-9E6001784CED}"/>
    <cellStyle name="Millares [0] 2 2 2 3 2 2 2" xfId="2792" xr:uid="{F96C00A7-2CCE-4C33-8EAA-089C505872C2}"/>
    <cellStyle name="Millares [0] 2 2 2 3 2 2 2 2" xfId="5158" xr:uid="{198D6A68-4AD6-4E13-8494-CF6C7DE90414}"/>
    <cellStyle name="Millares [0] 2 2 2 3 2 2 3" xfId="3975" xr:uid="{B2F473E8-0F89-424E-A41C-1C82E7EDB89B}"/>
    <cellStyle name="Millares [0] 2 2 2 3 2 3" xfId="1991" xr:uid="{9C7CBFCB-10DD-4A30-AB10-F2C09ED9FBFE}"/>
    <cellStyle name="Millares [0] 2 2 2 3 2 3 2" xfId="4357" xr:uid="{2F83E236-5496-4253-8215-4B7B2CF97711}"/>
    <cellStyle name="Millares [0] 2 2 2 3 2 4" xfId="3174" xr:uid="{E1DA2E5F-837B-4930-ADB7-EA6C32BB1F7D}"/>
    <cellStyle name="Millares [0] 2 2 2 3 3" xfId="976" xr:uid="{3250D3EC-32F8-4BB4-B97C-B853CCA8D8FC}"/>
    <cellStyle name="Millares [0] 2 2 2 3 3 2" xfId="1396" xr:uid="{37BADA71-6A09-4887-B00F-E4A537E20E26}"/>
    <cellStyle name="Millares [0] 2 2 2 3 3 2 2" xfId="2580" xr:uid="{58CC4D36-E2E3-414C-90C3-02CF3FA96462}"/>
    <cellStyle name="Millares [0] 2 2 2 3 3 2 2 2" xfId="4946" xr:uid="{1B05AF3A-7CFE-424C-9533-762B8795F9C1}"/>
    <cellStyle name="Millares [0] 2 2 2 3 3 2 3" xfId="3763" xr:uid="{053657FB-4F17-4DFC-868F-8F5F36BAB69D}"/>
    <cellStyle name="Millares [0] 2 2 2 3 3 3" xfId="2162" xr:uid="{E188144A-7BC9-4ECD-A06B-81EC73F9ED0F}"/>
    <cellStyle name="Millares [0] 2 2 2 3 3 3 2" xfId="4528" xr:uid="{5F0A04CD-711A-44FC-B31C-8AB0CC9AD028}"/>
    <cellStyle name="Millares [0] 2 2 2 3 3 4" xfId="3345" xr:uid="{6B4A419D-B799-4535-A6C3-D3874C5A1A55}"/>
    <cellStyle name="Millares [0] 2 2 2 3 4" xfId="1186" xr:uid="{A6663CA4-B05D-4404-AF14-EF4F86241326}"/>
    <cellStyle name="Millares [0] 2 2 2 3 4 2" xfId="2371" xr:uid="{D0B3F05C-A80F-4E6A-8E17-AF798F87488B}"/>
    <cellStyle name="Millares [0] 2 2 2 3 4 2 2" xfId="4737" xr:uid="{9B60F19A-0556-411A-A31A-6D9E991286CA}"/>
    <cellStyle name="Millares [0] 2 2 2 3 4 3" xfId="3554" xr:uid="{BB96C2A3-5471-4A01-B9BE-A130D7A08BE2}"/>
    <cellStyle name="Millares [0] 2 2 2 3 5" xfId="1779" xr:uid="{503C4D5B-5EBE-4177-B90E-86BE94CAA93D}"/>
    <cellStyle name="Millares [0] 2 2 2 3 5 2" xfId="4145" xr:uid="{E70DF91E-9088-4D79-BBA6-595F0C00DD4F}"/>
    <cellStyle name="Millares [0] 2 2 2 3 6" xfId="2962" xr:uid="{DEA49D9A-4685-45B8-B832-91B7C217E368}"/>
    <cellStyle name="Millares [0] 2 2 2 3 7" xfId="5327" xr:uid="{E3B07AEA-D821-4BB5-945C-DA0972A4ED0F}"/>
    <cellStyle name="Millares [0] 2 2 2 4" xfId="299" xr:uid="{A32DBCF2-396F-49D7-A65B-A29969E94391}"/>
    <cellStyle name="Millares [0] 2 2 2 4 2" xfId="833" xr:uid="{8635A843-F3FA-42F3-95FD-38BA24BDFDE2}"/>
    <cellStyle name="Millares [0] 2 2 2 4 2 2" xfId="1637" xr:uid="{85BC3A64-8515-4A72-9D0D-106EC39E4F66}"/>
    <cellStyle name="Millares [0] 2 2 2 4 2 2 2" xfId="2820" xr:uid="{546970CF-2AC1-416B-98A8-DE08E96D70BF}"/>
    <cellStyle name="Millares [0] 2 2 2 4 2 2 2 2" xfId="5186" xr:uid="{91752FC4-DFA9-446C-9964-516B68A4953E}"/>
    <cellStyle name="Millares [0] 2 2 2 4 2 2 3" xfId="4003" xr:uid="{484673B9-EBB0-4D40-9E67-0A5C4C679AA1}"/>
    <cellStyle name="Millares [0] 2 2 2 4 2 3" xfId="2019" xr:uid="{CDEBC0FB-3B11-41F0-9F29-26EEF72B4580}"/>
    <cellStyle name="Millares [0] 2 2 2 4 2 3 2" xfId="4385" xr:uid="{50FE6CE8-2398-4F01-ADF6-403A4129E110}"/>
    <cellStyle name="Millares [0] 2 2 2 4 2 4" xfId="3202" xr:uid="{1F4DF5D9-CE6A-497B-8FA2-EDB688E7649D}"/>
    <cellStyle name="Millares [0] 2 2 2 4 3" xfId="1044" xr:uid="{5AE97CCB-0632-4A63-BE39-6E19476AAA9E}"/>
    <cellStyle name="Millares [0] 2 2 2 4 3 2" xfId="1464" xr:uid="{AE100FFF-C3E9-4217-90BE-9FCC3C2EBECE}"/>
    <cellStyle name="Millares [0] 2 2 2 4 3 2 2" xfId="2647" xr:uid="{C88C2ECC-EB9F-4BDA-9FAE-33BD005F5B57}"/>
    <cellStyle name="Millares [0] 2 2 2 4 3 2 2 2" xfId="5013" xr:uid="{771E2FE4-CFBB-4CEF-8B60-B8BD99E8CC14}"/>
    <cellStyle name="Millares [0] 2 2 2 4 3 2 3" xfId="3830" xr:uid="{0A51D10E-881A-4D32-B28A-638284083619}"/>
    <cellStyle name="Millares [0] 2 2 2 4 3 3" xfId="2229" xr:uid="{3CB94CE8-E3B6-4458-BBCE-D8ABF520CAFF}"/>
    <cellStyle name="Millares [0] 2 2 2 4 3 3 2" xfId="4595" xr:uid="{B7C9CAAD-4047-457B-9694-20C93524C881}"/>
    <cellStyle name="Millares [0] 2 2 2 4 3 4" xfId="3412" xr:uid="{756A5B68-1AA7-4B41-8CF3-C348119F713A}"/>
    <cellStyle name="Millares [0] 2 2 2 4 4" xfId="1254" xr:uid="{263C099A-D4E4-489B-9741-D7C379DA6B07}"/>
    <cellStyle name="Millares [0] 2 2 2 4 4 2" xfId="2438" xr:uid="{D8D8E32D-B4B7-40C0-8099-635E62BC01EA}"/>
    <cellStyle name="Millares [0] 2 2 2 4 4 2 2" xfId="4804" xr:uid="{BFB3AF70-B543-46AC-8894-588E638994D6}"/>
    <cellStyle name="Millares [0] 2 2 2 4 4 3" xfId="3621" xr:uid="{F2C1B8FC-9180-4252-ACF4-4D2498A25600}"/>
    <cellStyle name="Millares [0] 2 2 2 4 5" xfId="1846" xr:uid="{B6FEE9C2-1C47-43C7-9518-26CBC4040586}"/>
    <cellStyle name="Millares [0] 2 2 2 4 5 2" xfId="4212" xr:uid="{5A027D41-A40E-430D-B423-96D1A0A173D8}"/>
    <cellStyle name="Millares [0] 2 2 2 4 6" xfId="3029" xr:uid="{491CFDC8-3837-4DE2-88D0-1214638C5084}"/>
    <cellStyle name="Millares [0] 2 2 2 4 7" xfId="5351" xr:uid="{2DC0E6AB-9865-4D5A-8ACF-17D218A470A7}"/>
    <cellStyle name="Millares [0] 2 2 2 5" xfId="750" xr:uid="{9801ACD1-BD63-4F8C-B605-4C0F79183162}"/>
    <cellStyle name="Millares [0] 2 2 2 5 2" xfId="861" xr:uid="{78214574-9508-4D12-9802-A6AD83C9CE54}"/>
    <cellStyle name="Millares [0] 2 2 2 5 2 2" xfId="1665" xr:uid="{942A8761-C0C8-47BA-B7EA-D027EFCE476A}"/>
    <cellStyle name="Millares [0] 2 2 2 5 2 2 2" xfId="2848" xr:uid="{5F53F0D8-88BB-46B1-91DD-D186792CD538}"/>
    <cellStyle name="Millares [0] 2 2 2 5 2 2 2 2" xfId="5214" xr:uid="{0DF8CAAF-23DA-4785-8030-278CF215744E}"/>
    <cellStyle name="Millares [0] 2 2 2 5 2 2 3" xfId="4031" xr:uid="{A2D02BEE-0053-46AE-9573-7B6C782D656C}"/>
    <cellStyle name="Millares [0] 2 2 2 5 2 3" xfId="2047" xr:uid="{BE548955-C86D-4997-A675-6933EFFEECF3}"/>
    <cellStyle name="Millares [0] 2 2 2 5 2 3 2" xfId="4413" xr:uid="{2C18E688-ACB3-4CD2-89AB-EB10C2956817}"/>
    <cellStyle name="Millares [0] 2 2 2 5 2 4" xfId="3230" xr:uid="{2612D534-C12A-4B95-8357-68DD563A494F}"/>
    <cellStyle name="Millares [0] 2 2 2 5 3" xfId="1554" xr:uid="{C178E2B7-A6EC-460C-87AB-512723699272}"/>
    <cellStyle name="Millares [0] 2 2 2 5 3 2" xfId="2737" xr:uid="{381AEA76-A418-4DB3-9778-139D637B184C}"/>
    <cellStyle name="Millares [0] 2 2 2 5 3 2 2" xfId="5103" xr:uid="{C07DDDD8-1C3B-4EC6-A902-1CEBF708C3FD}"/>
    <cellStyle name="Millares [0] 2 2 2 5 3 3" xfId="3920" xr:uid="{C80803F5-6224-4E66-BD49-BB8A17CF59AF}"/>
    <cellStyle name="Millares [0] 2 2 2 5 4" xfId="1936" xr:uid="{BFF7CB17-57C5-4439-9C0C-EF9DAA9D8117}"/>
    <cellStyle name="Millares [0] 2 2 2 5 4 2" xfId="4302" xr:uid="{C4EC4FA2-5641-4D81-A378-7642EF50ABEA}"/>
    <cellStyle name="Millares [0] 2 2 2 5 5" xfId="3119" xr:uid="{B4E19DFD-68E9-4CDC-8550-B923044BB612}"/>
    <cellStyle name="Millares [0] 2 2 2 5 6" xfId="5376" xr:uid="{1DB18841-77E3-41BA-999C-464E82FC2ECA}"/>
    <cellStyle name="Millares [0] 2 2 2 6" xfId="889" xr:uid="{73E26CEF-37FF-483A-9E51-8563A9F80AAC}"/>
    <cellStyle name="Millares [0] 2 2 2 6 2" xfId="1693" xr:uid="{A97721FD-7E0D-4256-BE03-3A51DAEE4A55}"/>
    <cellStyle name="Millares [0] 2 2 2 6 2 2" xfId="2876" xr:uid="{CE22EEA1-07EC-43F4-96E0-96BDC5310F37}"/>
    <cellStyle name="Millares [0] 2 2 2 6 2 2 2" xfId="5242" xr:uid="{71701841-5DC7-4BD0-BBF4-36A6F465B6C5}"/>
    <cellStyle name="Millares [0] 2 2 2 6 2 3" xfId="4059" xr:uid="{03F30379-BFE7-4387-A495-DB4E02FC14C6}"/>
    <cellStyle name="Millares [0] 2 2 2 6 3" xfId="2075" xr:uid="{E70EBB0A-E15C-490D-BEB7-7E55672F16F3}"/>
    <cellStyle name="Millares [0] 2 2 2 6 3 2" xfId="4441" xr:uid="{E9044E99-DC0A-4787-8E4A-C4E30D581B27}"/>
    <cellStyle name="Millares [0] 2 2 2 6 4" xfId="3258" xr:uid="{23480BC1-B6E8-4747-B29B-6B40BE79F64F}"/>
    <cellStyle name="Millares [0] 2 2 2 6 5" xfId="5401" xr:uid="{7F4CEE69-5BF6-43BB-9FFA-6D86028FCE35}"/>
    <cellStyle name="Millares [0] 2 2 2 7" xfId="777" xr:uid="{19103434-1212-4B61-9AFE-DF8EC2D2ECD0}"/>
    <cellStyle name="Millares [0] 2 2 2 7 2" xfId="1581" xr:uid="{2948A67B-E487-45FE-B90B-F643457D04BE}"/>
    <cellStyle name="Millares [0] 2 2 2 7 2 2" xfId="2764" xr:uid="{D504B5A0-D227-47D7-9506-D47E1284388E}"/>
    <cellStyle name="Millares [0] 2 2 2 7 2 2 2" xfId="5130" xr:uid="{9B743BE1-DB00-4DC7-94BC-1C098CCF0892}"/>
    <cellStyle name="Millares [0] 2 2 2 7 2 3" xfId="3947" xr:uid="{FAC65B91-9FBF-4CAA-A7F7-AC1D42AB3A0A}"/>
    <cellStyle name="Millares [0] 2 2 2 7 3" xfId="1963" xr:uid="{7024D2E4-E855-4D73-9C0A-5F7C3E43F721}"/>
    <cellStyle name="Millares [0] 2 2 2 7 3 2" xfId="4329" xr:uid="{F8286D35-2026-4BF8-BE61-DFF550A16500}"/>
    <cellStyle name="Millares [0] 2 2 2 7 4" xfId="3146" xr:uid="{3379CF25-07C6-4A0A-A1DA-8BCD31475229}"/>
    <cellStyle name="Millares [0] 2 2 2 7 5" xfId="5426" xr:uid="{66A07855-81D3-48CA-9D2A-5933C9DEC3E5}"/>
    <cellStyle name="Millares [0] 2 2 2 8" xfId="949" xr:uid="{D308D24F-DFA0-400D-9641-9B1363FD372F}"/>
    <cellStyle name="Millares [0] 2 2 2 8 2" xfId="1369" xr:uid="{9DB7F0B9-0B56-4D8C-8D39-96BB9F1DD50C}"/>
    <cellStyle name="Millares [0] 2 2 2 8 2 2" xfId="2553" xr:uid="{314110DA-775C-4CD7-A4DE-1B32F82DEA94}"/>
    <cellStyle name="Millares [0] 2 2 2 8 2 2 2" xfId="4919" xr:uid="{A4E2FD17-4080-4A81-BBD3-2F8A4D286E3A}"/>
    <cellStyle name="Millares [0] 2 2 2 8 2 3" xfId="3736" xr:uid="{454AB9A8-CA1D-4D56-A986-973225D7C65F}"/>
    <cellStyle name="Millares [0] 2 2 2 8 3" xfId="2135" xr:uid="{17351C58-9C31-4B31-8E78-5498F55C262E}"/>
    <cellStyle name="Millares [0] 2 2 2 8 3 2" xfId="4501" xr:uid="{57F3CAB4-516A-45A3-A0D3-D237C55F0B6D}"/>
    <cellStyle name="Millares [0] 2 2 2 8 4" xfId="3318" xr:uid="{4FA4EF36-E98A-4246-9EF2-4B1A7C981AC5}"/>
    <cellStyle name="Millares [0] 2 2 2 8 5" xfId="5452" xr:uid="{251E321F-1FFE-444B-BECE-4701AD89D07A}"/>
    <cellStyle name="Millares [0] 2 2 2 9" xfId="1159" xr:uid="{53FDFD8E-9C0F-41C2-B43D-6B92D143E92F}"/>
    <cellStyle name="Millares [0] 2 2 2 9 2" xfId="2344" xr:uid="{DFE96FEC-CEF5-4655-8975-19D0316ED850}"/>
    <cellStyle name="Millares [0] 2 2 2 9 2 2" xfId="4710" xr:uid="{96AC85AC-5D69-458D-8E0D-A7AF0848A290}"/>
    <cellStyle name="Millares [0] 2 2 2 9 3" xfId="3527" xr:uid="{F30D83D2-D94B-4A1D-A563-F39BCF04B22E}"/>
    <cellStyle name="Millares [0] 2 2 2 9 4" xfId="5478" xr:uid="{0D4A75B5-C85A-4C4F-8C46-FA5FEDB0EF97}"/>
    <cellStyle name="Millares [0] 2 2 20" xfId="1718" xr:uid="{F0638ADF-32F6-4D2A-B8BD-9AE88D0D0717}"/>
    <cellStyle name="Millares [0] 2 2 20 2" xfId="4084" xr:uid="{6E450842-AFCB-43EB-93A4-A239055673B3}"/>
    <cellStyle name="Millares [0] 2 2 21" xfId="2901" xr:uid="{935641C7-292C-48DA-8E88-E26C6F212B26}"/>
    <cellStyle name="Millares [0] 2 2 22" xfId="5276" xr:uid="{6B27CC30-E6C7-40B0-9037-752A6641A12A}"/>
    <cellStyle name="Millares [0] 2 2 3" xfId="204" xr:uid="{036F7E65-CE62-45DB-8CBE-84C530F817D6}"/>
    <cellStyle name="Millares [0] 2 2 3 10" xfId="2993" xr:uid="{A1C6DFD9-302B-4E6E-B366-4AE0EBA4ACD9}"/>
    <cellStyle name="Millares [0] 2 2 3 11" xfId="5308" xr:uid="{A9DE027D-5634-47CE-8A30-A5BCB93CF67A}"/>
    <cellStyle name="Millares [0] 2 2 3 2" xfId="575" xr:uid="{A06CECE9-EA35-4467-975B-D01C08B340DD}"/>
    <cellStyle name="Millares [0] 2 2 3 2 2" xfId="807" xr:uid="{D02E6888-7B41-4E3E-BD44-6ECCA1AACC6E}"/>
    <cellStyle name="Millares [0] 2 2 3 2 2 2" xfId="1611" xr:uid="{79B909E7-4504-43BD-AF4A-92B2DA3FE46E}"/>
    <cellStyle name="Millares [0] 2 2 3 2 2 2 2" xfId="2794" xr:uid="{B14AFF06-7346-4F9E-BD99-DE928F9FB25E}"/>
    <cellStyle name="Millares [0] 2 2 3 2 2 2 2 2" xfId="5160" xr:uid="{B69FB676-6557-45B6-A402-5E177B890E8E}"/>
    <cellStyle name="Millares [0] 2 2 3 2 2 2 3" xfId="3977" xr:uid="{7FB06467-3A48-49BE-82C6-902B0690655D}"/>
    <cellStyle name="Millares [0] 2 2 3 2 2 3" xfId="1993" xr:uid="{3C06A047-C8E5-4242-869E-A7F3488F78C3}"/>
    <cellStyle name="Millares [0] 2 2 3 2 2 3 2" xfId="4359" xr:uid="{567917A4-D454-4BAC-BC91-66D1D859008D}"/>
    <cellStyle name="Millares [0] 2 2 3 2 2 4" xfId="3176" xr:uid="{27682964-1CB4-4DFE-B4B6-DA469487A408}"/>
    <cellStyle name="Millares [0] 2 2 3 2 3" xfId="1085" xr:uid="{BB3751F7-E884-4509-A729-031910DE949B}"/>
    <cellStyle name="Millares [0] 2 2 3 2 3 2" xfId="1505" xr:uid="{F090FE20-00B7-4AD2-9984-5EDF9504595E}"/>
    <cellStyle name="Millares [0] 2 2 3 2 3 2 2" xfId="2688" xr:uid="{AE2FB7C4-DD40-40F2-9CEE-9D2F3CB00242}"/>
    <cellStyle name="Millares [0] 2 2 3 2 3 2 2 2" xfId="5054" xr:uid="{A30CE050-B7F9-4AAA-A867-568356BB5CF8}"/>
    <cellStyle name="Millares [0] 2 2 3 2 3 2 3" xfId="3871" xr:uid="{26A53F88-A996-484B-B581-653606E34149}"/>
    <cellStyle name="Millares [0] 2 2 3 2 3 3" xfId="2270" xr:uid="{27F9E122-8AB0-4DA0-A791-128C0CEBA07A}"/>
    <cellStyle name="Millares [0] 2 2 3 2 3 3 2" xfId="4636" xr:uid="{4E2E0BE8-FAE2-463A-AD3C-416EBD83459A}"/>
    <cellStyle name="Millares [0] 2 2 3 2 3 4" xfId="3453" xr:uid="{09F1E8D3-3E86-479B-A1F1-F8D846086E7E}"/>
    <cellStyle name="Millares [0] 2 2 3 2 4" xfId="1295" xr:uid="{6D122249-342E-484F-BBFF-F5D20B402D18}"/>
    <cellStyle name="Millares [0] 2 2 3 2 4 2" xfId="2479" xr:uid="{B7862681-4DA0-40D6-8615-FE447CFCF136}"/>
    <cellStyle name="Millares [0] 2 2 3 2 4 2 2" xfId="4845" xr:uid="{5D8E8165-7FD7-4B65-945E-823E9D41F91A}"/>
    <cellStyle name="Millares [0] 2 2 3 2 4 3" xfId="3662" xr:uid="{FE49E0E3-CE42-4E9B-9DB9-735A90B108FE}"/>
    <cellStyle name="Millares [0] 2 2 3 2 5" xfId="1887" xr:uid="{5BDAF667-ABD0-4260-A426-E9F9071A7573}"/>
    <cellStyle name="Millares [0] 2 2 3 2 5 2" xfId="4253" xr:uid="{B48A5172-8F8D-4DCB-AD41-851AE11F046A}"/>
    <cellStyle name="Millares [0] 2 2 3 2 6" xfId="3070" xr:uid="{95FFDC5B-4026-4D7A-B384-D0B91CBECD06}"/>
    <cellStyle name="Millares [0] 2 2 3 2 7" xfId="5334" xr:uid="{FA0FE27A-611D-47D4-A02D-D3BF7038B847}"/>
    <cellStyle name="Millares [0] 2 2 3 3" xfId="326" xr:uid="{792082AF-ED4D-4599-B39E-A50BCED030AF}"/>
    <cellStyle name="Millares [0] 2 2 3 3 2" xfId="835" xr:uid="{C6EB67E0-FB97-41FA-8D46-AB748A2284DF}"/>
    <cellStyle name="Millares [0] 2 2 3 3 2 2" xfId="1639" xr:uid="{F6EB63B6-A670-46C2-AF86-3EC41A471DCB}"/>
    <cellStyle name="Millares [0] 2 2 3 3 2 2 2" xfId="2822" xr:uid="{8C81DBB4-21E7-4C06-A7D2-2FE185F6667B}"/>
    <cellStyle name="Millares [0] 2 2 3 3 2 2 2 2" xfId="5188" xr:uid="{22024F34-A751-423F-8ADB-7D17C1A0FB43}"/>
    <cellStyle name="Millares [0] 2 2 3 3 2 2 3" xfId="4005" xr:uid="{F4236FA5-17C3-4100-8E51-1DC7520E5084}"/>
    <cellStyle name="Millares [0] 2 2 3 3 2 3" xfId="2021" xr:uid="{5F10D266-D3C9-44DE-AAA2-051145D23CD4}"/>
    <cellStyle name="Millares [0] 2 2 3 3 2 3 2" xfId="4387" xr:uid="{E6DFED03-8F1B-43BE-B391-01994316FEC0}"/>
    <cellStyle name="Millares [0] 2 2 3 3 2 4" xfId="3204" xr:uid="{1663B381-6F1B-4B7B-AF97-9D709A3A768D}"/>
    <cellStyle name="Millares [0] 2 2 3 3 3" xfId="1050" xr:uid="{B453C3E0-5B89-415A-BD49-23BDDA7CB550}"/>
    <cellStyle name="Millares [0] 2 2 3 3 3 2" xfId="1470" xr:uid="{8F4D7DB2-656D-41E2-A93F-E65601AA572B}"/>
    <cellStyle name="Millares [0] 2 2 3 3 3 2 2" xfId="2653" xr:uid="{2BA547F0-AC22-43A2-90B6-F367E7278460}"/>
    <cellStyle name="Millares [0] 2 2 3 3 3 2 2 2" xfId="5019" xr:uid="{D1FC94F3-F9FF-44D5-B132-D1FA0178DAEC}"/>
    <cellStyle name="Millares [0] 2 2 3 3 3 2 3" xfId="3836" xr:uid="{C85152F0-3269-4E87-8FAD-F8BC99BC69C8}"/>
    <cellStyle name="Millares [0] 2 2 3 3 3 3" xfId="2235" xr:uid="{06169E16-0930-45C9-8FCE-79B7A8900276}"/>
    <cellStyle name="Millares [0] 2 2 3 3 3 3 2" xfId="4601" xr:uid="{2FAAE6AC-6CBB-4E5B-8015-7C460A67CE87}"/>
    <cellStyle name="Millares [0] 2 2 3 3 3 4" xfId="3418" xr:uid="{0D7C5F87-327C-4FA5-86F3-BE5D9F2EB488}"/>
    <cellStyle name="Millares [0] 2 2 3 3 4" xfId="1260" xr:uid="{0A262551-38A3-4B4B-A66B-4FBF8EE9FFC4}"/>
    <cellStyle name="Millares [0] 2 2 3 3 4 2" xfId="2444" xr:uid="{179B2EB2-DE9B-4ECF-818F-0D611DABCDA5}"/>
    <cellStyle name="Millares [0] 2 2 3 3 4 2 2" xfId="4810" xr:uid="{D8022862-84AF-4985-B75E-030A7BC58CAF}"/>
    <cellStyle name="Millares [0] 2 2 3 3 4 3" xfId="3627" xr:uid="{5E1A432B-AA0B-4BC4-994D-C45AACEDB802}"/>
    <cellStyle name="Millares [0] 2 2 3 3 5" xfId="1852" xr:uid="{303116BE-C052-4C66-A8CC-30A656096E8B}"/>
    <cellStyle name="Millares [0] 2 2 3 3 5 2" xfId="4218" xr:uid="{C220896B-523B-4378-BF9E-586F9B5ED3D2}"/>
    <cellStyle name="Millares [0] 2 2 3 3 6" xfId="3035" xr:uid="{9BBC63F0-4D3D-4A60-8E38-7FAAF65D3B51}"/>
    <cellStyle name="Millares [0] 2 2 3 3 7" xfId="5358" xr:uid="{5EF3390E-3D7E-42E4-B4F5-778F24F5EAB4}"/>
    <cellStyle name="Millares [0] 2 2 3 4" xfId="756" xr:uid="{6F9A3C7C-AEAB-4D23-B5C5-63B44CE70C8D}"/>
    <cellStyle name="Millares [0] 2 2 3 4 2" xfId="863" xr:uid="{D8841DC4-12AD-44C4-A08C-0B02BD8E23EB}"/>
    <cellStyle name="Millares [0] 2 2 3 4 2 2" xfId="1667" xr:uid="{362BE0CD-DEE9-4027-8CD4-B4373C090B2A}"/>
    <cellStyle name="Millares [0] 2 2 3 4 2 2 2" xfId="2850" xr:uid="{CEA09E13-6B10-407E-9C5F-E5549B19A2FA}"/>
    <cellStyle name="Millares [0] 2 2 3 4 2 2 2 2" xfId="5216" xr:uid="{5D574464-4F57-4FB5-BFAD-D46F96B6D9BB}"/>
    <cellStyle name="Millares [0] 2 2 3 4 2 2 3" xfId="4033" xr:uid="{A5C5E84A-9030-44E3-9576-132922F45A6C}"/>
    <cellStyle name="Millares [0] 2 2 3 4 2 3" xfId="2049" xr:uid="{231635DF-B338-4306-85E9-107C3009BCB0}"/>
    <cellStyle name="Millares [0] 2 2 3 4 2 3 2" xfId="4415" xr:uid="{81B2A8E0-C8AE-4B8D-ACE8-06F24D5DFBA3}"/>
    <cellStyle name="Millares [0] 2 2 3 4 2 4" xfId="3232" xr:uid="{DCD489DC-59F9-43C1-8CBF-547E40BE6CE9}"/>
    <cellStyle name="Millares [0] 2 2 3 4 3" xfId="1560" xr:uid="{B3DFE3D3-3E49-4A39-9F73-84CA4699CEF2}"/>
    <cellStyle name="Millares [0] 2 2 3 4 3 2" xfId="2743" xr:uid="{6B536B5B-50DE-4BD1-85AD-383F5D214E45}"/>
    <cellStyle name="Millares [0] 2 2 3 4 3 2 2" xfId="5109" xr:uid="{79151141-CB3F-4262-8D51-694D7EDF41D0}"/>
    <cellStyle name="Millares [0] 2 2 3 4 3 3" xfId="3926" xr:uid="{4D00248D-D0D8-4DD8-8487-D0BF6241198C}"/>
    <cellStyle name="Millares [0] 2 2 3 4 4" xfId="1942" xr:uid="{A26BDAFF-338F-439C-ABD7-30A413B81758}"/>
    <cellStyle name="Millares [0] 2 2 3 4 4 2" xfId="4308" xr:uid="{91C6EB9B-53F6-4F67-8901-3816EAFF7605}"/>
    <cellStyle name="Millares [0] 2 2 3 4 5" xfId="3125" xr:uid="{A5DA1BA6-8DCA-4175-A104-01FDB42BC32B}"/>
    <cellStyle name="Millares [0] 2 2 3 4 6" xfId="5383" xr:uid="{498B64DF-938C-48A9-8FBB-2727AF0DDAAD}"/>
    <cellStyle name="Millares [0] 2 2 3 5" xfId="891" xr:uid="{7C6452F3-CB15-42AC-A2FE-F8E2234E6FE4}"/>
    <cellStyle name="Millares [0] 2 2 3 5 2" xfId="1695" xr:uid="{12384642-92F9-4B4E-8FA7-A5CCD549535F}"/>
    <cellStyle name="Millares [0] 2 2 3 5 2 2" xfId="2878" xr:uid="{857179E4-4DCC-410C-956E-F9802ADE43C6}"/>
    <cellStyle name="Millares [0] 2 2 3 5 2 2 2" xfId="5244" xr:uid="{EF8B867C-FF6E-41F6-A6D6-3651683FC557}"/>
    <cellStyle name="Millares [0] 2 2 3 5 2 3" xfId="4061" xr:uid="{1D01E6DD-E79E-47D7-8B86-E87EFDEE3AED}"/>
    <cellStyle name="Millares [0] 2 2 3 5 3" xfId="2077" xr:uid="{E047F7FF-13A3-4C8D-8E54-7BFC92CEDCF8}"/>
    <cellStyle name="Millares [0] 2 2 3 5 3 2" xfId="4443" xr:uid="{BF211F7F-64BC-441E-B822-D160887E2839}"/>
    <cellStyle name="Millares [0] 2 2 3 5 4" xfId="3260" xr:uid="{786C8AFA-5C95-464C-BBFE-2A8DE761C155}"/>
    <cellStyle name="Millares [0] 2 2 3 5 5" xfId="5408" xr:uid="{8F0ECDAC-7FC8-46A9-A341-DF8D92642339}"/>
    <cellStyle name="Millares [0] 2 2 3 6" xfId="779" xr:uid="{C8D61127-DC2E-4D40-80A9-0F151283DD8D}"/>
    <cellStyle name="Millares [0] 2 2 3 6 2" xfId="1583" xr:uid="{96AC14DC-7AC9-436F-B25B-63646D77FE5C}"/>
    <cellStyle name="Millares [0] 2 2 3 6 2 2" xfId="2766" xr:uid="{70E12E34-1632-466A-9FA2-3201270DF4A3}"/>
    <cellStyle name="Millares [0] 2 2 3 6 2 2 2" xfId="5132" xr:uid="{C9994AAB-5C34-467D-9542-496BB6E08D1F}"/>
    <cellStyle name="Millares [0] 2 2 3 6 2 3" xfId="3949" xr:uid="{2EB91FFC-9D59-4B96-9BE9-E90C6639070E}"/>
    <cellStyle name="Millares [0] 2 2 3 6 3" xfId="1965" xr:uid="{A5DD16C2-37DE-408A-9FCF-55B7027D4FC7}"/>
    <cellStyle name="Millares [0] 2 2 3 6 3 2" xfId="4331" xr:uid="{C1ADE892-5DE9-4891-995A-C5BE3889B9D2}"/>
    <cellStyle name="Millares [0] 2 2 3 6 4" xfId="3148" xr:uid="{0201006F-CE4F-4AEF-8E22-FEB75DF5E5EA}"/>
    <cellStyle name="Millares [0] 2 2 3 6 5" xfId="5433" xr:uid="{7A00921C-F39A-4386-8020-0932DBDF63C2}"/>
    <cellStyle name="Millares [0] 2 2 3 7" xfId="1007" xr:uid="{106A1D48-3D97-4C5E-B7FA-91505D73E406}"/>
    <cellStyle name="Millares [0] 2 2 3 7 2" xfId="1427" xr:uid="{8CE9B84F-92F1-40AC-9BAA-1E8B273061BB}"/>
    <cellStyle name="Millares [0] 2 2 3 7 2 2" xfId="2611" xr:uid="{FE4DD738-8344-4ED9-9FF9-C1E7577AA89E}"/>
    <cellStyle name="Millares [0] 2 2 3 7 2 2 2" xfId="4977" xr:uid="{5F2D203A-1A47-4718-AC86-A607E86549B6}"/>
    <cellStyle name="Millares [0] 2 2 3 7 2 3" xfId="3794" xr:uid="{8D833291-92D2-467D-8A53-45902E2F7556}"/>
    <cellStyle name="Millares [0] 2 2 3 7 3" xfId="2193" xr:uid="{95ACA51A-229F-4D28-B86E-0D1C66616C65}"/>
    <cellStyle name="Millares [0] 2 2 3 7 3 2" xfId="4559" xr:uid="{B8DF160A-F5D1-4DFD-9921-032DF0FD4EF7}"/>
    <cellStyle name="Millares [0] 2 2 3 7 4" xfId="3376" xr:uid="{B80498D6-DB7C-4CD1-89A3-1898332D915B}"/>
    <cellStyle name="Millares [0] 2 2 3 7 5" xfId="5459" xr:uid="{77D90A19-DD72-442E-AF83-FC4107616F27}"/>
    <cellStyle name="Millares [0] 2 2 3 8" xfId="1217" xr:uid="{943A98D1-A7D1-42CC-98C3-135B21807086}"/>
    <cellStyle name="Millares [0] 2 2 3 8 2" xfId="2402" xr:uid="{A94007BE-0DC1-40F4-9545-848F3EEA80D0}"/>
    <cellStyle name="Millares [0] 2 2 3 8 2 2" xfId="4768" xr:uid="{C7DCEDB2-C546-4A7E-8657-0030C3AF88E9}"/>
    <cellStyle name="Millares [0] 2 2 3 8 3" xfId="3585" xr:uid="{878792E7-249E-485F-9FAA-B3A1DFE2ABB5}"/>
    <cellStyle name="Millares [0] 2 2 3 8 4" xfId="5485" xr:uid="{CA23C640-97E6-4F84-ABE0-7061486066A2}"/>
    <cellStyle name="Millares [0] 2 2 3 9" xfId="1810" xr:uid="{85EAA1F1-93AE-4432-B656-180572C8A302}"/>
    <cellStyle name="Millares [0] 2 2 3 9 2" xfId="4176" xr:uid="{AFF1CC3C-0CC3-44D1-A292-1AD944ACEFB7}"/>
    <cellStyle name="Millares [0] 2 2 4" xfId="158" xr:uid="{C84026AE-336E-4DF9-BBD2-84125DCC8512}"/>
    <cellStyle name="Millares [0] 2 2 4 10" xfId="2951" xr:uid="{73718325-CEF5-407F-A0D2-5AE182035D06}"/>
    <cellStyle name="Millares [0] 2 2 4 11" xfId="5282" xr:uid="{ABB5F91B-A728-4E26-90FF-E33B2F4D6906}"/>
    <cellStyle name="Millares [0] 2 2 4 2" xfId="679" xr:uid="{C9626241-B4E7-493B-896F-3641C95F94AC}"/>
    <cellStyle name="Millares [0] 2 2 4 2 2" xfId="810" xr:uid="{E5A6DA18-9386-4FC6-A845-0CD704359129}"/>
    <cellStyle name="Millares [0] 2 2 4 2 2 2" xfId="1614" xr:uid="{7EF21A82-8690-4E70-9C6A-E49DC7EE17B9}"/>
    <cellStyle name="Millares [0] 2 2 4 2 2 2 2" xfId="2797" xr:uid="{AD0DCAFC-FB82-4DC4-B1DA-E96822CB94B6}"/>
    <cellStyle name="Millares [0] 2 2 4 2 2 2 2 2" xfId="5163" xr:uid="{C860F2DA-F245-42B8-83B4-B917CCA5AF82}"/>
    <cellStyle name="Millares [0] 2 2 4 2 2 2 3" xfId="3980" xr:uid="{0AE44805-4737-4CCA-AC9C-BC193BFF72AC}"/>
    <cellStyle name="Millares [0] 2 2 4 2 2 3" xfId="1996" xr:uid="{D9F9273D-8C72-4ACD-B650-90A284C9D04D}"/>
    <cellStyle name="Millares [0] 2 2 4 2 2 3 2" xfId="4362" xr:uid="{0FB3A4DE-04AC-4D65-8B5B-E2676D045C13}"/>
    <cellStyle name="Millares [0] 2 2 4 2 2 4" xfId="3179" xr:uid="{97D8D506-E037-4B10-B752-0880E769EB59}"/>
    <cellStyle name="Millares [0] 2 2 4 2 3" xfId="1099" xr:uid="{A71CDF51-F864-4DDC-B15A-D451DE170B84}"/>
    <cellStyle name="Millares [0] 2 2 4 2 3 2" xfId="1519" xr:uid="{F63BD76E-0EE6-45E1-B7A0-5B1144007123}"/>
    <cellStyle name="Millares [0] 2 2 4 2 3 2 2" xfId="2702" xr:uid="{A1B6FF69-84EC-4EAC-A524-A80C2C72945A}"/>
    <cellStyle name="Millares [0] 2 2 4 2 3 2 2 2" xfId="5068" xr:uid="{B4A4BEC9-6C35-44A3-968B-5FFFECE70317}"/>
    <cellStyle name="Millares [0] 2 2 4 2 3 2 3" xfId="3885" xr:uid="{857E9EF5-3D9C-4B78-A6F8-D850D3B390EA}"/>
    <cellStyle name="Millares [0] 2 2 4 2 3 3" xfId="2284" xr:uid="{8D29F791-8554-4CD0-96DE-2A5649AEC01F}"/>
    <cellStyle name="Millares [0] 2 2 4 2 3 3 2" xfId="4650" xr:uid="{D4E949E5-903B-4E36-89EE-DC5BC1890D20}"/>
    <cellStyle name="Millares [0] 2 2 4 2 3 4" xfId="3467" xr:uid="{33FDD60C-578D-4182-AC3F-98C663A88C1F}"/>
    <cellStyle name="Millares [0] 2 2 4 2 4" xfId="1309" xr:uid="{0415D67C-F23D-4235-A609-649A485A94D1}"/>
    <cellStyle name="Millares [0] 2 2 4 2 4 2" xfId="2493" xr:uid="{230FFCDB-E23A-4BE2-A6D2-AB65A8CE9586}"/>
    <cellStyle name="Millares [0] 2 2 4 2 4 2 2" xfId="4859" xr:uid="{F3397175-C5AB-4BA5-9FD1-104BBB6EB283}"/>
    <cellStyle name="Millares [0] 2 2 4 2 4 3" xfId="3676" xr:uid="{9FED52F0-38E7-4DC1-9CAA-4EFC5494AC7C}"/>
    <cellStyle name="Millares [0] 2 2 4 2 5" xfId="1901" xr:uid="{5561B79E-FE9A-4DFA-90B1-E43F24A7F7A3}"/>
    <cellStyle name="Millares [0] 2 2 4 2 5 2" xfId="4267" xr:uid="{9AE654D9-8461-49CB-B010-3D8F6D230741}"/>
    <cellStyle name="Millares [0] 2 2 4 2 6" xfId="3084" xr:uid="{61DB085D-D628-4A78-9BD3-75BA8D7739A5}"/>
    <cellStyle name="Millares [0] 2 2 4 3" xfId="435" xr:uid="{8B5B8530-F3D7-48B9-B2A9-99E785A9DE22}"/>
    <cellStyle name="Millares [0] 2 2 4 3 2" xfId="838" xr:uid="{9A6566D2-DCD8-4425-ABB1-D51455EDF4A3}"/>
    <cellStyle name="Millares [0] 2 2 4 3 2 2" xfId="1642" xr:uid="{7B3EC984-8561-4B0F-BEEC-C0F289C2C273}"/>
    <cellStyle name="Millares [0] 2 2 4 3 2 2 2" xfId="2825" xr:uid="{34903815-51A6-4D58-9CCA-EE7B1051FE01}"/>
    <cellStyle name="Millares [0] 2 2 4 3 2 2 2 2" xfId="5191" xr:uid="{0C0A5E06-4434-456B-A17E-833E100859E6}"/>
    <cellStyle name="Millares [0] 2 2 4 3 2 2 3" xfId="4008" xr:uid="{0EFFE95A-3A62-4892-8A10-F9190159D6A9}"/>
    <cellStyle name="Millares [0] 2 2 4 3 2 3" xfId="2024" xr:uid="{31E92E20-707F-4ABA-B8D8-7A2C903903E6}"/>
    <cellStyle name="Millares [0] 2 2 4 3 2 3 2" xfId="4390" xr:uid="{5C8D4392-E177-406E-86BF-061E332E22EC}"/>
    <cellStyle name="Millares [0] 2 2 4 3 2 4" xfId="3207" xr:uid="{7F4496F6-1B70-4D68-9BFD-627708D2C318}"/>
    <cellStyle name="Millares [0] 2 2 4 3 3" xfId="1064" xr:uid="{BC9CEB07-2552-465A-BA80-9EC5EB025583}"/>
    <cellStyle name="Millares [0] 2 2 4 3 3 2" xfId="1484" xr:uid="{AEA1B5D1-5931-49CB-BBF0-33A345A8A38C}"/>
    <cellStyle name="Millares [0] 2 2 4 3 3 2 2" xfId="2667" xr:uid="{0DCCEF8E-A410-4452-92E3-31D8552243F4}"/>
    <cellStyle name="Millares [0] 2 2 4 3 3 2 2 2" xfId="5033" xr:uid="{625FCFA0-6C1D-44BC-B1DA-5589AF15801E}"/>
    <cellStyle name="Millares [0] 2 2 4 3 3 2 3" xfId="3850" xr:uid="{217C4BD7-5EBB-488E-9A44-1C6247384121}"/>
    <cellStyle name="Millares [0] 2 2 4 3 3 3" xfId="2249" xr:uid="{BE114722-566C-490B-9021-38041EB321BB}"/>
    <cellStyle name="Millares [0] 2 2 4 3 3 3 2" xfId="4615" xr:uid="{F961E867-9918-4C70-818E-76A5EB01BCD3}"/>
    <cellStyle name="Millares [0] 2 2 4 3 3 4" xfId="3432" xr:uid="{F6C7759B-9666-4133-8A5F-57321F45DD39}"/>
    <cellStyle name="Millares [0] 2 2 4 3 4" xfId="1274" xr:uid="{E65C629A-1ACC-44DC-AFAD-46E0E88632DB}"/>
    <cellStyle name="Millares [0] 2 2 4 3 4 2" xfId="2458" xr:uid="{B16CBE6E-6526-475C-8975-BEC0FFBCDB07}"/>
    <cellStyle name="Millares [0] 2 2 4 3 4 2 2" xfId="4824" xr:uid="{C8B747F0-01C0-4BE1-B6AA-AB6410AA5370}"/>
    <cellStyle name="Millares [0] 2 2 4 3 4 3" xfId="3641" xr:uid="{0B241B3A-D61F-448C-80EF-523FE5615834}"/>
    <cellStyle name="Millares [0] 2 2 4 3 5" xfId="1866" xr:uid="{CBE2093D-AAF5-4D83-831E-88336DDAA9D5}"/>
    <cellStyle name="Millares [0] 2 2 4 3 5 2" xfId="4232" xr:uid="{AB21E349-424B-4735-B68C-30C4D7BA53DA}"/>
    <cellStyle name="Millares [0] 2 2 4 3 6" xfId="3049" xr:uid="{A8F062CD-7832-487D-BD67-44D021095960}"/>
    <cellStyle name="Millares [0] 2 2 4 4" xfId="770" xr:uid="{9C653AE3-BD34-45D4-8104-1B572DA70109}"/>
    <cellStyle name="Millares [0] 2 2 4 4 2" xfId="866" xr:uid="{39EDF0D7-2F17-4B9C-A08A-3B8917CC71B6}"/>
    <cellStyle name="Millares [0] 2 2 4 4 2 2" xfId="1670" xr:uid="{550F2044-6D48-4F2C-A768-BD3E797C509C}"/>
    <cellStyle name="Millares [0] 2 2 4 4 2 2 2" xfId="2853" xr:uid="{66BB1571-C40A-493C-ADAB-BB2065BD93F4}"/>
    <cellStyle name="Millares [0] 2 2 4 4 2 2 2 2" xfId="5219" xr:uid="{7339FDD9-1411-484C-9489-CC7AC2143C1C}"/>
    <cellStyle name="Millares [0] 2 2 4 4 2 2 3" xfId="4036" xr:uid="{9F47D298-991B-4911-AA9A-1466D8BE1D2F}"/>
    <cellStyle name="Millares [0] 2 2 4 4 2 3" xfId="2052" xr:uid="{8A39ED24-971A-4FAD-BC1F-F558D0072695}"/>
    <cellStyle name="Millares [0] 2 2 4 4 2 3 2" xfId="4418" xr:uid="{A5947F76-B62A-4C8B-ACEC-4B5B4BFA1E80}"/>
    <cellStyle name="Millares [0] 2 2 4 4 2 4" xfId="3235" xr:uid="{98E2383C-E37D-4B1C-86D8-602603A6718F}"/>
    <cellStyle name="Millares [0] 2 2 4 4 3" xfId="1574" xr:uid="{13FD8673-6FE7-4EEC-97C6-CAB275E07F9E}"/>
    <cellStyle name="Millares [0] 2 2 4 4 3 2" xfId="2757" xr:uid="{B583BC75-E2E9-4FDC-81E0-85A19FAA95BD}"/>
    <cellStyle name="Millares [0] 2 2 4 4 3 2 2" xfId="5123" xr:uid="{03495B86-2E63-49A2-AB91-4FB498B13569}"/>
    <cellStyle name="Millares [0] 2 2 4 4 3 3" xfId="3940" xr:uid="{20744127-833D-47F6-BD4C-911F716CE1C4}"/>
    <cellStyle name="Millares [0] 2 2 4 4 4" xfId="1956" xr:uid="{A5E4D497-1D2C-4FA7-AAF9-B9C454A35B8D}"/>
    <cellStyle name="Millares [0] 2 2 4 4 4 2" xfId="4322" xr:uid="{A109F17C-C92C-4700-ACEA-4A74EBAA008F}"/>
    <cellStyle name="Millares [0] 2 2 4 4 5" xfId="3139" xr:uid="{11131E9F-2B21-4D5A-AA69-B6CE96F4EC8B}"/>
    <cellStyle name="Millares [0] 2 2 4 5" xfId="894" xr:uid="{CCEA4112-4A07-424E-9546-DCAD2888D28F}"/>
    <cellStyle name="Millares [0] 2 2 4 5 2" xfId="1698" xr:uid="{6C858614-81CC-4338-A22E-4B1D35896D0D}"/>
    <cellStyle name="Millares [0] 2 2 4 5 2 2" xfId="2881" xr:uid="{301820E7-EDA9-4F54-9732-AEDA2FD9B259}"/>
    <cellStyle name="Millares [0] 2 2 4 5 2 2 2" xfId="5247" xr:uid="{7B2C8BAC-A147-4EB4-9EC1-2514184A0BFB}"/>
    <cellStyle name="Millares [0] 2 2 4 5 2 3" xfId="4064" xr:uid="{7974E1A6-0CDF-49AD-A275-23320E26B96D}"/>
    <cellStyle name="Millares [0] 2 2 4 5 3" xfId="2080" xr:uid="{74861A7A-1CC7-4CA1-92A6-760A95352DBB}"/>
    <cellStyle name="Millares [0] 2 2 4 5 3 2" xfId="4446" xr:uid="{1AD5E025-D9D2-4E7B-99B8-D41A5A0F588F}"/>
    <cellStyle name="Millares [0] 2 2 4 5 4" xfId="3263" xr:uid="{C2FDB32E-EE39-4C25-814F-8D916D86B1AE}"/>
    <cellStyle name="Millares [0] 2 2 4 6" xfId="782" xr:uid="{DBDD75D0-97D4-4FA9-BADF-B9417AC9376C}"/>
    <cellStyle name="Millares [0] 2 2 4 6 2" xfId="1586" xr:uid="{34972CC4-899D-461C-8A74-1432F1131503}"/>
    <cellStyle name="Millares [0] 2 2 4 6 2 2" xfId="2769" xr:uid="{5358C2ED-B865-4D69-8DEA-E12A881EB01C}"/>
    <cellStyle name="Millares [0] 2 2 4 6 2 2 2" xfId="5135" xr:uid="{F1EA6F66-B14B-418E-82B5-41EDD97F668E}"/>
    <cellStyle name="Millares [0] 2 2 4 6 2 3" xfId="3952" xr:uid="{D314B57A-2F91-4A62-9853-5018D9D37566}"/>
    <cellStyle name="Millares [0] 2 2 4 6 3" xfId="1968" xr:uid="{816F6FB1-833B-4B71-90F9-8134A091BF98}"/>
    <cellStyle name="Millares [0] 2 2 4 6 3 2" xfId="4334" xr:uid="{94F3FB24-07F1-4984-8AFF-673107019A89}"/>
    <cellStyle name="Millares [0] 2 2 4 6 4" xfId="3151" xr:uid="{100FCF9F-94D6-4CEB-9C65-6E70E5822EF9}"/>
    <cellStyle name="Millares [0] 2 2 4 7" xfId="965" xr:uid="{AF9D6DC5-E8F9-4A47-B5F8-91738BB27D0A}"/>
    <cellStyle name="Millares [0] 2 2 4 7 2" xfId="1385" xr:uid="{EBA6D0A3-31D1-4B46-BD95-6EC28861A22E}"/>
    <cellStyle name="Millares [0] 2 2 4 7 2 2" xfId="2569" xr:uid="{AF6C8830-B7CC-4BDC-8C6D-1C5CDCF26B69}"/>
    <cellStyle name="Millares [0] 2 2 4 7 2 2 2" xfId="4935" xr:uid="{3B436A0C-5716-4F88-9DCC-46114040A82F}"/>
    <cellStyle name="Millares [0] 2 2 4 7 2 3" xfId="3752" xr:uid="{9EBE4215-1D91-4D6E-80FA-98F62DC50E6E}"/>
    <cellStyle name="Millares [0] 2 2 4 7 3" xfId="2151" xr:uid="{F37C399D-803A-4A38-A33B-2159DD09BAF1}"/>
    <cellStyle name="Millares [0] 2 2 4 7 3 2" xfId="4517" xr:uid="{8FBE1916-3068-4880-852C-E33483DC3730}"/>
    <cellStyle name="Millares [0] 2 2 4 7 4" xfId="3334" xr:uid="{F64B0509-7F8D-4F7A-B93C-BBF8C642EA54}"/>
    <cellStyle name="Millares [0] 2 2 4 8" xfId="1175" xr:uid="{DFAD8CC9-311B-4B0B-8A26-1A1E4B6F19A6}"/>
    <cellStyle name="Millares [0] 2 2 4 8 2" xfId="2360" xr:uid="{E3E1E30C-99E1-4284-BB17-AFCABC23D7F7}"/>
    <cellStyle name="Millares [0] 2 2 4 8 2 2" xfId="4726" xr:uid="{75065363-123E-44D5-A32D-485BBF911EAC}"/>
    <cellStyle name="Millares [0] 2 2 4 8 3" xfId="3543" xr:uid="{A0E7D348-2C4E-43FF-9673-EEEF5D769152}"/>
    <cellStyle name="Millares [0] 2 2 4 9" xfId="1768" xr:uid="{A3F0CF38-D6CE-43EE-BE2E-1CB867E273AE}"/>
    <cellStyle name="Millares [0] 2 2 4 9 2" xfId="4134" xr:uid="{985FF46A-2F4E-441F-BAB5-79BCBAE7E055}"/>
    <cellStyle name="Millares [0] 2 2 5" xfId="110" xr:uid="{C44E58CB-5201-4CA2-B5ED-389890EDAE8D}"/>
    <cellStyle name="Millares [0] 2 2 5 10" xfId="2924" xr:uid="{B0D2A58B-0217-48C9-A99C-BF6CD5643D16}"/>
    <cellStyle name="Millares [0] 2 2 5 11" xfId="5318" xr:uid="{C2775585-8654-45DF-9F1A-85B6FF6ADA66}"/>
    <cellStyle name="Millares [0] 2 2 5 2" xfId="500" xr:uid="{7CACB598-A8B7-4232-A48C-131985A95B49}"/>
    <cellStyle name="Millares [0] 2 2 5 2 2" xfId="812" xr:uid="{64B40274-9FB7-42E1-9D17-8E1D9DF5AB5D}"/>
    <cellStyle name="Millares [0] 2 2 5 2 2 2" xfId="1616" xr:uid="{CC5661A3-22CB-44EB-B435-5F36EEBA4E34}"/>
    <cellStyle name="Millares [0] 2 2 5 2 2 2 2" xfId="2799" xr:uid="{9B339E55-DA5E-4D97-9A04-F26948EC6963}"/>
    <cellStyle name="Millares [0] 2 2 5 2 2 2 2 2" xfId="5165" xr:uid="{AE1AA980-D9DC-4A0A-9266-832F19D89953}"/>
    <cellStyle name="Millares [0] 2 2 5 2 2 2 3" xfId="3982" xr:uid="{205A24D7-53C7-4183-A8E8-3C5F42576EDF}"/>
    <cellStyle name="Millares [0] 2 2 5 2 2 3" xfId="1998" xr:uid="{8D192760-21F2-4198-8DB1-7D39A773FC28}"/>
    <cellStyle name="Millares [0] 2 2 5 2 2 3 2" xfId="4364" xr:uid="{DEAEE50A-545A-48B9-853F-4D72A24CC69D}"/>
    <cellStyle name="Millares [0] 2 2 5 2 2 4" xfId="3181" xr:uid="{4C35D539-8B6B-4591-AB85-204240BB8A87}"/>
    <cellStyle name="Millares [0] 2 2 5 2 3" xfId="1073" xr:uid="{D27823A7-C87F-4640-BC75-CDDCBC094045}"/>
    <cellStyle name="Millares [0] 2 2 5 2 3 2" xfId="1493" xr:uid="{39110C44-AEAF-4AD5-A536-5948DC51DAD8}"/>
    <cellStyle name="Millares [0] 2 2 5 2 3 2 2" xfId="2676" xr:uid="{1BEB588E-6AD1-4B78-9B52-D5C6ECFD1031}"/>
    <cellStyle name="Millares [0] 2 2 5 2 3 2 2 2" xfId="5042" xr:uid="{7A016DD8-C23B-4AF3-8507-EF522BFAD09E}"/>
    <cellStyle name="Millares [0] 2 2 5 2 3 2 3" xfId="3859" xr:uid="{CB838EDE-B21F-41A2-A307-7EA138F8ACFF}"/>
    <cellStyle name="Millares [0] 2 2 5 2 3 3" xfId="2258" xr:uid="{96B41018-8B8E-4A91-9E4F-54B7DA3180F4}"/>
    <cellStyle name="Millares [0] 2 2 5 2 3 3 2" xfId="4624" xr:uid="{835D4242-77F3-4A19-919D-716A5BE9DA8C}"/>
    <cellStyle name="Millares [0] 2 2 5 2 3 4" xfId="3441" xr:uid="{4375F4E5-C3C6-4F38-B95A-8402A49C4A12}"/>
    <cellStyle name="Millares [0] 2 2 5 2 4" xfId="1283" xr:uid="{938450F7-1EB7-4287-951C-883368E0CEE5}"/>
    <cellStyle name="Millares [0] 2 2 5 2 4 2" xfId="2467" xr:uid="{BC03E6C9-8F56-415C-857F-E060A16472D1}"/>
    <cellStyle name="Millares [0] 2 2 5 2 4 2 2" xfId="4833" xr:uid="{14FA2B50-DBD3-4247-9FBA-30E3855906C5}"/>
    <cellStyle name="Millares [0] 2 2 5 2 4 3" xfId="3650" xr:uid="{1EC79CBD-F87B-4730-B045-D96382AB7EF5}"/>
    <cellStyle name="Millares [0] 2 2 5 2 5" xfId="1875" xr:uid="{8F468C48-EB7B-46CE-A504-5F6ABF9D6C35}"/>
    <cellStyle name="Millares [0] 2 2 5 2 5 2" xfId="4241" xr:uid="{2BCE538A-F41A-44DA-9A49-52528113264E}"/>
    <cellStyle name="Millares [0] 2 2 5 2 6" xfId="3058" xr:uid="{3562AAF2-E679-46FA-9B45-74D42EA74DDB}"/>
    <cellStyle name="Millares [0] 2 2 5 3" xfId="840" xr:uid="{75B3A899-513F-44FA-A112-E97FFB2AA49F}"/>
    <cellStyle name="Millares [0] 2 2 5 3 2" xfId="1644" xr:uid="{EF32C311-AFA2-4D76-B2FE-743EB266B76F}"/>
    <cellStyle name="Millares [0] 2 2 5 3 2 2" xfId="2827" xr:uid="{8F07B647-3E57-4491-9E97-F6999478B8FB}"/>
    <cellStyle name="Millares [0] 2 2 5 3 2 2 2" xfId="5193" xr:uid="{841B11CF-4BFC-4D95-9FC5-B7634BB5F2F1}"/>
    <cellStyle name="Millares [0] 2 2 5 3 2 3" xfId="4010" xr:uid="{C5248BB3-74B4-4F6D-875F-3044FC138441}"/>
    <cellStyle name="Millares [0] 2 2 5 3 3" xfId="2026" xr:uid="{5BE2AA3C-56AF-4936-90A6-4B897727244B}"/>
    <cellStyle name="Millares [0] 2 2 5 3 3 2" xfId="4392" xr:uid="{C9ADD4B5-F77C-4580-88D6-6D720F4F6471}"/>
    <cellStyle name="Millares [0] 2 2 5 3 4" xfId="3209" xr:uid="{C6EAE767-3431-4C1C-A3FC-74CA6B8974D4}"/>
    <cellStyle name="Millares [0] 2 2 5 4" xfId="868" xr:uid="{15503245-002D-4041-AB45-F4EC10A28C68}"/>
    <cellStyle name="Millares [0] 2 2 5 4 2" xfId="1672" xr:uid="{D916EFA6-845E-4100-8D88-B89A0568DB9F}"/>
    <cellStyle name="Millares [0] 2 2 5 4 2 2" xfId="2855" xr:uid="{29B2005F-65CC-4107-A166-F6BF94D1FD3C}"/>
    <cellStyle name="Millares [0] 2 2 5 4 2 2 2" xfId="5221" xr:uid="{5E3F699A-F772-4C9E-9418-62887A158630}"/>
    <cellStyle name="Millares [0] 2 2 5 4 2 3" xfId="4038" xr:uid="{3D993056-22F1-4D38-84BA-E2E089BB22E5}"/>
    <cellStyle name="Millares [0] 2 2 5 4 3" xfId="2054" xr:uid="{5511416F-A48E-471A-A6BA-EC5816A89347}"/>
    <cellStyle name="Millares [0] 2 2 5 4 3 2" xfId="4420" xr:uid="{232EA8B9-9F2B-4ADF-B269-98255AF8731E}"/>
    <cellStyle name="Millares [0] 2 2 5 4 4" xfId="3237" xr:uid="{00889AAA-847E-409E-A0AF-4D259853C73B}"/>
    <cellStyle name="Millares [0] 2 2 5 5" xfId="896" xr:uid="{BEE4B251-D727-49FA-B3BC-9CA66FE5E893}"/>
    <cellStyle name="Millares [0] 2 2 5 5 2" xfId="1700" xr:uid="{D4521317-8BCA-4638-A60F-0326E527B72A}"/>
    <cellStyle name="Millares [0] 2 2 5 5 2 2" xfId="2883" xr:uid="{9FD363F8-4C5F-4812-830F-7D83D0CF7D73}"/>
    <cellStyle name="Millares [0] 2 2 5 5 2 2 2" xfId="5249" xr:uid="{3922B81E-9FC0-4DC1-AF68-84B124D415CA}"/>
    <cellStyle name="Millares [0] 2 2 5 5 2 3" xfId="4066" xr:uid="{91DF2CDB-EB6E-4BEE-AD6A-FD0D9B90FE6B}"/>
    <cellStyle name="Millares [0] 2 2 5 5 3" xfId="2082" xr:uid="{7F66C377-9305-4CD6-8324-B4E6B97B8965}"/>
    <cellStyle name="Millares [0] 2 2 5 5 3 2" xfId="4448" xr:uid="{B35A02D5-6E18-413F-8B97-9BA886751902}"/>
    <cellStyle name="Millares [0] 2 2 5 5 4" xfId="3265" xr:uid="{B99ECCC3-E8CD-43D5-A33A-79925A74F8EE}"/>
    <cellStyle name="Millares [0] 2 2 5 6" xfId="784" xr:uid="{6A9D19B3-7DFB-4766-B6D4-AD1E18FD96D3}"/>
    <cellStyle name="Millares [0] 2 2 5 6 2" xfId="1588" xr:uid="{D6917F55-AFF9-4653-8C1C-C725A6C580B6}"/>
    <cellStyle name="Millares [0] 2 2 5 6 2 2" xfId="2771" xr:uid="{334B03EA-AFEA-405D-9417-EC2C0BBB8F11}"/>
    <cellStyle name="Millares [0] 2 2 5 6 2 2 2" xfId="5137" xr:uid="{51E24C61-6F31-4DA7-9DD4-285B349BF9B3}"/>
    <cellStyle name="Millares [0] 2 2 5 6 2 3" xfId="3954" xr:uid="{28A19ACB-3D10-4ED2-B266-817BC3E7D176}"/>
    <cellStyle name="Millares [0] 2 2 5 6 3" xfId="1970" xr:uid="{1BC800A1-33D6-4735-B10A-C8A2D6FE50F1}"/>
    <cellStyle name="Millares [0] 2 2 5 6 3 2" xfId="4336" xr:uid="{1B41D16E-F98C-4F1B-B117-579DE7F0E9D2}"/>
    <cellStyle name="Millares [0] 2 2 5 6 4" xfId="3153" xr:uid="{84B912F2-0731-4A43-B2D3-6683A81CD0F7}"/>
    <cellStyle name="Millares [0] 2 2 5 7" xfId="938" xr:uid="{616686BD-A63F-46C0-93D8-90EBC24442C9}"/>
    <cellStyle name="Millares [0] 2 2 5 7 2" xfId="1358" xr:uid="{061B7E19-6A92-425D-9BC2-9DEFBAE06D12}"/>
    <cellStyle name="Millares [0] 2 2 5 7 2 2" xfId="2542" xr:uid="{C27C193C-36F8-4426-8544-D5025254F8D7}"/>
    <cellStyle name="Millares [0] 2 2 5 7 2 2 2" xfId="4908" xr:uid="{16B0D26D-92D1-46E5-8DF6-0A9C4BA26426}"/>
    <cellStyle name="Millares [0] 2 2 5 7 2 3" xfId="3725" xr:uid="{2D0FB0D0-BF82-4EF1-9833-50AF813F27FC}"/>
    <cellStyle name="Millares [0] 2 2 5 7 3" xfId="2124" xr:uid="{3D3D30EC-B87F-476D-8DB4-6DC8DA5CFBBD}"/>
    <cellStyle name="Millares [0] 2 2 5 7 3 2" xfId="4490" xr:uid="{BD17CF8E-C6C2-46D5-B80A-6EE6B4C752F4}"/>
    <cellStyle name="Millares [0] 2 2 5 7 4" xfId="3307" xr:uid="{B8ADB826-386D-4EBE-B3D6-34DA57F4A613}"/>
    <cellStyle name="Millares [0] 2 2 5 8" xfId="1148" xr:uid="{509C57C7-0705-41D8-A2A2-5D5653B4E48D}"/>
    <cellStyle name="Millares [0] 2 2 5 8 2" xfId="2333" xr:uid="{3AB1FC61-CF47-4576-88C9-7A616423460F}"/>
    <cellStyle name="Millares [0] 2 2 5 8 2 2" xfId="4699" xr:uid="{95543F14-F962-44D1-92A1-A722420B024A}"/>
    <cellStyle name="Millares [0] 2 2 5 8 3" xfId="3516" xr:uid="{FDFB807C-632D-4348-99A4-D2994F13818D}"/>
    <cellStyle name="Millares [0] 2 2 5 9" xfId="1741" xr:uid="{6F6E090F-6684-4D3E-A1F9-09CA14F4D797}"/>
    <cellStyle name="Millares [0] 2 2 5 9 2" xfId="4107" xr:uid="{32093418-4981-4580-893B-8164BBC8923E}"/>
    <cellStyle name="Millares [0] 2 2 6" xfId="67" xr:uid="{653E040A-E10B-4932-B8C8-9F154A72535A}"/>
    <cellStyle name="Millares [0] 2 2 6 10" xfId="2909" xr:uid="{DD7461FB-9C08-4A7F-9B17-73AED50AFAE4}"/>
    <cellStyle name="Millares [0] 2 2 6 11" xfId="5344" xr:uid="{D9DAA21A-B182-48A2-90A8-CD3C58C3D95B}"/>
    <cellStyle name="Millares [0] 2 2 6 2" xfId="816" xr:uid="{C21E5F5A-39A2-4B04-BAB6-F5EDF1AC538C}"/>
    <cellStyle name="Millares [0] 2 2 6 2 2" xfId="1620" xr:uid="{DF20BCC1-304A-495A-BE8B-3FB049A36798}"/>
    <cellStyle name="Millares [0] 2 2 6 2 2 2" xfId="2803" xr:uid="{4BC696B4-8241-4201-B4C8-15C9C4661C3A}"/>
    <cellStyle name="Millares [0] 2 2 6 2 2 2 2" xfId="5169" xr:uid="{080F31B0-4F85-442C-81CE-4C01464745B2}"/>
    <cellStyle name="Millares [0] 2 2 6 2 2 3" xfId="3986" xr:uid="{BE38B4A5-917A-4202-9F16-0C79AAB80203}"/>
    <cellStyle name="Millares [0] 2 2 6 2 3" xfId="2002" xr:uid="{38B71484-36DC-41F4-835E-90703FFC88FF}"/>
    <cellStyle name="Millares [0] 2 2 6 2 3 2" xfId="4368" xr:uid="{1533C247-9592-4A83-8BE8-8984511C1DA5}"/>
    <cellStyle name="Millares [0] 2 2 6 2 4" xfId="3185" xr:uid="{6ADD879B-9D99-4245-9C75-BCCFCCCB4121}"/>
    <cellStyle name="Millares [0] 2 2 6 3" xfId="844" xr:uid="{8233BB64-3A57-4343-8D9D-26FAED7AE00A}"/>
    <cellStyle name="Millares [0] 2 2 6 3 2" xfId="1648" xr:uid="{680FAD9B-D584-46B8-B00A-8BEC811E39C8}"/>
    <cellStyle name="Millares [0] 2 2 6 3 2 2" xfId="2831" xr:uid="{769F69A3-398A-4790-93BC-731151658823}"/>
    <cellStyle name="Millares [0] 2 2 6 3 2 2 2" xfId="5197" xr:uid="{AF2DF635-2CDF-4CB8-9149-49FB367FFB32}"/>
    <cellStyle name="Millares [0] 2 2 6 3 2 3" xfId="4014" xr:uid="{79CD1057-FE6B-4C9C-B7A4-20EAF3EAF9C8}"/>
    <cellStyle name="Millares [0] 2 2 6 3 3" xfId="2030" xr:uid="{F99565D5-2E4C-45D7-9C94-B91E930C76FE}"/>
    <cellStyle name="Millares [0] 2 2 6 3 3 2" xfId="4396" xr:uid="{5FB8CACE-58BC-4892-9707-4A73784A1186}"/>
    <cellStyle name="Millares [0] 2 2 6 3 4" xfId="3213" xr:uid="{1FACB45F-12AB-48F5-97A0-75BFA2B1A7DC}"/>
    <cellStyle name="Millares [0] 2 2 6 4" xfId="872" xr:uid="{8F3DCA40-357E-4C49-AF9F-F5F160ADED37}"/>
    <cellStyle name="Millares [0] 2 2 6 4 2" xfId="1676" xr:uid="{25822828-888E-4F3F-ABF1-F175C2DAB1FE}"/>
    <cellStyle name="Millares [0] 2 2 6 4 2 2" xfId="2859" xr:uid="{FDA113A0-9F43-4A80-A58D-5FEB5A9C26E8}"/>
    <cellStyle name="Millares [0] 2 2 6 4 2 2 2" xfId="5225" xr:uid="{0FE4397C-5555-4078-8495-8F2635B80C79}"/>
    <cellStyle name="Millares [0] 2 2 6 4 2 3" xfId="4042" xr:uid="{79EE5B90-88D8-4C09-8BA1-0702668F9BFA}"/>
    <cellStyle name="Millares [0] 2 2 6 4 3" xfId="2058" xr:uid="{6EFEF0F3-4819-4AAC-9056-37525BCBA8E7}"/>
    <cellStyle name="Millares [0] 2 2 6 4 3 2" xfId="4424" xr:uid="{72FDFFBE-9561-4205-BF01-25895D7DCCCB}"/>
    <cellStyle name="Millares [0] 2 2 6 4 4" xfId="3241" xr:uid="{1C2D4732-10D3-4C58-A252-BB770396C549}"/>
    <cellStyle name="Millares [0] 2 2 6 5" xfId="900" xr:uid="{1B0952BB-75A3-47C7-8470-86D473303DC3}"/>
    <cellStyle name="Millares [0] 2 2 6 5 2" xfId="1704" xr:uid="{F4792BC3-E0EC-4862-8CFF-0CB188EAF721}"/>
    <cellStyle name="Millares [0] 2 2 6 5 2 2" xfId="2887" xr:uid="{FF566B7D-5F7E-438D-AF8D-F6B0FBC17BE0}"/>
    <cellStyle name="Millares [0] 2 2 6 5 2 2 2" xfId="5253" xr:uid="{D1ED283E-FFCA-4FB2-8876-7371302C7436}"/>
    <cellStyle name="Millares [0] 2 2 6 5 2 3" xfId="4070" xr:uid="{4D2F6EC6-219D-4879-A1C5-F6BDDCAA7794}"/>
    <cellStyle name="Millares [0] 2 2 6 5 3" xfId="2086" xr:uid="{2196DFA2-ECBA-4E94-BD1C-F666EC7D0484}"/>
    <cellStyle name="Millares [0] 2 2 6 5 3 2" xfId="4452" xr:uid="{DC3E5838-0AFD-48BF-B761-BBE22AC2474A}"/>
    <cellStyle name="Millares [0] 2 2 6 5 4" xfId="3269" xr:uid="{18E664F1-B0DE-4B30-A2BB-9D2F8BD38425}"/>
    <cellStyle name="Millares [0] 2 2 6 6" xfId="788" xr:uid="{284FF44C-7FB0-4DD1-8241-22F7DF9FBB76}"/>
    <cellStyle name="Millares [0] 2 2 6 6 2" xfId="1592" xr:uid="{C5A904D8-8C79-4248-80E8-2F6D4BE7CE26}"/>
    <cellStyle name="Millares [0] 2 2 6 6 2 2" xfId="2775" xr:uid="{CC0A5ED8-6BAE-44D1-BBEF-44978DBCE3ED}"/>
    <cellStyle name="Millares [0] 2 2 6 6 2 2 2" xfId="5141" xr:uid="{CC42637A-9740-4F54-A711-82098464EA88}"/>
    <cellStyle name="Millares [0] 2 2 6 6 2 3" xfId="3958" xr:uid="{1E0FF74C-2CFF-4E05-BE7D-2A85DBEF5EE1}"/>
    <cellStyle name="Millares [0] 2 2 6 6 3" xfId="1974" xr:uid="{F3391405-8FE1-4A1C-AC50-DA38D8FFF1D8}"/>
    <cellStyle name="Millares [0] 2 2 6 6 3 2" xfId="4340" xr:uid="{C9047F89-98D1-431E-B17F-1F439913FCFB}"/>
    <cellStyle name="Millares [0] 2 2 6 6 4" xfId="3157" xr:uid="{A5F6D557-A706-4BE5-8245-C2DD867D8666}"/>
    <cellStyle name="Millares [0] 2 2 6 7" xfId="923" xr:uid="{89B01D56-0B8B-48B7-9843-B3377CCD1193}"/>
    <cellStyle name="Millares [0] 2 2 6 7 2" xfId="1343" xr:uid="{62FF3831-5D42-4CF5-9D4D-79F326F118A8}"/>
    <cellStyle name="Millares [0] 2 2 6 7 2 2" xfId="2527" xr:uid="{9AFC8F61-1FD2-49D1-B241-707EE316FA84}"/>
    <cellStyle name="Millares [0] 2 2 6 7 2 2 2" xfId="4893" xr:uid="{81B64A7A-F886-47E3-826D-8175EAE7F2C2}"/>
    <cellStyle name="Millares [0] 2 2 6 7 2 3" xfId="3710" xr:uid="{28425A9D-9669-47C7-A203-7EDE61A14F27}"/>
    <cellStyle name="Millares [0] 2 2 6 7 3" xfId="2109" xr:uid="{21A8FF35-CBC6-42CF-8B8B-42D5112E4EB6}"/>
    <cellStyle name="Millares [0] 2 2 6 7 3 2" xfId="4475" xr:uid="{CB0E6210-EB06-4EAA-A41B-F2850F816730}"/>
    <cellStyle name="Millares [0] 2 2 6 7 4" xfId="3292" xr:uid="{B2C861C8-889C-4C3D-A8C1-0B0719755193}"/>
    <cellStyle name="Millares [0] 2 2 6 8" xfId="1133" xr:uid="{8235ACF0-A80E-4AB4-8AE3-42CA0D30397B}"/>
    <cellStyle name="Millares [0] 2 2 6 8 2" xfId="2318" xr:uid="{FE371F02-EBEA-494D-B378-455E68BC62E3}"/>
    <cellStyle name="Millares [0] 2 2 6 8 2 2" xfId="4684" xr:uid="{47F48C76-E4B3-4A7F-A7E8-32694374B781}"/>
    <cellStyle name="Millares [0] 2 2 6 8 3" xfId="3501" xr:uid="{5254E7C3-7DEE-491F-BA2E-CB6444C1D2BD}"/>
    <cellStyle name="Millares [0] 2 2 6 9" xfId="1726" xr:uid="{CC6C7FAE-BC4F-44FF-8673-A69302486604}"/>
    <cellStyle name="Millares [0] 2 2 6 9 2" xfId="4092" xr:uid="{12856C76-B325-43E4-86BB-6B65409584F5}"/>
    <cellStyle name="Millares [0] 2 2 7" xfId="225" xr:uid="{2BA2888B-68FF-407A-B2E1-91C9A745561C}"/>
    <cellStyle name="Millares [0] 2 2 7 10" xfId="3013" xr:uid="{D3921E40-CE13-4D8A-9B63-45154F285FB8}"/>
    <cellStyle name="Millares [0] 2 2 7 11" xfId="5367" xr:uid="{860719A6-5F88-454A-93B6-4EB90D5E1DDA}"/>
    <cellStyle name="Millares [0] 2 2 7 2" xfId="818" xr:uid="{BE7E47D4-138C-42A3-BF44-D252B5291D7D}"/>
    <cellStyle name="Millares [0] 2 2 7 2 2" xfId="1622" xr:uid="{A9CFD261-E453-4A58-810A-ED7AFB883581}"/>
    <cellStyle name="Millares [0] 2 2 7 2 2 2" xfId="2805" xr:uid="{AC5E0426-5992-4F10-A536-EEF306E243B4}"/>
    <cellStyle name="Millares [0] 2 2 7 2 2 2 2" xfId="5171" xr:uid="{6EB5897E-3F3F-4419-A6C6-4A57F330C3B5}"/>
    <cellStyle name="Millares [0] 2 2 7 2 2 3" xfId="3988" xr:uid="{48C967EA-F6C6-4973-98E5-1D5FDA436A5D}"/>
    <cellStyle name="Millares [0] 2 2 7 2 3" xfId="2004" xr:uid="{0D325698-16EE-4D80-980C-3166B3CE6659}"/>
    <cellStyle name="Millares [0] 2 2 7 2 3 2" xfId="4370" xr:uid="{651BFE67-5C9F-4E84-83F5-05336AED2690}"/>
    <cellStyle name="Millares [0] 2 2 7 2 4" xfId="3187" xr:uid="{72AC3116-0C11-4979-AF1D-EAE4E35DEFB9}"/>
    <cellStyle name="Millares [0] 2 2 7 3" xfId="846" xr:uid="{A9C148E6-C4E1-414D-A5E0-B60C274201D8}"/>
    <cellStyle name="Millares [0] 2 2 7 3 2" xfId="1650" xr:uid="{232D6A9D-81F5-4952-BC02-DAA913D1463E}"/>
    <cellStyle name="Millares [0] 2 2 7 3 2 2" xfId="2833" xr:uid="{DC9E7CF2-F4FD-41F7-ADD8-4053B2325ABA}"/>
    <cellStyle name="Millares [0] 2 2 7 3 2 2 2" xfId="5199" xr:uid="{7076D5EF-92B0-4F7D-A629-6BBAF50993DD}"/>
    <cellStyle name="Millares [0] 2 2 7 3 2 3" xfId="4016" xr:uid="{7C1CD815-DEBF-4CF2-A3CA-BC0E9278F88D}"/>
    <cellStyle name="Millares [0] 2 2 7 3 3" xfId="2032" xr:uid="{C3F99219-5C40-4115-86AF-94306F692D88}"/>
    <cellStyle name="Millares [0] 2 2 7 3 3 2" xfId="4398" xr:uid="{94102C6C-32EF-4F89-BE8E-7D9F6CC6D46C}"/>
    <cellStyle name="Millares [0] 2 2 7 3 4" xfId="3215" xr:uid="{F804DEC1-EEC4-423B-974F-7D0C70C00E07}"/>
    <cellStyle name="Millares [0] 2 2 7 4" xfId="874" xr:uid="{0952B363-D7E5-4D2F-95DC-3D42150826C4}"/>
    <cellStyle name="Millares [0] 2 2 7 4 2" xfId="1678" xr:uid="{D2F556D6-3DC9-4868-A05C-1B9F31392C90}"/>
    <cellStyle name="Millares [0] 2 2 7 4 2 2" xfId="2861" xr:uid="{3CE0ABFB-5BCF-40CA-978A-4997EF3A0530}"/>
    <cellStyle name="Millares [0] 2 2 7 4 2 2 2" xfId="5227" xr:uid="{6E03368C-F683-4875-875A-9F2CD53847BC}"/>
    <cellStyle name="Millares [0] 2 2 7 4 2 3" xfId="4044" xr:uid="{0F567A0C-15D8-46AC-9D23-D2E57D448B11}"/>
    <cellStyle name="Millares [0] 2 2 7 4 3" xfId="2060" xr:uid="{3DC77574-59E5-4BBE-A13B-016EAE01E002}"/>
    <cellStyle name="Millares [0] 2 2 7 4 3 2" xfId="4426" xr:uid="{DEA50A41-E558-41CC-B662-33448168103E}"/>
    <cellStyle name="Millares [0] 2 2 7 4 4" xfId="3243" xr:uid="{AFC44453-B03F-4E8D-9E5D-2B7F817F42BD}"/>
    <cellStyle name="Millares [0] 2 2 7 5" xfId="902" xr:uid="{FBE9B916-2C89-434D-BB84-54FCAEFB4DFB}"/>
    <cellStyle name="Millares [0] 2 2 7 5 2" xfId="1706" xr:uid="{BB825DC0-5B8C-488C-8FDD-3591954A3CFC}"/>
    <cellStyle name="Millares [0] 2 2 7 5 2 2" xfId="2889" xr:uid="{19505D84-2500-4838-A7DE-4207CBFF33B2}"/>
    <cellStyle name="Millares [0] 2 2 7 5 2 2 2" xfId="5255" xr:uid="{48CE596C-3B9D-40A8-AA6D-230545D15E1B}"/>
    <cellStyle name="Millares [0] 2 2 7 5 2 3" xfId="4072" xr:uid="{83DB2F8A-2C82-4D47-BEF9-57601B07BCF6}"/>
    <cellStyle name="Millares [0] 2 2 7 5 3" xfId="2088" xr:uid="{767E9230-835F-4BBF-BE53-9B5CE3FD35D5}"/>
    <cellStyle name="Millares [0] 2 2 7 5 3 2" xfId="4454" xr:uid="{98EF990A-4F59-4CD8-8822-D06D4E8163B4}"/>
    <cellStyle name="Millares [0] 2 2 7 5 4" xfId="3271" xr:uid="{ED779567-2508-45E7-8BA5-D3BACD85C2E3}"/>
    <cellStyle name="Millares [0] 2 2 7 6" xfId="790" xr:uid="{167C2D6D-B0C0-419C-862F-2F90B4A0A414}"/>
    <cellStyle name="Millares [0] 2 2 7 6 2" xfId="1594" xr:uid="{B03A375B-4C08-4E7A-8575-65C4A5A42FDA}"/>
    <cellStyle name="Millares [0] 2 2 7 6 2 2" xfId="2777" xr:uid="{0A0A45B2-CF70-406C-9D45-2F3CDA4CD791}"/>
    <cellStyle name="Millares [0] 2 2 7 6 2 2 2" xfId="5143" xr:uid="{A8CFF18B-10B4-4681-ABF6-969973F1668F}"/>
    <cellStyle name="Millares [0] 2 2 7 6 2 3" xfId="3960" xr:uid="{C0A81AEB-E670-4C93-A051-B52AEB4E052E}"/>
    <cellStyle name="Millares [0] 2 2 7 6 3" xfId="1976" xr:uid="{24431CF6-6A15-4946-9D9B-EB6F91ECB7A7}"/>
    <cellStyle name="Millares [0] 2 2 7 6 3 2" xfId="4342" xr:uid="{988441A4-5D37-4EC8-B6B7-8CC5D36330D4}"/>
    <cellStyle name="Millares [0] 2 2 7 6 4" xfId="3159" xr:uid="{DDCF30A2-87FF-47B7-81FF-4CF4E496C007}"/>
    <cellStyle name="Millares [0] 2 2 7 7" xfId="1027" xr:uid="{FF1AE7C7-B8A9-492D-9A1A-562684A0D883}"/>
    <cellStyle name="Millares [0] 2 2 7 7 2" xfId="1447" xr:uid="{CA5AE282-2530-427F-ADF1-6B8409E2F63E}"/>
    <cellStyle name="Millares [0] 2 2 7 7 2 2" xfId="2631" xr:uid="{29BC00A6-1D8A-41E5-88A6-7F5393E383B7}"/>
    <cellStyle name="Millares [0] 2 2 7 7 2 2 2" xfId="4997" xr:uid="{5C4009F5-7990-4A9C-B058-7893F2EB378B}"/>
    <cellStyle name="Millares [0] 2 2 7 7 2 3" xfId="3814" xr:uid="{BAF57B99-CDBE-4341-A4BB-B22C8307F628}"/>
    <cellStyle name="Millares [0] 2 2 7 7 3" xfId="2213" xr:uid="{6FD060F9-5642-485C-89F5-294138196A3F}"/>
    <cellStyle name="Millares [0] 2 2 7 7 3 2" xfId="4579" xr:uid="{1C25688E-00AA-4345-A3A5-FBD25DC0B979}"/>
    <cellStyle name="Millares [0] 2 2 7 7 4" xfId="3396" xr:uid="{6B294D2C-83B8-4E15-BA26-F5C8BD08AB3E}"/>
    <cellStyle name="Millares [0] 2 2 7 8" xfId="1237" xr:uid="{2EBE2ADB-5592-472B-9807-B0F45DE707FC}"/>
    <cellStyle name="Millares [0] 2 2 7 8 2" xfId="2422" xr:uid="{A8B6A271-617B-4420-BF31-26F1E24056DD}"/>
    <cellStyle name="Millares [0] 2 2 7 8 2 2" xfId="4788" xr:uid="{B32993FF-C626-4BDF-8BFD-05DD28911069}"/>
    <cellStyle name="Millares [0] 2 2 7 8 3" xfId="3605" xr:uid="{7FAEE57F-6D07-4B43-8846-43533B064080}"/>
    <cellStyle name="Millares [0] 2 2 7 9" xfId="1830" xr:uid="{3D578C18-AC53-4F8D-B89E-7E2529A4E865}"/>
    <cellStyle name="Millares [0] 2 2 7 9 2" xfId="4196" xr:uid="{805A75CF-EF51-4C20-89A5-0DC7DD719AD8}"/>
    <cellStyle name="Millares [0] 2 2 8" xfId="62" xr:uid="{61976DBF-B336-4DB1-956B-A9B6E8775F2D}"/>
    <cellStyle name="Millares [0] 2 2 8 10" xfId="2905" xr:uid="{1621E679-ED5D-4636-AD68-B59CE9E3D542}"/>
    <cellStyle name="Millares [0] 2 2 8 11" xfId="5392" xr:uid="{E1B6505D-0D6F-443C-9F80-A1B23926A7F6}"/>
    <cellStyle name="Millares [0] 2 2 8 2" xfId="820" xr:uid="{7EC26217-6628-4D91-B47B-A1DDCD38E60A}"/>
    <cellStyle name="Millares [0] 2 2 8 2 2" xfId="1624" xr:uid="{2C9280C7-A338-4DA3-9416-888974A041A6}"/>
    <cellStyle name="Millares [0] 2 2 8 2 2 2" xfId="2807" xr:uid="{2E4F8620-C776-4656-95C7-65B374080CBB}"/>
    <cellStyle name="Millares [0] 2 2 8 2 2 2 2" xfId="5173" xr:uid="{D808789E-674A-4C09-9ADF-990E1AE4178B}"/>
    <cellStyle name="Millares [0] 2 2 8 2 2 3" xfId="3990" xr:uid="{0BFA1739-E244-4673-B825-2C4B24D88BD5}"/>
    <cellStyle name="Millares [0] 2 2 8 2 3" xfId="2006" xr:uid="{3C086658-7A22-489D-8752-74EB541B4010}"/>
    <cellStyle name="Millares [0] 2 2 8 2 3 2" xfId="4372" xr:uid="{DB7C0677-3684-4972-8ED0-B5E8AA8ADF3C}"/>
    <cellStyle name="Millares [0] 2 2 8 2 4" xfId="3189" xr:uid="{A797402A-7261-4E01-AC4A-16F2E036FE57}"/>
    <cellStyle name="Millares [0] 2 2 8 3" xfId="848" xr:uid="{C86CF59A-ECF8-4CF2-AD22-6CFBF00B3BD9}"/>
    <cellStyle name="Millares [0] 2 2 8 3 2" xfId="1652" xr:uid="{1E3CA80A-E071-4730-A8C4-92A2CA258F46}"/>
    <cellStyle name="Millares [0] 2 2 8 3 2 2" xfId="2835" xr:uid="{0C62D6F9-0920-4CD6-BCDE-8F93491330BF}"/>
    <cellStyle name="Millares [0] 2 2 8 3 2 2 2" xfId="5201" xr:uid="{3A21A339-18EF-42FF-804C-8E121D6E364A}"/>
    <cellStyle name="Millares [0] 2 2 8 3 2 3" xfId="4018" xr:uid="{C258F79E-142F-44D3-B37C-1F618C84306C}"/>
    <cellStyle name="Millares [0] 2 2 8 3 3" xfId="2034" xr:uid="{2162276E-381F-4D9F-B77E-F2EA39DF0D48}"/>
    <cellStyle name="Millares [0] 2 2 8 3 3 2" xfId="4400" xr:uid="{5B5C937E-39C8-4BFA-BCAF-DDAD582F517E}"/>
    <cellStyle name="Millares [0] 2 2 8 3 4" xfId="3217" xr:uid="{8930F8D8-D5F0-41EE-B96C-4EF455601E9C}"/>
    <cellStyle name="Millares [0] 2 2 8 4" xfId="876" xr:uid="{0449BBF2-1092-4CEA-8382-8BDCB202D383}"/>
    <cellStyle name="Millares [0] 2 2 8 4 2" xfId="1680" xr:uid="{8EC64BDF-7155-4489-B9BF-1EA9CEE2E372}"/>
    <cellStyle name="Millares [0] 2 2 8 4 2 2" xfId="2863" xr:uid="{16F301C5-7BA5-402A-BB44-FB0631340954}"/>
    <cellStyle name="Millares [0] 2 2 8 4 2 2 2" xfId="5229" xr:uid="{D295FF60-7469-4501-B02F-71CB3D494221}"/>
    <cellStyle name="Millares [0] 2 2 8 4 2 3" xfId="4046" xr:uid="{749C2127-107B-4B49-A6E6-B54AB528EA46}"/>
    <cellStyle name="Millares [0] 2 2 8 4 3" xfId="2062" xr:uid="{610C0156-9EC1-444E-A2AD-4AC2509848C1}"/>
    <cellStyle name="Millares [0] 2 2 8 4 3 2" xfId="4428" xr:uid="{F686F7DC-BCB1-410C-A836-CC772BD4B6F7}"/>
    <cellStyle name="Millares [0] 2 2 8 4 4" xfId="3245" xr:uid="{5ACF855D-4627-453F-972E-1119E6E5B385}"/>
    <cellStyle name="Millares [0] 2 2 8 5" xfId="904" xr:uid="{FCF0507F-1B4B-45FA-AF01-686424E3BE2E}"/>
    <cellStyle name="Millares [0] 2 2 8 5 2" xfId="1708" xr:uid="{1675CEA7-6BCE-4762-9362-C9F5E687DFF8}"/>
    <cellStyle name="Millares [0] 2 2 8 5 2 2" xfId="2891" xr:uid="{577785A5-218B-40E1-BCFB-8C63B1C3FC78}"/>
    <cellStyle name="Millares [0] 2 2 8 5 2 2 2" xfId="5257" xr:uid="{20249C5B-14E7-465E-AF21-2DD800DF3560}"/>
    <cellStyle name="Millares [0] 2 2 8 5 2 3" xfId="4074" xr:uid="{3A9B4DCF-0C30-4E8F-A11B-F50EFFC89172}"/>
    <cellStyle name="Millares [0] 2 2 8 5 3" xfId="2090" xr:uid="{627E5442-BF62-4DD2-A178-602364523A3D}"/>
    <cellStyle name="Millares [0] 2 2 8 5 3 2" xfId="4456" xr:uid="{7D01F011-CF4D-4AEA-8BDA-83649FCECF3E}"/>
    <cellStyle name="Millares [0] 2 2 8 5 4" xfId="3273" xr:uid="{6111F774-6992-4060-8356-DE27F8F6740D}"/>
    <cellStyle name="Millares [0] 2 2 8 6" xfId="792" xr:uid="{F8F73F0C-60D7-4E3B-BA11-A7574AD2C205}"/>
    <cellStyle name="Millares [0] 2 2 8 6 2" xfId="1596" xr:uid="{364269BB-1635-4B5F-82EE-D99DEA2E11AC}"/>
    <cellStyle name="Millares [0] 2 2 8 6 2 2" xfId="2779" xr:uid="{0A0C11EB-5EAF-46A0-8D9D-74FFBD188F07}"/>
    <cellStyle name="Millares [0] 2 2 8 6 2 2 2" xfId="5145" xr:uid="{CF9B310B-2E55-442C-90F4-475DBBFC9BDF}"/>
    <cellStyle name="Millares [0] 2 2 8 6 2 3" xfId="3962" xr:uid="{DA8EF334-D816-4694-A81D-38B7AFAE29C3}"/>
    <cellStyle name="Millares [0] 2 2 8 6 3" xfId="1978" xr:uid="{55FC135B-0BDB-4E88-A3A2-AA0D355A41D2}"/>
    <cellStyle name="Millares [0] 2 2 8 6 3 2" xfId="4344" xr:uid="{3A75C266-4133-415B-A4CE-327783FD592C}"/>
    <cellStyle name="Millares [0] 2 2 8 6 4" xfId="3161" xr:uid="{78115B31-A520-46D8-9977-FA2B005D5073}"/>
    <cellStyle name="Millares [0] 2 2 8 7" xfId="919" xr:uid="{1060A8F5-B883-430A-B1D2-768A552C7F8B}"/>
    <cellStyle name="Millares [0] 2 2 8 7 2" xfId="1339" xr:uid="{70E6BDE1-06DB-4CA7-884A-875F9F0D197D}"/>
    <cellStyle name="Millares [0] 2 2 8 7 2 2" xfId="2523" xr:uid="{08F17AE7-A460-437C-9842-086CD606935A}"/>
    <cellStyle name="Millares [0] 2 2 8 7 2 2 2" xfId="4889" xr:uid="{BF2E23DE-41EA-490E-9A42-A53D31C58854}"/>
    <cellStyle name="Millares [0] 2 2 8 7 2 3" xfId="3706" xr:uid="{DD6DC0CC-9E40-4BD8-A6C5-1A9524BB32AE}"/>
    <cellStyle name="Millares [0] 2 2 8 7 3" xfId="2105" xr:uid="{A1A8404D-0080-4076-8E7B-B51DC3B4669B}"/>
    <cellStyle name="Millares [0] 2 2 8 7 3 2" xfId="4471" xr:uid="{0F27F363-4124-45C2-8483-8C33CAB8DAA0}"/>
    <cellStyle name="Millares [0] 2 2 8 7 4" xfId="3288" xr:uid="{8AC716C4-F2C2-4A03-ABF6-4B1B38776A18}"/>
    <cellStyle name="Millares [0] 2 2 8 8" xfId="1129" xr:uid="{EFC82C76-8A63-479A-9AAF-BFB2E6FE46CC}"/>
    <cellStyle name="Millares [0] 2 2 8 8 2" xfId="2314" xr:uid="{9180C44E-A459-4C63-B6AD-15D69F791D10}"/>
    <cellStyle name="Millares [0] 2 2 8 8 2 2" xfId="4680" xr:uid="{073A86CA-8EB2-44CA-BB6A-E2E5E11B553C}"/>
    <cellStyle name="Millares [0] 2 2 8 8 3" xfId="3497" xr:uid="{94A4EA2A-E440-4EB4-BF6C-71717494474A}"/>
    <cellStyle name="Millares [0] 2 2 8 9" xfId="1722" xr:uid="{556F7892-1E58-4043-86D9-ED5A1EF04972}"/>
    <cellStyle name="Millares [0] 2 2 8 9 2" xfId="4088" xr:uid="{8FEC1D16-EEB6-46D8-9A50-987A57F95B09}"/>
    <cellStyle name="Millares [0] 2 2 9" xfId="253" xr:uid="{705D9295-26DD-4B32-9CAF-22B6B1F98874}"/>
    <cellStyle name="Millares [0] 2 2 9 10" xfId="3023" xr:uid="{68077EFA-51CB-462A-8532-D0D7E6BBCF5B}"/>
    <cellStyle name="Millares [0] 2 2 9 11" xfId="5417" xr:uid="{B96E83AF-EB6A-4032-AD56-46065F118249}"/>
    <cellStyle name="Millares [0] 2 2 9 2" xfId="822" xr:uid="{0369EE6A-2E9C-4DBF-B791-6EDB8D3FFBFC}"/>
    <cellStyle name="Millares [0] 2 2 9 2 2" xfId="1626" xr:uid="{2F241AE5-5CC8-42DF-9CA7-4763DE206BDE}"/>
    <cellStyle name="Millares [0] 2 2 9 2 2 2" xfId="2809" xr:uid="{E148616F-2454-4BA4-BAD9-AA05116A9E8B}"/>
    <cellStyle name="Millares [0] 2 2 9 2 2 2 2" xfId="5175" xr:uid="{3D64F559-A222-44D7-98ED-7265683A32A6}"/>
    <cellStyle name="Millares [0] 2 2 9 2 2 3" xfId="3992" xr:uid="{1FF00B7B-9937-4B27-86D5-E2CEDF2E5CCD}"/>
    <cellStyle name="Millares [0] 2 2 9 2 3" xfId="2008" xr:uid="{8CBF2986-8B41-4E3C-9D29-783FF4DD9EE2}"/>
    <cellStyle name="Millares [0] 2 2 9 2 3 2" xfId="4374" xr:uid="{3E6FC543-6889-47A2-BA8E-5F06E37A0928}"/>
    <cellStyle name="Millares [0] 2 2 9 2 4" xfId="3191" xr:uid="{0E805052-B9E8-423D-8503-27B5F57439FC}"/>
    <cellStyle name="Millares [0] 2 2 9 3" xfId="850" xr:uid="{46D49C5F-C9D6-48C3-8BB5-1FE044C1B188}"/>
    <cellStyle name="Millares [0] 2 2 9 3 2" xfId="1654" xr:uid="{DB8EC566-43EB-4D20-8FA6-E968812C0EDC}"/>
    <cellStyle name="Millares [0] 2 2 9 3 2 2" xfId="2837" xr:uid="{BA81A185-CE77-452D-B48E-0483F0CFC1B1}"/>
    <cellStyle name="Millares [0] 2 2 9 3 2 2 2" xfId="5203" xr:uid="{DBF4AE12-2EDE-4749-A075-84F562D7E487}"/>
    <cellStyle name="Millares [0] 2 2 9 3 2 3" xfId="4020" xr:uid="{252711F1-1966-400A-BC1C-E14A8F84A305}"/>
    <cellStyle name="Millares [0] 2 2 9 3 3" xfId="2036" xr:uid="{DF17C14A-D8E3-4DB8-9350-46B52727629F}"/>
    <cellStyle name="Millares [0] 2 2 9 3 3 2" xfId="4402" xr:uid="{DA9D8309-BB32-46D6-AD6D-E7E97A7832F8}"/>
    <cellStyle name="Millares [0] 2 2 9 3 4" xfId="3219" xr:uid="{79CE39A1-2E02-44EF-9B33-0A31000F1204}"/>
    <cellStyle name="Millares [0] 2 2 9 4" xfId="878" xr:uid="{04C29816-D8FE-4ACE-9815-5B3E968070A6}"/>
    <cellStyle name="Millares [0] 2 2 9 4 2" xfId="1682" xr:uid="{0AE50866-E229-4D6A-A1C4-AA19F63E921B}"/>
    <cellStyle name="Millares [0] 2 2 9 4 2 2" xfId="2865" xr:uid="{EF754F23-66C5-4EBA-A383-4CF4AF6BD5B9}"/>
    <cellStyle name="Millares [0] 2 2 9 4 2 2 2" xfId="5231" xr:uid="{97CDCEB8-8C49-489A-B7E5-F3DBBFE70FC4}"/>
    <cellStyle name="Millares [0] 2 2 9 4 2 3" xfId="4048" xr:uid="{56B0E76F-E0F4-4BE9-BCBB-9AABDC2766D7}"/>
    <cellStyle name="Millares [0] 2 2 9 4 3" xfId="2064" xr:uid="{93E7B340-A609-40DE-BE97-CCCDB79233A3}"/>
    <cellStyle name="Millares [0] 2 2 9 4 3 2" xfId="4430" xr:uid="{B9CCA011-FD77-4993-8696-13BDD5140287}"/>
    <cellStyle name="Millares [0] 2 2 9 4 4" xfId="3247" xr:uid="{D05CB508-173F-4066-BFDE-723547D665B7}"/>
    <cellStyle name="Millares [0] 2 2 9 5" xfId="906" xr:uid="{584098B1-D55C-48F6-B3BB-57191073232D}"/>
    <cellStyle name="Millares [0] 2 2 9 5 2" xfId="1710" xr:uid="{3EDD4F7B-746A-4185-A939-6D67E90ACB6F}"/>
    <cellStyle name="Millares [0] 2 2 9 5 2 2" xfId="2893" xr:uid="{9A794CB7-AA41-47D8-BEC8-6B36C0FD16D2}"/>
    <cellStyle name="Millares [0] 2 2 9 5 2 2 2" xfId="5259" xr:uid="{ABCF5B67-C74A-4057-85A0-8A8306C42DA4}"/>
    <cellStyle name="Millares [0] 2 2 9 5 2 3" xfId="4076" xr:uid="{70AE837D-6AD7-440E-BB51-2E61C661CEDD}"/>
    <cellStyle name="Millares [0] 2 2 9 5 3" xfId="2092" xr:uid="{70613550-F85A-4E29-AE43-F8B4E294FDB8}"/>
    <cellStyle name="Millares [0] 2 2 9 5 3 2" xfId="4458" xr:uid="{BFEF1DA6-29E9-4C38-879F-66C6CDD7539A}"/>
    <cellStyle name="Millares [0] 2 2 9 5 4" xfId="3275" xr:uid="{F6B2F3B7-6569-4909-AFCC-F99BFEB1415F}"/>
    <cellStyle name="Millares [0] 2 2 9 6" xfId="794" xr:uid="{08303376-796E-4135-A88F-59F10A1837DA}"/>
    <cellStyle name="Millares [0] 2 2 9 6 2" xfId="1598" xr:uid="{AF767BEA-E12F-4BED-B18A-9815C90D19E0}"/>
    <cellStyle name="Millares [0] 2 2 9 6 2 2" xfId="2781" xr:uid="{ACD03014-8B0F-4DE9-88ED-31545AB0F58A}"/>
    <cellStyle name="Millares [0] 2 2 9 6 2 2 2" xfId="5147" xr:uid="{A11F46C5-2A2A-4DAF-A04D-523BF4FA4B0E}"/>
    <cellStyle name="Millares [0] 2 2 9 6 2 3" xfId="3964" xr:uid="{D6DB6792-50C7-40A8-B062-5996D13C2DB0}"/>
    <cellStyle name="Millares [0] 2 2 9 6 3" xfId="1980" xr:uid="{B700C16D-48BD-4F5B-B671-51BB9F2C285A}"/>
    <cellStyle name="Millares [0] 2 2 9 6 3 2" xfId="4346" xr:uid="{831B14C0-6003-494D-A880-EBA926C27BED}"/>
    <cellStyle name="Millares [0] 2 2 9 6 4" xfId="3163" xr:uid="{5EB568F6-251F-4070-8881-292CFE0CD4FA}"/>
    <cellStyle name="Millares [0] 2 2 9 7" xfId="1038" xr:uid="{05C97E43-5F47-41B8-BE7C-AFAE12D0A246}"/>
    <cellStyle name="Millares [0] 2 2 9 7 2" xfId="1458" xr:uid="{1A66929E-F5A5-4ED7-B2A7-96A2B6DCB23F}"/>
    <cellStyle name="Millares [0] 2 2 9 7 2 2" xfId="2641" xr:uid="{C89ED815-9A87-49CD-AB84-0113D64E12C2}"/>
    <cellStyle name="Millares [0] 2 2 9 7 2 2 2" xfId="5007" xr:uid="{CF99389D-8B36-4955-907A-8373A73258AC}"/>
    <cellStyle name="Millares [0] 2 2 9 7 2 3" xfId="3824" xr:uid="{8B89F084-2398-4989-8BCD-1BA6270BB6D4}"/>
    <cellStyle name="Millares [0] 2 2 9 7 3" xfId="2223" xr:uid="{DD0DFE98-3E7E-4288-B836-CAF7ECE39160}"/>
    <cellStyle name="Millares [0] 2 2 9 7 3 2" xfId="4589" xr:uid="{698A6C14-7771-4083-B1B5-5F45FDE4E245}"/>
    <cellStyle name="Millares [0] 2 2 9 7 4" xfId="3406" xr:uid="{6B414707-A18D-4788-86BD-EAA046770FC0}"/>
    <cellStyle name="Millares [0] 2 2 9 8" xfId="1248" xr:uid="{20CCE412-554E-45EA-8CE2-AF277FEC70E2}"/>
    <cellStyle name="Millares [0] 2 2 9 8 2" xfId="2432" xr:uid="{1E39C6D6-1182-41F6-914D-0D5AB0DFDA83}"/>
    <cellStyle name="Millares [0] 2 2 9 8 2 2" xfId="4798" xr:uid="{F412F47C-2757-4E80-AB12-5A9CC0A73B6F}"/>
    <cellStyle name="Millares [0] 2 2 9 8 3" xfId="3615" xr:uid="{FA1F7E7B-D549-42E0-85FA-84A9894E2364}"/>
    <cellStyle name="Millares [0] 2 2 9 9" xfId="1840" xr:uid="{37EE9564-36DB-48E8-9BFD-5628D900BCB3}"/>
    <cellStyle name="Millares [0] 2 2 9 9 2" xfId="4206" xr:uid="{D08D2D0A-4E5E-47C3-A55A-7241727B6C24}"/>
    <cellStyle name="Millares [0] 2 3" xfId="145" xr:uid="{5BC77479-E42D-4879-A674-49930D314FF7}"/>
    <cellStyle name="Millares [0] 2 3 2" xfId="524" xr:uid="{CE77053D-49E8-47D7-BE15-17853C7589B3}"/>
    <cellStyle name="Millares [0] 2 3 2 2" xfId="1076" xr:uid="{0758AFAD-7C3E-4038-9E7A-6D89FAC5B695}"/>
    <cellStyle name="Millares [0] 2 3 2 2 2" xfId="1496" xr:uid="{0409DE4C-4A99-4029-AF6E-CFE52A2E622C}"/>
    <cellStyle name="Millares [0] 2 3 2 2 2 2" xfId="2679" xr:uid="{6B8D1487-AAC8-4D5A-B0A8-D8956606ED49}"/>
    <cellStyle name="Millares [0] 2 3 2 2 2 2 2" xfId="5045" xr:uid="{97220646-06AE-418E-BC84-E324C8EEC093}"/>
    <cellStyle name="Millares [0] 2 3 2 2 2 3" xfId="3862" xr:uid="{B7644340-90E5-4B0E-93F2-C9D728281E5F}"/>
    <cellStyle name="Millares [0] 2 3 2 2 3" xfId="2261" xr:uid="{E2C0D29A-81AB-4862-90BB-40FAE834F397}"/>
    <cellStyle name="Millares [0] 2 3 2 2 3 2" xfId="4627" xr:uid="{D67C62C5-DA33-4859-9C2B-EF61F81BD45A}"/>
    <cellStyle name="Millares [0] 2 3 2 2 4" xfId="3444" xr:uid="{59AF50F5-618C-4D71-A575-357ECA2C0279}"/>
    <cellStyle name="Millares [0] 2 3 2 2 5" xfId="5339" xr:uid="{1B69226A-6FF3-4D87-88E1-23A93C5103F5}"/>
    <cellStyle name="Millares [0] 2 3 2 3" xfId="1286" xr:uid="{13D38771-4FE8-4F4B-B55E-9A4100EC7539}"/>
    <cellStyle name="Millares [0] 2 3 2 3 2" xfId="2470" xr:uid="{5EF3510E-84DF-4329-A816-60D40BB3B9B8}"/>
    <cellStyle name="Millares [0] 2 3 2 3 2 2" xfId="4836" xr:uid="{A758E754-9A88-4125-901F-8B09BAA926CD}"/>
    <cellStyle name="Millares [0] 2 3 2 3 3" xfId="3653" xr:uid="{AD92ED67-D859-4964-968D-BE2ABF673343}"/>
    <cellStyle name="Millares [0] 2 3 2 4" xfId="1878" xr:uid="{B695FE75-01D7-424F-9E8B-9DD7D0706681}"/>
    <cellStyle name="Millares [0] 2 3 2 4 2" xfId="4244" xr:uid="{61AA9AAC-53B1-4F8A-AC50-2168A38107C5}"/>
    <cellStyle name="Millares [0] 2 3 2 5" xfId="3061" xr:uid="{8E281C71-3EA1-4DBF-9BC3-DA3C9EECE942}"/>
    <cellStyle name="Millares [0] 2 3 2 6" xfId="5313" xr:uid="{4FAD981E-24ED-438B-9CBC-38A1FD378B2F}"/>
    <cellStyle name="Millares [0] 2 3 3" xfId="277" xr:uid="{FA78E03B-5260-4999-AC04-19FC3307D087}"/>
    <cellStyle name="Millares [0] 2 3 3 2" xfId="1041" xr:uid="{02801841-7485-4CDF-94BF-2AF65E66D150}"/>
    <cellStyle name="Millares [0] 2 3 3 2 2" xfId="1461" xr:uid="{B651AEA1-8AA8-4173-AD0C-62B2630FA87F}"/>
    <cellStyle name="Millares [0] 2 3 3 2 2 2" xfId="2644" xr:uid="{D4B4E688-6E9F-45A6-ACED-358B2EDE615E}"/>
    <cellStyle name="Millares [0] 2 3 3 2 2 2 2" xfId="5010" xr:uid="{CC5AFB4C-769F-497A-BC5F-EC945B9E541B}"/>
    <cellStyle name="Millares [0] 2 3 3 2 2 3" xfId="3827" xr:uid="{B1DA10B7-9D21-4303-8647-85EB0423A137}"/>
    <cellStyle name="Millares [0] 2 3 3 2 3" xfId="2226" xr:uid="{ECE69847-A6F9-4F9C-8821-CF5C21E73FFA}"/>
    <cellStyle name="Millares [0] 2 3 3 2 3 2" xfId="4592" xr:uid="{6B403BC6-BB73-455D-BE4D-42DF2DFB4D0E}"/>
    <cellStyle name="Millares [0] 2 3 3 2 4" xfId="3409" xr:uid="{9DF83439-95A2-4034-B6F9-04FB421D3900}"/>
    <cellStyle name="Millares [0] 2 3 3 3" xfId="1251" xr:uid="{90CC5BF5-C70E-463B-AAE1-97DF36FB9765}"/>
    <cellStyle name="Millares [0] 2 3 3 3 2" xfId="2435" xr:uid="{3BFB638E-3E2F-4D4B-A641-ADBB2F0FD22E}"/>
    <cellStyle name="Millares [0] 2 3 3 3 2 2" xfId="4801" xr:uid="{195A2C19-4C80-446B-BFE1-D36C40C31DD2}"/>
    <cellStyle name="Millares [0] 2 3 3 3 3" xfId="3618" xr:uid="{E7C0B911-486C-4A06-BFBC-F42C5DE655C4}"/>
    <cellStyle name="Millares [0] 2 3 3 4" xfId="1843" xr:uid="{DDB75137-A61A-4449-A98A-1FED24C21231}"/>
    <cellStyle name="Millares [0] 2 3 3 4 2" xfId="4209" xr:uid="{FA9861A6-B000-4701-943B-C1CCC897E777}"/>
    <cellStyle name="Millares [0] 2 3 3 5" xfId="3026" xr:uid="{C97C4072-8C5A-49D3-AD2E-A55AAEAE4A67}"/>
    <cellStyle name="Millares [0] 2 3 3 6" xfId="5324" xr:uid="{5EDE2021-746F-41BF-975C-0281D46E6CBE}"/>
    <cellStyle name="Millares [0] 2 3 4" xfId="747" xr:uid="{FA22C598-9CFE-4F24-B0D3-B050C10BE18D}"/>
    <cellStyle name="Millares [0] 2 3 4 2" xfId="1551" xr:uid="{C001D353-7560-4505-AB37-4D159BF751B5}"/>
    <cellStyle name="Millares [0] 2 3 4 2 2" xfId="2734" xr:uid="{563F935C-307F-44BA-9806-3B0505B712ED}"/>
    <cellStyle name="Millares [0] 2 3 4 2 2 2" xfId="5100" xr:uid="{A9D88A03-2E2C-4875-AAB4-8F57827CD3F4}"/>
    <cellStyle name="Millares [0] 2 3 4 2 3" xfId="3917" xr:uid="{FEBCAAA3-A71A-4DFE-957D-596D2FA00500}"/>
    <cellStyle name="Millares [0] 2 3 4 3" xfId="1933" xr:uid="{D74FEC39-08B1-4EFF-83D5-EA86396F2F2F}"/>
    <cellStyle name="Millares [0] 2 3 4 3 2" xfId="4299" xr:uid="{475F3581-EBE2-4190-9C79-E3074B73789A}"/>
    <cellStyle name="Millares [0] 2 3 4 4" xfId="3116" xr:uid="{1BC62348-D8D3-4DEA-A9BA-D4C110D07C54}"/>
    <cellStyle name="Millares [0] 2 3 5" xfId="801" xr:uid="{4E4A2D15-DE98-4320-BD17-AD01A06968A5}"/>
    <cellStyle name="Millares [0] 2 3 5 2" xfId="1605" xr:uid="{0BCAECFD-DD6A-4751-9A57-BE0D34688B4E}"/>
    <cellStyle name="Millares [0] 2 3 5 2 2" xfId="2788" xr:uid="{8C63F97E-CA9A-400B-AE13-044E97ECCFD9}"/>
    <cellStyle name="Millares [0] 2 3 5 2 2 2" xfId="5154" xr:uid="{0049E6AF-B129-4AF6-944E-B62BEA602E9C}"/>
    <cellStyle name="Millares [0] 2 3 5 2 3" xfId="3971" xr:uid="{F3DCC59B-D5CD-4B4F-B5DB-6C50965277DE}"/>
    <cellStyle name="Millares [0] 2 3 5 3" xfId="1987" xr:uid="{533969E1-65EF-45DE-91EB-3890E9A997F7}"/>
    <cellStyle name="Millares [0] 2 3 5 3 2" xfId="4353" xr:uid="{E812A525-E5F2-4E9E-AF0E-8C199F62E45E}"/>
    <cellStyle name="Millares [0] 2 3 5 4" xfId="3170" xr:uid="{FB976AC9-4D40-4D82-AA40-E860228D358E}"/>
    <cellStyle name="Millares [0] 2 3 6" xfId="5294" xr:uid="{0FA52F32-7D37-4057-B7DB-7AB6B9E1F290}"/>
    <cellStyle name="Millares [0] 2 4" xfId="178" xr:uid="{4CD78668-7944-41F4-B43A-EA60FCE78FD6}"/>
    <cellStyle name="Millares [0] 2 4 10" xfId="5305" xr:uid="{B65C9C74-2116-447C-93D9-0114DD34FA45}"/>
    <cellStyle name="Millares [0] 2 4 2" xfId="553" xr:uid="{E865962B-09A2-408B-B3BA-D49F4E9A3933}"/>
    <cellStyle name="Millares [0] 2 4 2 2" xfId="1082" xr:uid="{88B3F980-B4CD-4400-B529-A36C833AC669}"/>
    <cellStyle name="Millares [0] 2 4 2 2 2" xfId="1502" xr:uid="{4184B34C-DBF0-4A24-A5AC-4479D1302786}"/>
    <cellStyle name="Millares [0] 2 4 2 2 2 2" xfId="2685" xr:uid="{E5ECD41E-4FF7-47C4-AF53-A911E274CD5E}"/>
    <cellStyle name="Millares [0] 2 4 2 2 2 2 2" xfId="5051" xr:uid="{E3AFCD52-FCA9-4759-BA02-4A02B41D8911}"/>
    <cellStyle name="Millares [0] 2 4 2 2 2 3" xfId="3868" xr:uid="{34A28536-0E9F-4162-8D58-A60708B84979}"/>
    <cellStyle name="Millares [0] 2 4 2 2 3" xfId="2267" xr:uid="{1D542D6B-47EC-4BAB-80C1-BDC2E571FF31}"/>
    <cellStyle name="Millares [0] 2 4 2 2 3 2" xfId="4633" xr:uid="{B74292DA-636D-4728-BD53-15E0BC36C565}"/>
    <cellStyle name="Millares [0] 2 4 2 2 4" xfId="3450" xr:uid="{CB4D9F9B-79AB-4C40-B139-072100F1D19C}"/>
    <cellStyle name="Millares [0] 2 4 2 3" xfId="1292" xr:uid="{A8639584-B94B-460D-9421-97AD82E75573}"/>
    <cellStyle name="Millares [0] 2 4 2 3 2" xfId="2476" xr:uid="{DCB4F370-392F-414A-A969-1389DDFE7E3B}"/>
    <cellStyle name="Millares [0] 2 4 2 3 2 2" xfId="4842" xr:uid="{C5A90D97-25F8-4A0D-BEAA-06B0D2691DE5}"/>
    <cellStyle name="Millares [0] 2 4 2 3 3" xfId="3659" xr:uid="{534C8A36-6508-4EE5-967A-3AB1BE05A703}"/>
    <cellStyle name="Millares [0] 2 4 2 4" xfId="1884" xr:uid="{11946E45-8925-468F-8692-8A29E9BCC250}"/>
    <cellStyle name="Millares [0] 2 4 2 4 2" xfId="4250" xr:uid="{992E810D-AE56-4855-BBCE-2CC8E6A11FF9}"/>
    <cellStyle name="Millares [0] 2 4 2 5" xfId="3067" xr:uid="{C196AC6A-6CB9-4892-9752-886B584B04A0}"/>
    <cellStyle name="Millares [0] 2 4 2 6" xfId="5331" xr:uid="{CC74B88F-C680-4BF2-A22F-C8948CF6F7D8}"/>
    <cellStyle name="Millares [0] 2 4 3" xfId="304" xr:uid="{F2A98F57-0D49-4431-8D1B-BA0DA1024668}"/>
    <cellStyle name="Millares [0] 2 4 3 2" xfId="1047" xr:uid="{5FCCE8A5-CAED-4E7F-9DBF-F752FB29D01F}"/>
    <cellStyle name="Millares [0] 2 4 3 2 2" xfId="1467" xr:uid="{218B5D97-8378-48F8-BC8C-B264EABA2995}"/>
    <cellStyle name="Millares [0] 2 4 3 2 2 2" xfId="2650" xr:uid="{E552E488-7776-4D01-8B61-98F0030549D2}"/>
    <cellStyle name="Millares [0] 2 4 3 2 2 2 2" xfId="5016" xr:uid="{3F42175E-A278-4A53-89A2-FC831725360E}"/>
    <cellStyle name="Millares [0] 2 4 3 2 2 3" xfId="3833" xr:uid="{1F9A912E-30C8-4906-944D-F0912748866C}"/>
    <cellStyle name="Millares [0] 2 4 3 2 3" xfId="2232" xr:uid="{722C4E4B-DB58-42C7-A7EF-D81F25426978}"/>
    <cellStyle name="Millares [0] 2 4 3 2 3 2" xfId="4598" xr:uid="{0C64419D-3CC0-44D2-B395-A51B2D09AB6B}"/>
    <cellStyle name="Millares [0] 2 4 3 2 4" xfId="3415" xr:uid="{9B69CF53-0CE8-4E91-ABBE-F60B73046D97}"/>
    <cellStyle name="Millares [0] 2 4 3 3" xfId="1257" xr:uid="{564CDFC5-DD87-48F2-9D0B-D01BC3C4AFBD}"/>
    <cellStyle name="Millares [0] 2 4 3 3 2" xfId="2441" xr:uid="{209DADB9-90D0-41F9-AE6C-15F9FB88286D}"/>
    <cellStyle name="Millares [0] 2 4 3 3 2 2" xfId="4807" xr:uid="{2E37BCD8-08DB-4DE0-984A-4A3164DCE2B7}"/>
    <cellStyle name="Millares [0] 2 4 3 3 3" xfId="3624" xr:uid="{4A59B1D4-0AE7-4B61-921B-47A0D8E1F32C}"/>
    <cellStyle name="Millares [0] 2 4 3 4" xfId="1849" xr:uid="{9B5D5282-079F-404A-9AED-6C2534CD8532}"/>
    <cellStyle name="Millares [0] 2 4 3 4 2" xfId="4215" xr:uid="{13AB0288-6EC3-4836-8F37-562E20A7B2C3}"/>
    <cellStyle name="Millares [0] 2 4 3 5" xfId="3032" xr:uid="{35918ABE-CE6D-4C76-8485-236A69B776C6}"/>
    <cellStyle name="Millares [0] 2 4 4" xfId="753" xr:uid="{133B58FC-43A9-4C9B-B001-D5C43EA815B4}"/>
    <cellStyle name="Millares [0] 2 4 4 2" xfId="1557" xr:uid="{7AFE86CA-C459-4CA2-B457-F3E131BEDF47}"/>
    <cellStyle name="Millares [0] 2 4 4 2 2" xfId="2740" xr:uid="{3F4F66E7-35F3-4BAB-BFB4-1129708E2128}"/>
    <cellStyle name="Millares [0] 2 4 4 2 2 2" xfId="5106" xr:uid="{A058F420-E6D8-4FB8-AFF9-EA04C6E09FDB}"/>
    <cellStyle name="Millares [0] 2 4 4 2 3" xfId="3923" xr:uid="{6725B75D-0F74-47A4-9387-535DD73E9E40}"/>
    <cellStyle name="Millares [0] 2 4 4 3" xfId="1939" xr:uid="{86BD2FBC-92E4-4C59-BC19-A78B3EB5A54A}"/>
    <cellStyle name="Millares [0] 2 4 4 3 2" xfId="4305" xr:uid="{179EC9E2-9F7F-42E3-885C-E7D5B18F820E}"/>
    <cellStyle name="Millares [0] 2 4 4 4" xfId="3122" xr:uid="{CB46C775-964E-4C86-9EE9-CC6CF2B0552B}"/>
    <cellStyle name="Millares [0] 2 4 5" xfId="829" xr:uid="{EB4BB0CD-3FB2-410E-8A3D-E4110860E38C}"/>
    <cellStyle name="Millares [0] 2 4 5 2" xfId="1633" xr:uid="{AB2E7A67-C5E7-4B0F-9B2D-F79E4089E390}"/>
    <cellStyle name="Millares [0] 2 4 5 2 2" xfId="2816" xr:uid="{E89FC48B-2DE4-4766-9354-1169597416A9}"/>
    <cellStyle name="Millares [0] 2 4 5 2 2 2" xfId="5182" xr:uid="{C859B0D1-840F-45AB-934E-D28AD007E04C}"/>
    <cellStyle name="Millares [0] 2 4 5 2 3" xfId="3999" xr:uid="{D143964E-C315-47FC-B788-7D2C1ED0CBB5}"/>
    <cellStyle name="Millares [0] 2 4 5 3" xfId="2015" xr:uid="{81E5A491-A9D3-4721-94C4-0ED26FDCA41D}"/>
    <cellStyle name="Millares [0] 2 4 5 3 2" xfId="4381" xr:uid="{73186420-317D-4901-93E2-7C175AE5332D}"/>
    <cellStyle name="Millares [0] 2 4 5 4" xfId="3198" xr:uid="{E0E98F9D-CCFB-47C2-8466-C7CF32BE4AB9}"/>
    <cellStyle name="Millares [0] 2 4 6" xfId="985" xr:uid="{8D667467-367C-4CD5-9F9D-0B6F5DA4679A}"/>
    <cellStyle name="Millares [0] 2 4 6 2" xfId="1405" xr:uid="{99C963AD-29AA-451A-9537-87B2885A2FDF}"/>
    <cellStyle name="Millares [0] 2 4 6 2 2" xfId="2589" xr:uid="{E181F3EA-CCEE-46D3-9369-F87EEB5ED4A6}"/>
    <cellStyle name="Millares [0] 2 4 6 2 2 2" xfId="4955" xr:uid="{200D61C4-2946-43EC-A7FB-C05CB230B425}"/>
    <cellStyle name="Millares [0] 2 4 6 2 3" xfId="3772" xr:uid="{9A344842-2F21-432D-B403-93F8A11EFC51}"/>
    <cellStyle name="Millares [0] 2 4 6 3" xfId="2171" xr:uid="{37E71533-EE3A-475A-A9D6-A98F723BA7EB}"/>
    <cellStyle name="Millares [0] 2 4 6 3 2" xfId="4537" xr:uid="{FFAC345A-F12E-447F-A342-8D556184871F}"/>
    <cellStyle name="Millares [0] 2 4 6 4" xfId="3354" xr:uid="{527ED176-FD6E-463D-91D3-4FDC3E1264E1}"/>
    <cellStyle name="Millares [0] 2 4 7" xfId="1195" xr:uid="{4599F0A8-3587-41F6-860F-152076CF680F}"/>
    <cellStyle name="Millares [0] 2 4 7 2" xfId="2380" xr:uid="{7D27C8DF-07BB-4511-82C3-73458E69E9D4}"/>
    <cellStyle name="Millares [0] 2 4 7 2 2" xfId="4746" xr:uid="{071EF860-6EA5-494C-B291-8FBE01CE7D00}"/>
    <cellStyle name="Millares [0] 2 4 7 3" xfId="3563" xr:uid="{FFE1BCAC-88F5-4680-88EA-40E6E71F1FC6}"/>
    <cellStyle name="Millares [0] 2 4 8" xfId="1788" xr:uid="{78D6A74A-B2C4-46CF-8EB9-1CD501EECA2F}"/>
    <cellStyle name="Millares [0] 2 4 8 2" xfId="4154" xr:uid="{256C7C74-382D-4B75-9FD8-01E8BAC186B8}"/>
    <cellStyle name="Millares [0] 2 4 9" xfId="2971" xr:uid="{62304D11-21E6-481B-900C-93B302DD379E}"/>
    <cellStyle name="Millares [0] 2 5" xfId="99" xr:uid="{372B35B9-DA8E-4BDF-935A-FE1293E1E9E0}"/>
    <cellStyle name="Millares [0] 2 5 10" xfId="5307" xr:uid="{5AA55B49-0B05-4980-9CDE-714D10403AF6}"/>
    <cellStyle name="Millares [0] 2 5 2" xfId="602" xr:uid="{EC002F5B-40EC-40FC-9599-AE6D6B270CA1}"/>
    <cellStyle name="Millares [0] 2 5 2 2" xfId="1089" xr:uid="{65325F63-1238-4DE3-A32D-6566DE09E92D}"/>
    <cellStyle name="Millares [0] 2 5 2 2 2" xfId="1509" xr:uid="{4BCFE763-A783-4F51-83FA-9D859B00F195}"/>
    <cellStyle name="Millares [0] 2 5 2 2 2 2" xfId="2692" xr:uid="{BD974934-8B0F-4174-A2B2-81EAE703C051}"/>
    <cellStyle name="Millares [0] 2 5 2 2 2 2 2" xfId="5058" xr:uid="{B33939CD-73BC-400A-B159-3BE8310BE1D5}"/>
    <cellStyle name="Millares [0] 2 5 2 2 2 3" xfId="3875" xr:uid="{ABCBE94A-8236-44FA-A475-B05C81D2CE42}"/>
    <cellStyle name="Millares [0] 2 5 2 2 3" xfId="2274" xr:uid="{A8AEC34E-FF26-4B8D-9612-A10605552578}"/>
    <cellStyle name="Millares [0] 2 5 2 2 3 2" xfId="4640" xr:uid="{789B199B-46B6-4830-B67C-498529230D03}"/>
    <cellStyle name="Millares [0] 2 5 2 2 4" xfId="3457" xr:uid="{187DFA85-A0DD-4DD8-8A1A-7E9AA680BB2C}"/>
    <cellStyle name="Millares [0] 2 5 2 3" xfId="1299" xr:uid="{3E7C26FF-FE6F-4F6D-ACF7-1C29FE2B1DD2}"/>
    <cellStyle name="Millares [0] 2 5 2 3 2" xfId="2483" xr:uid="{9CC2F752-F4CD-4391-9E78-7AE8DF1F3713}"/>
    <cellStyle name="Millares [0] 2 5 2 3 2 2" xfId="4849" xr:uid="{97E41504-E0C3-4F70-A114-51ABC2611DC1}"/>
    <cellStyle name="Millares [0] 2 5 2 3 3" xfId="3666" xr:uid="{9F2E3750-FFA7-4425-AC47-5FBB653C0061}"/>
    <cellStyle name="Millares [0] 2 5 2 4" xfId="1891" xr:uid="{CA700955-3C9A-44FE-8CB0-16E94E961807}"/>
    <cellStyle name="Millares [0] 2 5 2 4 2" xfId="4257" xr:uid="{751970CD-47C0-4BDC-B121-5AB18427AE68}"/>
    <cellStyle name="Millares [0] 2 5 2 5" xfId="3074" xr:uid="{78AC1365-261B-40C8-B43C-50F4DDB9D03A}"/>
    <cellStyle name="Millares [0] 2 5 2 6" xfId="5333" xr:uid="{0EB122F3-D946-4FF4-B3AA-BFE7BB2D5EF8}"/>
    <cellStyle name="Millares [0] 2 5 3" xfId="356" xr:uid="{CC7409CB-4C04-4C3D-8DBD-05CC2E1585A5}"/>
    <cellStyle name="Millares [0] 2 5 3 2" xfId="1054" xr:uid="{0F9C10EC-3A27-4634-8557-488D2C0C9E0F}"/>
    <cellStyle name="Millares [0] 2 5 3 2 2" xfId="1474" xr:uid="{17CCAC19-AA54-4971-99BD-5A21FB848A56}"/>
    <cellStyle name="Millares [0] 2 5 3 2 2 2" xfId="2657" xr:uid="{D03AC135-A4A9-4735-A1AC-D90DF9068B45}"/>
    <cellStyle name="Millares [0] 2 5 3 2 2 2 2" xfId="5023" xr:uid="{4FD8AF6F-3CC4-4B17-A21F-977C0CBDFEFD}"/>
    <cellStyle name="Millares [0] 2 5 3 2 2 3" xfId="3840" xr:uid="{0F7519BC-8EB0-491C-9D23-6C93EC3DAFD4}"/>
    <cellStyle name="Millares [0] 2 5 3 2 3" xfId="2239" xr:uid="{3AA1A628-3CAC-4C3C-81DF-49B85A8FA0D8}"/>
    <cellStyle name="Millares [0] 2 5 3 2 3 2" xfId="4605" xr:uid="{EAEDB81E-039D-4275-B207-C6B9D73F0241}"/>
    <cellStyle name="Millares [0] 2 5 3 2 4" xfId="3422" xr:uid="{D64936D3-B795-4D93-B6BF-3F978188EB0E}"/>
    <cellStyle name="Millares [0] 2 5 3 3" xfId="1264" xr:uid="{A0A74BFC-4321-45D5-B08C-9BA43350198F}"/>
    <cellStyle name="Millares [0] 2 5 3 3 2" xfId="2448" xr:uid="{CCA2DF4A-EC2F-4729-8F1D-F442BC5A06AE}"/>
    <cellStyle name="Millares [0] 2 5 3 3 2 2" xfId="4814" xr:uid="{96EAE6E3-EA13-4907-BC00-D62C6F693483}"/>
    <cellStyle name="Millares [0] 2 5 3 3 3" xfId="3631" xr:uid="{15C3502E-8EC0-4D2D-9ADF-E0EDA3596A7F}"/>
    <cellStyle name="Millares [0] 2 5 3 4" xfId="1856" xr:uid="{EA22A94F-C5D7-4FE5-B233-02A04AC2C3C0}"/>
    <cellStyle name="Millares [0] 2 5 3 4 2" xfId="4222" xr:uid="{9FB5FE48-6B41-4CEC-957B-E1A96489F1E4}"/>
    <cellStyle name="Millares [0] 2 5 3 5" xfId="3039" xr:uid="{BB1DAA33-A140-4E60-A466-2F47CCDF0266}"/>
    <cellStyle name="Millares [0] 2 5 3 6" xfId="5357" xr:uid="{AA8CF365-DF8D-4E6E-A07A-5757AD00DD89}"/>
    <cellStyle name="Millares [0] 2 5 4" xfId="760" xr:uid="{12023CC1-222B-4F31-8510-682587E3EC34}"/>
    <cellStyle name="Millares [0] 2 5 4 2" xfId="1564" xr:uid="{063B9908-FCAD-49D0-A613-D73B6563C6C2}"/>
    <cellStyle name="Millares [0] 2 5 4 2 2" xfId="2747" xr:uid="{4A4AC16B-D2F3-4476-82AA-EFDB29889877}"/>
    <cellStyle name="Millares [0] 2 5 4 2 2 2" xfId="5113" xr:uid="{1290D02F-8C13-448E-A18B-53690C7EA3D4}"/>
    <cellStyle name="Millares [0] 2 5 4 2 3" xfId="3930" xr:uid="{6052802F-1D9D-4FB3-9DB6-68860BE265CD}"/>
    <cellStyle name="Millares [0] 2 5 4 3" xfId="1946" xr:uid="{88A8D718-FD6B-48C1-8982-51D08025CDDF}"/>
    <cellStyle name="Millares [0] 2 5 4 3 2" xfId="4312" xr:uid="{CEA76B63-5E56-41A7-AEB0-A9336C75DBC4}"/>
    <cellStyle name="Millares [0] 2 5 4 4" xfId="3129" xr:uid="{E3C319E0-863A-4CB0-B297-0B3CDAED30D6}"/>
    <cellStyle name="Millares [0] 2 5 4 5" xfId="5382" xr:uid="{803BEAAA-3020-4DBE-AD6F-CA196B3A641D}"/>
    <cellStyle name="Millares [0] 2 5 5" xfId="857" xr:uid="{6D7C4DC4-A911-4390-B1D7-BA1900D633C4}"/>
    <cellStyle name="Millares [0] 2 5 5 2" xfId="1661" xr:uid="{06E10607-5F53-41A3-9032-5B4E626ACB2F}"/>
    <cellStyle name="Millares [0] 2 5 5 2 2" xfId="2844" xr:uid="{CDA19210-5493-4C95-8479-C5D8B6A2756E}"/>
    <cellStyle name="Millares [0] 2 5 5 2 2 2" xfId="5210" xr:uid="{16FC56A6-B54F-4F82-A7C4-783D506F0494}"/>
    <cellStyle name="Millares [0] 2 5 5 2 3" xfId="4027" xr:uid="{0DF9B878-62BE-4D32-A239-A056A780F2DF}"/>
    <cellStyle name="Millares [0] 2 5 5 3" xfId="2043" xr:uid="{3F09BFBC-2AF0-43E6-90DF-8466B41495C2}"/>
    <cellStyle name="Millares [0] 2 5 5 3 2" xfId="4409" xr:uid="{61B37404-9683-4AE8-A5DC-89981D13AFDD}"/>
    <cellStyle name="Millares [0] 2 5 5 4" xfId="3226" xr:uid="{B808D19D-ED6D-45B5-9788-BD882B18A6A3}"/>
    <cellStyle name="Millares [0] 2 5 5 5" xfId="5407" xr:uid="{FB8BC2DE-79FF-463D-882C-DB4611D734A7}"/>
    <cellStyle name="Millares [0] 2 5 6" xfId="934" xr:uid="{200C273D-5ACC-4650-8596-200C3E118DA1}"/>
    <cellStyle name="Millares [0] 2 5 6 2" xfId="1354" xr:uid="{94AB8478-05CE-49A0-9BE4-0A0E039BBDB8}"/>
    <cellStyle name="Millares [0] 2 5 6 2 2" xfId="2538" xr:uid="{1AAD87D8-606A-464F-9B82-9EFBCA44A0BD}"/>
    <cellStyle name="Millares [0] 2 5 6 2 2 2" xfId="4904" xr:uid="{D359AB2C-0D83-4FB6-9510-C32941192401}"/>
    <cellStyle name="Millares [0] 2 5 6 2 3" xfId="3721" xr:uid="{820779F4-7777-49D2-8B9C-2142FEE60947}"/>
    <cellStyle name="Millares [0] 2 5 6 3" xfId="2120" xr:uid="{41DE996C-8C69-420C-8A97-A240F2D7F7A4}"/>
    <cellStyle name="Millares [0] 2 5 6 3 2" xfId="4486" xr:uid="{9DA7A600-8875-4DF0-AB1C-D48677DD134C}"/>
    <cellStyle name="Millares [0] 2 5 6 4" xfId="3303" xr:uid="{74A3155E-CF38-449E-8CEC-E0024A7533FC}"/>
    <cellStyle name="Millares [0] 2 5 6 5" xfId="5432" xr:uid="{51B831D1-9202-449F-93FE-C9FBBC91DCBF}"/>
    <cellStyle name="Millares [0] 2 5 7" xfId="1144" xr:uid="{7B6105A7-1CA5-4AEF-9DEA-D9A8698CE979}"/>
    <cellStyle name="Millares [0] 2 5 7 2" xfId="2329" xr:uid="{967684C8-493D-46CE-B955-3E624B883C29}"/>
    <cellStyle name="Millares [0] 2 5 7 2 2" xfId="4695" xr:uid="{3EBC792B-A075-4BAB-9137-F12744293900}"/>
    <cellStyle name="Millares [0] 2 5 7 3" xfId="3512" xr:uid="{CF57F918-9D0D-4A9C-9736-5A66E7B3B6D5}"/>
    <cellStyle name="Millares [0] 2 5 7 4" xfId="5458" xr:uid="{17E01C4C-E9D1-488C-B606-F0DF02B8E068}"/>
    <cellStyle name="Millares [0] 2 5 8" xfId="1737" xr:uid="{B9773EA2-6C24-4FD3-B3DF-BA13C772949E}"/>
    <cellStyle name="Millares [0] 2 5 8 2" xfId="4103" xr:uid="{62977AD1-7F68-4FC1-9ECA-D8BCDFB8A0C8}"/>
    <cellStyle name="Millares [0] 2 5 8 3" xfId="5484" xr:uid="{CDA6CA4E-386A-47CD-BBA2-7C776989AB52}"/>
    <cellStyle name="Millares [0] 2 5 9" xfId="2920" xr:uid="{CFC27F4C-0706-4700-84C5-FE1E8D496255}"/>
    <cellStyle name="Millares [0] 2 6" xfId="380" xr:uid="{C8F90A30-A38A-4FA7-BCCC-0AA7B7D5D342}"/>
    <cellStyle name="Millares [0] 2 6 2" xfId="627" xr:uid="{B273B981-CC51-4E6A-9B89-A6FA8FCBDFCC}"/>
    <cellStyle name="Millares [0] 2 6 2 2" xfId="1092" xr:uid="{B6F2A7A5-3CF5-4384-91C2-7F6F054C49AE}"/>
    <cellStyle name="Millares [0] 2 6 2 2 2" xfId="1512" xr:uid="{E90D72FC-E067-4ADB-A5C2-4BD01F0C3CC0}"/>
    <cellStyle name="Millares [0] 2 6 2 2 2 2" xfId="2695" xr:uid="{43CB6AB9-D979-4B26-AB2A-8D55AD3A2913}"/>
    <cellStyle name="Millares [0] 2 6 2 2 2 2 2" xfId="5061" xr:uid="{237E9697-3EB5-4C8E-9530-4D9673AA505B}"/>
    <cellStyle name="Millares [0] 2 6 2 2 2 3" xfId="3878" xr:uid="{4867D9F0-68DA-4772-9D9E-5B7FD786CF0F}"/>
    <cellStyle name="Millares [0] 2 6 2 2 3" xfId="2277" xr:uid="{A6A6E33E-F07B-4ADD-9D7F-92B4ED2CC359}"/>
    <cellStyle name="Millares [0] 2 6 2 2 3 2" xfId="4643" xr:uid="{90BD9BE2-D8D2-4547-ACD9-0ED2A2447EEF}"/>
    <cellStyle name="Millares [0] 2 6 2 2 4" xfId="3460" xr:uid="{AEF250A7-BD10-42D7-B07E-25ED21E67D6F}"/>
    <cellStyle name="Millares [0] 2 6 2 3" xfId="1302" xr:uid="{A0A7A448-94EB-4866-86FF-D9DFC2D9AA1B}"/>
    <cellStyle name="Millares [0] 2 6 2 3 2" xfId="2486" xr:uid="{7C5049B2-3011-4DF2-838B-18A47B07B8C5}"/>
    <cellStyle name="Millares [0] 2 6 2 3 2 2" xfId="4852" xr:uid="{4494FD0C-5A70-404C-ADE0-3FDB82F0DBD2}"/>
    <cellStyle name="Millares [0] 2 6 2 3 3" xfId="3669" xr:uid="{7E52D74A-7B14-46B6-9DC0-B6A490113757}"/>
    <cellStyle name="Millares [0] 2 6 2 4" xfId="1894" xr:uid="{A692ABB7-C646-4E8F-BD6C-AF2EB1315EE9}"/>
    <cellStyle name="Millares [0] 2 6 2 4 2" xfId="4260" xr:uid="{836E11FD-462D-4BD8-BAAD-A3A1487106C9}"/>
    <cellStyle name="Millares [0] 2 6 2 5" xfId="3077" xr:uid="{3DC59912-AD0F-4373-BBC2-97131386F853}"/>
    <cellStyle name="Millares [0] 2 6 3" xfId="763" xr:uid="{B390DCDA-C3B0-40D2-8F56-7D8A8CE5E87C}"/>
    <cellStyle name="Millares [0] 2 6 3 2" xfId="1567" xr:uid="{688B44C4-8425-4929-86AC-C9FE86E0DD32}"/>
    <cellStyle name="Millares [0] 2 6 3 2 2" xfId="2750" xr:uid="{24B679E0-1F6F-46D9-A09D-8091DE7F7EE5}"/>
    <cellStyle name="Millares [0] 2 6 3 2 2 2" xfId="5116" xr:uid="{56AAEFFF-1F9C-48D9-9163-B4EBBB99731D}"/>
    <cellStyle name="Millares [0] 2 6 3 2 3" xfId="3933" xr:uid="{8EE66B0A-2F2F-493A-8B39-F442DA53E18B}"/>
    <cellStyle name="Millares [0] 2 6 3 3" xfId="1949" xr:uid="{0290978C-CFC0-4A6B-88F2-D5EE314CE5C0}"/>
    <cellStyle name="Millares [0] 2 6 3 3 2" xfId="4315" xr:uid="{11706791-B6A8-4F7E-BF1E-4A64C2478142}"/>
    <cellStyle name="Millares [0] 2 6 3 4" xfId="3132" xr:uid="{87893437-7BEC-4B99-ACCF-8811916AAF0B}"/>
    <cellStyle name="Millares [0] 2 6 4" xfId="885" xr:uid="{4CE0658B-12A8-42EF-BC31-22189D2CE1D2}"/>
    <cellStyle name="Millares [0] 2 6 4 2" xfId="1689" xr:uid="{2470D2ED-CC01-4DF3-85E8-D11D033EE37B}"/>
    <cellStyle name="Millares [0] 2 6 4 2 2" xfId="2872" xr:uid="{925B3792-66F2-4878-9333-FF3076465D94}"/>
    <cellStyle name="Millares [0] 2 6 4 2 2 2" xfId="5238" xr:uid="{8BA34256-8875-40AF-B992-D58AA8DDC573}"/>
    <cellStyle name="Millares [0] 2 6 4 2 3" xfId="4055" xr:uid="{C03FA42D-BB0D-42EA-83CC-6F2ED1F721D2}"/>
    <cellStyle name="Millares [0] 2 6 4 3" xfId="2071" xr:uid="{E4F397A5-2173-45B0-B007-8F09AD2A817A}"/>
    <cellStyle name="Millares [0] 2 6 4 3 2" xfId="4437" xr:uid="{64B97776-7AB9-4363-BBAA-20ED239B3996}"/>
    <cellStyle name="Millares [0] 2 6 4 4" xfId="3254" xr:uid="{5ED7509D-AEB1-48DF-859E-E0DA46523F34}"/>
    <cellStyle name="Millares [0] 2 6 5" xfId="1057" xr:uid="{8CF180D7-7B80-44D6-AE10-E3FA383A92A5}"/>
    <cellStyle name="Millares [0] 2 6 5 2" xfId="1477" xr:uid="{F919AE22-7902-412E-BB22-8847EE7E3DD3}"/>
    <cellStyle name="Millares [0] 2 6 5 2 2" xfId="2660" xr:uid="{E5CB3F85-E3DD-4D05-8DC8-B14BDE01E798}"/>
    <cellStyle name="Millares [0] 2 6 5 2 2 2" xfId="5026" xr:uid="{FFC38B7E-5369-4585-9B87-E4EBC5C4E738}"/>
    <cellStyle name="Millares [0] 2 6 5 2 3" xfId="3843" xr:uid="{0C32E55A-E396-425B-B812-6EDBACFA8F5B}"/>
    <cellStyle name="Millares [0] 2 6 5 3" xfId="2242" xr:uid="{D3739822-E28C-4226-A1A0-17E301EE3C2B}"/>
    <cellStyle name="Millares [0] 2 6 5 3 2" xfId="4608" xr:uid="{6E7E4076-2265-4A09-A5EB-9A2CEE759565}"/>
    <cellStyle name="Millares [0] 2 6 5 4" xfId="3425" xr:uid="{EE292781-F799-4BEE-8969-0DAAF7708763}"/>
    <cellStyle name="Millares [0] 2 6 6" xfId="1267" xr:uid="{22FFE708-1758-450E-A879-99E510C3A31D}"/>
    <cellStyle name="Millares [0] 2 6 6 2" xfId="2451" xr:uid="{AAFCEDEB-6427-46B2-873A-85A5C90C5178}"/>
    <cellStyle name="Millares [0] 2 6 6 2 2" xfId="4817" xr:uid="{759ECA78-E711-4779-9910-1CCCDC5A93EB}"/>
    <cellStyle name="Millares [0] 2 6 6 3" xfId="3634" xr:uid="{81BA6062-A307-4D39-A1BD-01C24227443F}"/>
    <cellStyle name="Millares [0] 2 6 7" xfId="1859" xr:uid="{26B02581-CEB2-4ABE-A53C-AF482A612121}"/>
    <cellStyle name="Millares [0] 2 6 7 2" xfId="4225" xr:uid="{3DD54AB0-0AAA-4E81-9393-DF1376214899}"/>
    <cellStyle name="Millares [0] 2 6 8" xfId="3042" xr:uid="{EC5194F1-6EF4-4084-97D0-8A897074FF20}"/>
    <cellStyle name="Millares [0] 2 6 9" xfId="5281" xr:uid="{CA0A3B6A-D085-4A67-81CD-844D247BC05A}"/>
    <cellStyle name="Millares [0] 2 7" xfId="409" xr:uid="{8089C142-4264-4084-9580-65E3B0211335}"/>
    <cellStyle name="Millares [0] 2 7 2" xfId="656" xr:uid="{C46AC8F8-964D-4444-87F2-33EFEF603A23}"/>
    <cellStyle name="Millares [0] 2 7 2 2" xfId="1096" xr:uid="{13A153E9-D821-4F44-8B72-5CB2410475B9}"/>
    <cellStyle name="Millares [0] 2 7 2 2 2" xfId="1516" xr:uid="{69EF5C8E-FEA5-4389-8469-021C6C3C44DC}"/>
    <cellStyle name="Millares [0] 2 7 2 2 2 2" xfId="2699" xr:uid="{8087202E-64A3-49EF-BD73-9A030B9F3466}"/>
    <cellStyle name="Millares [0] 2 7 2 2 2 2 2" xfId="5065" xr:uid="{F7D37B50-0866-44CC-A8C9-E17DB5F91BC5}"/>
    <cellStyle name="Millares [0] 2 7 2 2 2 3" xfId="3882" xr:uid="{E3FB21AA-8C99-4C52-8BF2-A8B430036E13}"/>
    <cellStyle name="Millares [0] 2 7 2 2 3" xfId="2281" xr:uid="{8F3FFC3C-53BE-4B6C-8B77-0AE7DAE4A0BB}"/>
    <cellStyle name="Millares [0] 2 7 2 2 3 2" xfId="4647" xr:uid="{6FD73CAA-BBB6-4A63-AECE-C8F72573E4F7}"/>
    <cellStyle name="Millares [0] 2 7 2 2 4" xfId="3464" xr:uid="{61085131-7BA4-4024-BC08-D08F9BF76FBE}"/>
    <cellStyle name="Millares [0] 2 7 2 3" xfId="1306" xr:uid="{409DBEB8-E653-43A2-BD07-63C14818D02D}"/>
    <cellStyle name="Millares [0] 2 7 2 3 2" xfId="2490" xr:uid="{16C140D6-B1C5-41A4-AAA2-51B8E2826149}"/>
    <cellStyle name="Millares [0] 2 7 2 3 2 2" xfId="4856" xr:uid="{E249ACB4-F3E7-44E2-9FDE-E77BE46F5622}"/>
    <cellStyle name="Millares [0] 2 7 2 3 3" xfId="3673" xr:uid="{CFEDCE1E-DA33-48E6-AF06-5776C1E3BF00}"/>
    <cellStyle name="Millares [0] 2 7 2 4" xfId="1898" xr:uid="{CD03E213-2422-4593-AE3A-EBEE34E4C8DA}"/>
    <cellStyle name="Millares [0] 2 7 2 4 2" xfId="4264" xr:uid="{C8788756-E9E6-4CBA-9AD0-22D0356F7F73}"/>
    <cellStyle name="Millares [0] 2 7 2 5" xfId="3081" xr:uid="{093F4740-7DBD-4588-95F2-83AF6F4D56A9}"/>
    <cellStyle name="Millares [0] 2 7 3" xfId="767" xr:uid="{5A7B784F-271A-424B-86CB-481D93512FE0}"/>
    <cellStyle name="Millares [0] 2 7 3 2" xfId="1571" xr:uid="{4BE79664-C2B8-47D2-8EC8-867F8346C670}"/>
    <cellStyle name="Millares [0] 2 7 3 2 2" xfId="2754" xr:uid="{525FCBBD-01FC-4350-9A0D-19352E85CE48}"/>
    <cellStyle name="Millares [0] 2 7 3 2 2 2" xfId="5120" xr:uid="{81996FFC-F96B-446C-B428-5426F9661036}"/>
    <cellStyle name="Millares [0] 2 7 3 2 3" xfId="3937" xr:uid="{3043CFB2-3438-4138-B715-23A2EC8BEF78}"/>
    <cellStyle name="Millares [0] 2 7 3 3" xfId="1953" xr:uid="{1146684D-7BA5-49FF-85F6-B40130674E11}"/>
    <cellStyle name="Millares [0] 2 7 3 3 2" xfId="4319" xr:uid="{297BE777-2633-43A9-8A31-199C80EE3AF6}"/>
    <cellStyle name="Millares [0] 2 7 3 4" xfId="3136" xr:uid="{70593005-A20A-4CDA-8CDF-B25C41763DD7}"/>
    <cellStyle name="Millares [0] 2 7 4" xfId="1061" xr:uid="{14C2F3CD-C639-4B30-B1B2-B6AB0EA9F587}"/>
    <cellStyle name="Millares [0] 2 7 4 2" xfId="1481" xr:uid="{9050B843-240B-4641-BA0E-4D62E8A86CD8}"/>
    <cellStyle name="Millares [0] 2 7 4 2 2" xfId="2664" xr:uid="{FB9EC45E-E511-417C-B2F2-68429AD153D0}"/>
    <cellStyle name="Millares [0] 2 7 4 2 2 2" xfId="5030" xr:uid="{38C33930-4851-4E90-92AD-D2AD28CB0E48}"/>
    <cellStyle name="Millares [0] 2 7 4 2 3" xfId="3847" xr:uid="{D6125498-79C1-46DE-BDDA-2A0ED74053CF}"/>
    <cellStyle name="Millares [0] 2 7 4 3" xfId="2246" xr:uid="{EAD30141-B527-448E-A03D-6F354638C975}"/>
    <cellStyle name="Millares [0] 2 7 4 3 2" xfId="4612" xr:uid="{E901C07D-D1DF-4559-93AC-5EE73FC7313B}"/>
    <cellStyle name="Millares [0] 2 7 4 4" xfId="3429" xr:uid="{4BBBD84D-A16E-44B0-A601-AB4E3C66A65D}"/>
    <cellStyle name="Millares [0] 2 7 5" xfId="1271" xr:uid="{5BF87099-EDAE-4EDE-9E94-46814B091DAB}"/>
    <cellStyle name="Millares [0] 2 7 5 2" xfId="2455" xr:uid="{4AA6F418-3B91-415C-83B0-7F90E39DB0EE}"/>
    <cellStyle name="Millares [0] 2 7 5 2 2" xfId="4821" xr:uid="{7243C00E-E3B1-4FF7-BBB7-748E86048FAD}"/>
    <cellStyle name="Millares [0] 2 7 5 3" xfId="3638" xr:uid="{5EDBAA03-899D-44C6-A320-1F3E0A702426}"/>
    <cellStyle name="Millares [0] 2 7 6" xfId="1863" xr:uid="{899DC639-C9DE-4522-9FB9-4F91A26D1A8D}"/>
    <cellStyle name="Millares [0] 2 7 6 2" xfId="4229" xr:uid="{8462BCE6-FE08-44FD-BDA3-04887FF682BC}"/>
    <cellStyle name="Millares [0] 2 7 7" xfId="3046" xr:uid="{825497B6-471E-406F-B1FB-BAC74F21048D}"/>
    <cellStyle name="Millares [0] 2 7 8" xfId="5317" xr:uid="{2BC6B3DF-221B-4A96-BF84-FF7E6BD0AB7A}"/>
    <cellStyle name="Millares [0] 2 8" xfId="491" xr:uid="{3B87BC1E-76E2-4165-80DF-BB02B40A08BC}"/>
    <cellStyle name="Millares [0] 2 8 2" xfId="1069" xr:uid="{C7AE967F-7DDE-4F8D-B510-6677684A92F6}"/>
    <cellStyle name="Millares [0] 2 8 2 2" xfId="1489" xr:uid="{4BAD1BC3-B3BB-43EE-8E0D-2266354FF2D8}"/>
    <cellStyle name="Millares [0] 2 8 2 2 2" xfId="2672" xr:uid="{8E4C5089-CD9E-4E17-9731-0AD70AE8BE08}"/>
    <cellStyle name="Millares [0] 2 8 2 2 2 2" xfId="5038" xr:uid="{CE083059-8E66-4407-8431-270389B21CBD}"/>
    <cellStyle name="Millares [0] 2 8 2 2 3" xfId="3855" xr:uid="{A051ABC1-2C68-49C5-A0B2-6298F689F299}"/>
    <cellStyle name="Millares [0] 2 8 2 3" xfId="2254" xr:uid="{987BD80E-1C6B-4E0C-96CF-18670C87BC51}"/>
    <cellStyle name="Millares [0] 2 8 2 3 2" xfId="4620" xr:uid="{D2750682-CE23-4E6F-83CA-2C2B616C323D}"/>
    <cellStyle name="Millares [0] 2 8 2 4" xfId="3437" xr:uid="{69FD0ABD-5055-41FE-BE9E-F8069D488EDC}"/>
    <cellStyle name="Millares [0] 2 8 3" xfId="1279" xr:uid="{5251E8C2-D773-40BB-BABB-5DC533507C68}"/>
    <cellStyle name="Millares [0] 2 8 3 2" xfId="2463" xr:uid="{997A93E5-6CEE-480B-ABDE-288ECC9C1082}"/>
    <cellStyle name="Millares [0] 2 8 3 2 2" xfId="4829" xr:uid="{5BA7804B-5EA3-4ED6-A459-BE58DB3748D3}"/>
    <cellStyle name="Millares [0] 2 8 3 3" xfId="3646" xr:uid="{0E76098F-9C9E-4218-BFAD-A8FB1F5F2ED1}"/>
    <cellStyle name="Millares [0] 2 8 4" xfId="1871" xr:uid="{862E0412-F17E-4041-AD1E-56E9113F68F1}"/>
    <cellStyle name="Millares [0] 2 8 4 2" xfId="4237" xr:uid="{9DC55883-F7F8-405C-AE25-8CDD53160BEA}"/>
    <cellStyle name="Millares [0] 2 8 5" xfId="3054" xr:uid="{8FDA69FF-B655-431F-AF69-2F0C086CBD9F}"/>
    <cellStyle name="Millares [0] 2 8 6" xfId="5343" xr:uid="{A3EF7D57-672C-4F1F-B32D-119FF1F900DE}"/>
    <cellStyle name="Millares [0] 2 9" xfId="244" xr:uid="{05879CBD-55AC-4FA2-B6EA-4378E4F88134}"/>
    <cellStyle name="Millares [0] 2 9 2" xfId="1034" xr:uid="{E8593C84-E633-4F9F-BDDF-3F222E85C193}"/>
    <cellStyle name="Millares [0] 2 9 2 2" xfId="1454" xr:uid="{63C7D180-E301-4DC9-B289-4CFD7A6036C7}"/>
    <cellStyle name="Millares [0] 2 9 2 2 2" xfId="2637" xr:uid="{623B9D9F-32C6-4955-B8C9-4DF37840051E}"/>
    <cellStyle name="Millares [0] 2 9 2 2 2 2" xfId="5003" xr:uid="{BD32502D-4988-4A47-BED3-6A9BF7BF1719}"/>
    <cellStyle name="Millares [0] 2 9 2 2 3" xfId="3820" xr:uid="{B5C97581-4ADA-49FC-B313-441A9F645ED1}"/>
    <cellStyle name="Millares [0] 2 9 2 3" xfId="2219" xr:uid="{CA2C4B3E-D165-48E8-8F7F-B3FF0E14AF31}"/>
    <cellStyle name="Millares [0] 2 9 2 3 2" xfId="4585" xr:uid="{538D0CBE-C1E1-4650-AB31-9D666F6494AE}"/>
    <cellStyle name="Millares [0] 2 9 2 4" xfId="3402" xr:uid="{F98B591A-BF7D-4363-B849-73EB3CED9812}"/>
    <cellStyle name="Millares [0] 2 9 3" xfId="1244" xr:uid="{6AE7861D-EFC6-44AB-8118-C30727EDB04E}"/>
    <cellStyle name="Millares [0] 2 9 3 2" xfId="2428" xr:uid="{3AFBCC3D-2929-4610-B391-544BD9F0A72C}"/>
    <cellStyle name="Millares [0] 2 9 3 2 2" xfId="4794" xr:uid="{12B5049D-069B-4515-B023-E8A32345108D}"/>
    <cellStyle name="Millares [0] 2 9 3 3" xfId="3611" xr:uid="{565EF597-7118-44BA-813F-21FD60B7C927}"/>
    <cellStyle name="Millares [0] 2 9 4" xfId="1836" xr:uid="{A075E817-C6A1-4076-A52E-7E9A0CB76F61}"/>
    <cellStyle name="Millares [0] 2 9 4 2" xfId="4202" xr:uid="{A3B18E7E-3667-4C20-A98E-3FD040B0C4D3}"/>
    <cellStyle name="Millares [0] 2 9 5" xfId="3019" xr:uid="{2F534A80-A484-4814-9B42-ADE2B22528DF}"/>
    <cellStyle name="Millares [0] 2 9 6" xfId="5366" xr:uid="{86CBF042-0B67-491F-A44F-73C6A93A43D1}"/>
    <cellStyle name="Millares [0] 20" xfId="772" xr:uid="{9524CB04-7C24-49A2-8A95-2AD6B0D7E7CF}"/>
    <cellStyle name="Millares [0] 20 2" xfId="1576" xr:uid="{D9405436-C106-4FF1-A591-80820579F8C5}"/>
    <cellStyle name="Millares [0] 20 2 2" xfId="2759" xr:uid="{2473C5DB-06FA-4FDA-AF3A-7D136D0C7823}"/>
    <cellStyle name="Millares [0] 20 2 2 2" xfId="5125" xr:uid="{D2CE3644-2F56-40DD-A8D7-762CAE83D266}"/>
    <cellStyle name="Millares [0] 20 2 3" xfId="3942" xr:uid="{98006104-A8B5-4BD8-9B1F-930801C67329}"/>
    <cellStyle name="Millares [0] 20 3" xfId="1958" xr:uid="{993C26B4-79CE-4AC4-B469-9F10DBCE90B2}"/>
    <cellStyle name="Millares [0] 20 3 2" xfId="4324" xr:uid="{47658244-42E6-4F22-ADCF-06911F80ED4E}"/>
    <cellStyle name="Millares [0] 20 4" xfId="3141" xr:uid="{0D06367D-0C9C-40E7-BAFB-0ECE52C08487}"/>
    <cellStyle name="Millares [0] 21" xfId="913" xr:uid="{5E402F6D-404F-464B-99D9-CAA745BF7BBC}"/>
    <cellStyle name="Millares [0] 21 2" xfId="1334" xr:uid="{713ED706-76F9-4D59-998B-A9BA277977D1}"/>
    <cellStyle name="Millares [0] 21 2 2" xfId="2518" xr:uid="{220F72BD-5D28-4E1E-B71E-CB2EDD2A397C}"/>
    <cellStyle name="Millares [0] 21 2 2 2" xfId="4884" xr:uid="{71B73FE3-4C75-4E66-BAA0-2F80F32588C5}"/>
    <cellStyle name="Millares [0] 21 2 3" xfId="3701" xr:uid="{C6C3ADAE-100A-417E-915D-C921512DC9C4}"/>
    <cellStyle name="Millares [0] 21 3" xfId="2099" xr:uid="{094AC423-A8F5-42CB-BDDB-AE54B4608CDF}"/>
    <cellStyle name="Millares [0] 21 3 2" xfId="4465" xr:uid="{1C17E135-DFC4-4152-9EAC-2BA3D5D02178}"/>
    <cellStyle name="Millares [0] 21 4" xfId="3282" xr:uid="{679BC034-A781-4272-9F5B-3B325E899B7C}"/>
    <cellStyle name="Millares [0] 22" xfId="914" xr:uid="{3780C7F8-5383-4624-A83D-0C48F905538C}"/>
    <cellStyle name="Millares [0] 22 2" xfId="2100" xr:uid="{DC96DCC0-8B74-4ADF-BBDB-504A57371608}"/>
    <cellStyle name="Millares [0] 22 2 2" xfId="4466" xr:uid="{8EC96640-9CD0-4C0F-A61E-74CB5524B1C9}"/>
    <cellStyle name="Millares [0] 22 3" xfId="3283" xr:uid="{54B1BBDC-12EB-43CC-9B95-B62AC99A71AC}"/>
    <cellStyle name="Millares [0] 23" xfId="1124" xr:uid="{26C183FE-5BBC-4319-A1BA-C0E00D1844FF}"/>
    <cellStyle name="Millares [0] 23 2" xfId="2309" xr:uid="{EC922FD7-F970-40B4-8484-987BB4226B09}"/>
    <cellStyle name="Millares [0] 23 2 2" xfId="4675" xr:uid="{20D79FE7-8D47-4B35-BA93-30FB23DEAB10}"/>
    <cellStyle name="Millares [0] 23 3" xfId="3492" xr:uid="{6A69122F-8DAF-4D9E-8505-7ED0D9FE069B}"/>
    <cellStyle name="Millares [0] 24" xfId="1717" xr:uid="{6E71FC36-A189-42FB-AF5E-D2783E128859}"/>
    <cellStyle name="Millares [0] 24 2" xfId="4083" xr:uid="{283DE2B3-D338-42C0-A7B3-4A49906858C3}"/>
    <cellStyle name="Millares [0] 25" xfId="2900" xr:uid="{EADBC0C9-C591-4996-8403-8FF4B9B8AAC6}"/>
    <cellStyle name="Millares [0] 26" xfId="5267" xr:uid="{832A892A-3B34-46E0-A559-F0F750EC5AC8}"/>
    <cellStyle name="Millares [0] 27" xfId="5268" xr:uid="{2D009D00-92C2-48F9-B531-CB08D5244104}"/>
    <cellStyle name="Millares [0] 28" xfId="5521" xr:uid="{0F4BDE27-7A6E-4EE0-9497-63FA3361F99B}"/>
    <cellStyle name="Millares [0] 29" xfId="5522" xr:uid="{25DBA915-8D35-4E17-9199-317321B96658}"/>
    <cellStyle name="Millares [0] 3" xfId="56" xr:uid="{00000000-0005-0000-0000-00002A000000}"/>
    <cellStyle name="Millares [0] 3 10" xfId="64" xr:uid="{27E7C5C7-2109-4BD3-A5FB-269E95DCE746}"/>
    <cellStyle name="Millares [0] 3 10 2" xfId="921" xr:uid="{0D4E5E56-4DA1-44EC-A076-43DA906A8D04}"/>
    <cellStyle name="Millares [0] 3 10 2 2" xfId="1341" xr:uid="{77AFE327-41F2-484E-A6E8-B957753C8D3B}"/>
    <cellStyle name="Millares [0] 3 10 2 2 2" xfId="2525" xr:uid="{094D49C9-983B-4A94-8A71-D0F52E30A291}"/>
    <cellStyle name="Millares [0] 3 10 2 2 2 2" xfId="4891" xr:uid="{A8B9E6E2-59EA-4980-AD38-E3299D2F6665}"/>
    <cellStyle name="Millares [0] 3 10 2 2 3" xfId="3708" xr:uid="{DC3514F7-9B4E-4C02-95CD-81F7C9660A2B}"/>
    <cellStyle name="Millares [0] 3 10 2 3" xfId="2107" xr:uid="{01DCBCAD-B01F-4E03-A099-A22C247F439B}"/>
    <cellStyle name="Millares [0] 3 10 2 3 2" xfId="4473" xr:uid="{64C105BC-C493-49BD-B153-7E89BE759FD4}"/>
    <cellStyle name="Millares [0] 3 10 2 4" xfId="3290" xr:uid="{8FE41195-902A-4DBD-9782-238A07A75C67}"/>
    <cellStyle name="Millares [0] 3 10 3" xfId="1131" xr:uid="{6659DC69-586D-474C-8B41-7E9EFF4594C5}"/>
    <cellStyle name="Millares [0] 3 10 3 2" xfId="2316" xr:uid="{CEDEB461-A53E-4311-816B-1725A12ED09A}"/>
    <cellStyle name="Millares [0] 3 10 3 2 2" xfId="4682" xr:uid="{F9B2792A-2FFC-4A22-9B53-93A98112C7DC}"/>
    <cellStyle name="Millares [0] 3 10 3 3" xfId="3499" xr:uid="{688C5803-28D7-470E-90B2-FA74F2DF63CB}"/>
    <cellStyle name="Millares [0] 3 10 4" xfId="1724" xr:uid="{69630AC3-D65E-466D-A75B-D57206241C00}"/>
    <cellStyle name="Millares [0] 3 10 4 2" xfId="4090" xr:uid="{93E476E3-623C-4F76-8416-B02B53CCA0FE}"/>
    <cellStyle name="Millares [0] 3 10 5" xfId="2907" xr:uid="{53443C51-869C-45FE-85A8-F99ADCA6AD51}"/>
    <cellStyle name="Millares [0] 3 11" xfId="247" xr:uid="{9D496828-BFA2-4CBD-A844-BB9A9828F02F}"/>
    <cellStyle name="Millares [0] 3 11 2" xfId="1036" xr:uid="{010E1B92-97B0-41AC-BB09-E19A61E943CC}"/>
    <cellStyle name="Millares [0] 3 11 2 2" xfId="1456" xr:uid="{57E041B4-8080-4CE4-B027-A8A0440FD9B8}"/>
    <cellStyle name="Millares [0] 3 11 2 2 2" xfId="2639" xr:uid="{F6F908E1-5F68-48D2-808C-E59B38A3357B}"/>
    <cellStyle name="Millares [0] 3 11 2 2 2 2" xfId="5005" xr:uid="{9822EDAB-C5D5-449F-A034-DC32BD569554}"/>
    <cellStyle name="Millares [0] 3 11 2 2 3" xfId="3822" xr:uid="{FB19BF01-A9D7-41B2-BCFC-8CAACE7B405E}"/>
    <cellStyle name="Millares [0] 3 11 2 3" xfId="2221" xr:uid="{488D26F0-6ECF-4403-9F2A-AE7AD30CCA58}"/>
    <cellStyle name="Millares [0] 3 11 2 3 2" xfId="4587" xr:uid="{56B5D670-3487-452A-995A-F277AE6FE89C}"/>
    <cellStyle name="Millares [0] 3 11 2 4" xfId="3404" xr:uid="{061B1B5A-05CA-49C6-8A3F-F1B24DF0106B}"/>
    <cellStyle name="Millares [0] 3 11 3" xfId="1246" xr:uid="{57537628-E693-40D4-AB0F-6B7A94D4F86E}"/>
    <cellStyle name="Millares [0] 3 11 3 2" xfId="2430" xr:uid="{AD1094DA-35AC-48D8-952D-E5816DCB9BA0}"/>
    <cellStyle name="Millares [0] 3 11 3 2 2" xfId="4796" xr:uid="{A0BE37EF-D879-4F62-9902-D855A8B1C2FB}"/>
    <cellStyle name="Millares [0] 3 11 3 3" xfId="3613" xr:uid="{B11E3277-CBE5-4135-A097-1504B6F9A986}"/>
    <cellStyle name="Millares [0] 3 11 4" xfId="1838" xr:uid="{B31D8D93-56CC-4698-B492-1791ED6DC2F8}"/>
    <cellStyle name="Millares [0] 3 11 4 2" xfId="4204" xr:uid="{B3DE733C-1D38-404B-B2F4-0AA409378D25}"/>
    <cellStyle name="Millares [0] 3 11 5" xfId="3021" xr:uid="{8E802E4A-1589-4F27-9307-0CDF462D1067}"/>
    <cellStyle name="Millares [0] 3 12" xfId="742" xr:uid="{23CE8831-10F6-4B8A-AF03-98ECC0A53C47}"/>
    <cellStyle name="Millares [0] 3 12 2" xfId="1546" xr:uid="{5A6124B9-05D8-4104-AE1C-0FF106319070}"/>
    <cellStyle name="Millares [0] 3 12 2 2" xfId="2729" xr:uid="{936D50AC-84A0-4B7C-BF19-8AE2F199E5B8}"/>
    <cellStyle name="Millares [0] 3 12 2 2 2" xfId="5095" xr:uid="{F12FF41B-B86F-41A3-A506-CC1D4408F63D}"/>
    <cellStyle name="Millares [0] 3 12 2 3" xfId="3912" xr:uid="{3C3220B7-6006-4387-A602-3B274EAD14BB}"/>
    <cellStyle name="Millares [0] 3 12 3" xfId="1928" xr:uid="{C617AB3F-DF3E-4C61-9D92-BE6FF81B0918}"/>
    <cellStyle name="Millares [0] 3 12 3 2" xfId="4294" xr:uid="{39F754A9-DAD3-44BB-A35D-38EE06A99513}"/>
    <cellStyle name="Millares [0] 3 12 4" xfId="3111" xr:uid="{91F3DBAC-CA1B-408C-8287-7150806F0BC6}"/>
    <cellStyle name="Millares [0] 3 13" xfId="774" xr:uid="{7BDDFD05-7048-4714-9C99-2B6E210103BA}"/>
    <cellStyle name="Millares [0] 3 13 2" xfId="1578" xr:uid="{7BED51F4-A98F-4BE3-B912-9382163BE1AC}"/>
    <cellStyle name="Millares [0] 3 13 2 2" xfId="2761" xr:uid="{1EEA39C8-369A-4E4D-B3CE-05B33D3AEBD1}"/>
    <cellStyle name="Millares [0] 3 13 2 2 2" xfId="5127" xr:uid="{DF2D0565-10F7-40C0-9457-9898B055E52B}"/>
    <cellStyle name="Millares [0] 3 13 2 3" xfId="3944" xr:uid="{36A4BC42-FEA0-41A8-B322-D8E1DC9F1D21}"/>
    <cellStyle name="Millares [0] 3 13 3" xfId="1960" xr:uid="{8C57A402-6BE0-492A-B54E-1FD7D2DE8788}"/>
    <cellStyle name="Millares [0] 3 13 3 2" xfId="4326" xr:uid="{245EE3A8-A00E-4088-B78D-403688472AF0}"/>
    <cellStyle name="Millares [0] 3 13 4" xfId="3143" xr:uid="{95726BED-4B6A-45A9-94B0-EB6C02AA66FA}"/>
    <cellStyle name="Millares [0] 3 14" xfId="917" xr:uid="{166662D6-A0DA-4E16-991E-B50424EAA262}"/>
    <cellStyle name="Millares [0] 3 14 2" xfId="1337" xr:uid="{2041EBF6-1414-4238-BEF7-DFC9FEE0F56A}"/>
    <cellStyle name="Millares [0] 3 14 2 2" xfId="2521" xr:uid="{BF2C6516-391B-41CA-9B0F-C2FE845150FD}"/>
    <cellStyle name="Millares [0] 3 14 2 2 2" xfId="4887" xr:uid="{1A6EA448-0925-44E0-8CC4-3CBAD0AF15AC}"/>
    <cellStyle name="Millares [0] 3 14 2 3" xfId="3704" xr:uid="{B09A095A-2105-45D7-B5F5-BEDC01683A8F}"/>
    <cellStyle name="Millares [0] 3 14 3" xfId="2103" xr:uid="{C8504601-5B30-47F4-AB52-80E6E442786D}"/>
    <cellStyle name="Millares [0] 3 14 3 2" xfId="4469" xr:uid="{4C08FC08-239C-4793-8081-FC0B4548BD6A}"/>
    <cellStyle name="Millares [0] 3 14 4" xfId="3286" xr:uid="{C5BD6B97-E9C5-4C32-A4F0-D9436FE6BD8F}"/>
    <cellStyle name="Millares [0] 3 15" xfId="1127" xr:uid="{D9D1AA1F-2730-4731-B683-39D6AAD4BFC3}"/>
    <cellStyle name="Millares [0] 3 15 2" xfId="2312" xr:uid="{8CE08777-F55D-4760-97D5-C5B10EF5FA86}"/>
    <cellStyle name="Millares [0] 3 15 2 2" xfId="4678" xr:uid="{3E42F4A2-70D9-47ED-B7B4-6182C30BD0EF}"/>
    <cellStyle name="Millares [0] 3 15 3" xfId="3495" xr:uid="{B9D8F38D-D620-4DA7-AA9B-F5455FE4674D}"/>
    <cellStyle name="Millares [0] 3 16" xfId="1720" xr:uid="{0A70DD66-9026-4184-9FD2-BDEBB9C9A6AA}"/>
    <cellStyle name="Millares [0] 3 16 2" xfId="4086" xr:uid="{DFDAA7D1-85F6-425D-9E78-BABBC1FEA1E9}"/>
    <cellStyle name="Millares [0] 3 17" xfId="2903" xr:uid="{75386D15-0284-474D-86D4-2604776DE883}"/>
    <cellStyle name="Millares [0] 3 18" xfId="5287" xr:uid="{9E478E51-925F-4D4A-9F30-92E6E28EF82C}"/>
    <cellStyle name="Millares [0] 3 2" xfId="120" xr:uid="{2752B5B7-591E-4816-AA25-8924128D35F7}"/>
    <cellStyle name="Millares [0] 3 2 10" xfId="1158" xr:uid="{ADC34440-8B93-404A-9533-01AA9F6E89D0}"/>
    <cellStyle name="Millares [0] 3 2 10 2" xfId="2343" xr:uid="{CEB985C0-AE23-4069-91DD-FB21C6FD546B}"/>
    <cellStyle name="Millares [0] 3 2 10 2 2" xfId="4709" xr:uid="{251C1E01-4FFF-445F-9C54-4C2C6090C777}"/>
    <cellStyle name="Millares [0] 3 2 10 3" xfId="3526" xr:uid="{A810178D-662E-4C34-A3AE-FAF3655109D9}"/>
    <cellStyle name="Millares [0] 3 2 11" xfId="1751" xr:uid="{6CE0B65B-EE32-4CDD-9362-63F802658A94}"/>
    <cellStyle name="Millares [0] 3 2 11 2" xfId="4117" xr:uid="{5DEC3337-D0A5-43BE-8790-4483AFFBA418}"/>
    <cellStyle name="Millares [0] 3 2 12" xfId="2934" xr:uid="{847DB5CB-BF1A-482D-986F-27AF8535483A}"/>
    <cellStyle name="Millares [0] 3 2 13" xfId="5310" xr:uid="{55F5E7CC-33B2-45D9-A7C6-84283672827F}"/>
    <cellStyle name="Millares [0] 3 2 2" xfId="215" xr:uid="{787282D7-4001-496D-81B0-AA6AC59691C5}"/>
    <cellStyle name="Millares [0] 3 2 2 10" xfId="5336" xr:uid="{981E1C01-F273-4FCE-A045-E56E47DE3278}"/>
    <cellStyle name="Millares [0] 3 2 2 2" xfId="547" xr:uid="{9E6FBBAA-D224-4931-9701-2B0D96BA1298}"/>
    <cellStyle name="Millares [0] 3 2 2 2 2" xfId="1080" xr:uid="{476664EC-1396-42D6-8356-EBF6458BA292}"/>
    <cellStyle name="Millares [0] 3 2 2 2 2 2" xfId="1500" xr:uid="{EDBEAF9F-57B5-4FF1-8D24-E73ECA2F8248}"/>
    <cellStyle name="Millares [0] 3 2 2 2 2 2 2" xfId="2683" xr:uid="{81C73701-D3CF-4A72-9075-F953838DD5B4}"/>
    <cellStyle name="Millares [0] 3 2 2 2 2 2 2 2" xfId="5049" xr:uid="{256875D9-F8DE-47AA-A1F0-591096264C2D}"/>
    <cellStyle name="Millares [0] 3 2 2 2 2 2 3" xfId="3866" xr:uid="{4C5CD720-080C-46D5-AB0E-D92724556EF6}"/>
    <cellStyle name="Millares [0] 3 2 2 2 2 3" xfId="2265" xr:uid="{EA7E6D37-415C-4285-8396-F086BD512D05}"/>
    <cellStyle name="Millares [0] 3 2 2 2 2 3 2" xfId="4631" xr:uid="{FF7A6AD8-4B7B-454D-AFB9-7F86DE9BCB5C}"/>
    <cellStyle name="Millares [0] 3 2 2 2 2 4" xfId="3448" xr:uid="{053DF479-43B8-45F6-AB7B-498736055F4D}"/>
    <cellStyle name="Millares [0] 3 2 2 2 3" xfId="1290" xr:uid="{D3E520A8-4BC9-43E1-9295-90F8E869037A}"/>
    <cellStyle name="Millares [0] 3 2 2 2 3 2" xfId="2474" xr:uid="{5590DFD2-C88D-4321-9477-7D1D48B6E140}"/>
    <cellStyle name="Millares [0] 3 2 2 2 3 2 2" xfId="4840" xr:uid="{59A68F46-629A-4F78-ABAC-23C52222D20E}"/>
    <cellStyle name="Millares [0] 3 2 2 2 3 3" xfId="3657" xr:uid="{03FDC3BD-7A18-4361-8CC7-4F321619ACF6}"/>
    <cellStyle name="Millares [0] 3 2 2 2 4" xfId="1882" xr:uid="{7367BC99-4147-414B-A140-DAEB322AE2F7}"/>
    <cellStyle name="Millares [0] 3 2 2 2 4 2" xfId="4248" xr:uid="{A843F48A-D666-4E08-9FAE-0235D707BE28}"/>
    <cellStyle name="Millares [0] 3 2 2 2 5" xfId="3065" xr:uid="{1BE2CED1-CE75-4F85-BEBD-CFDE1D39AF6A}"/>
    <cellStyle name="Millares [0] 3 2 2 3" xfId="300" xr:uid="{D39ABE97-A1F7-44A2-8C01-810A6CAE5CB0}"/>
    <cellStyle name="Millares [0] 3 2 2 3 2" xfId="1045" xr:uid="{98451029-FFB8-4778-BED7-92DBFBD7B0BA}"/>
    <cellStyle name="Millares [0] 3 2 2 3 2 2" xfId="1465" xr:uid="{5F775C0C-A1CF-448C-9303-A5E200E903BB}"/>
    <cellStyle name="Millares [0] 3 2 2 3 2 2 2" xfId="2648" xr:uid="{4388FBCC-68CF-4F20-BB2D-C9348CA4B894}"/>
    <cellStyle name="Millares [0] 3 2 2 3 2 2 2 2" xfId="5014" xr:uid="{289EF994-9040-48FA-B0CC-4FBAA141AFDC}"/>
    <cellStyle name="Millares [0] 3 2 2 3 2 2 3" xfId="3831" xr:uid="{21706910-6AC8-4AD1-B234-3D7B153C8457}"/>
    <cellStyle name="Millares [0] 3 2 2 3 2 3" xfId="2230" xr:uid="{FA84ABAE-DC95-4FC9-8F94-AA77F4123285}"/>
    <cellStyle name="Millares [0] 3 2 2 3 2 3 2" xfId="4596" xr:uid="{ACBB69B6-D187-4E90-B211-0138DBBE2E4B}"/>
    <cellStyle name="Millares [0] 3 2 2 3 2 4" xfId="3413" xr:uid="{DBB9BCFC-AA2F-4C6C-976B-CF1B28FCDB28}"/>
    <cellStyle name="Millares [0] 3 2 2 3 3" xfId="1255" xr:uid="{06F0117D-B2B4-47AB-AE79-C3CDA45EB48C}"/>
    <cellStyle name="Millares [0] 3 2 2 3 3 2" xfId="2439" xr:uid="{7EA34876-809F-47D8-AD0D-45FB1CB4DD12}"/>
    <cellStyle name="Millares [0] 3 2 2 3 3 2 2" xfId="4805" xr:uid="{0415F836-7BA1-4E44-AAB9-51B0FE9CC99F}"/>
    <cellStyle name="Millares [0] 3 2 2 3 3 3" xfId="3622" xr:uid="{DB8228CE-101F-4CF1-B7A6-1D4C81743CFB}"/>
    <cellStyle name="Millares [0] 3 2 2 3 4" xfId="1847" xr:uid="{4AD6B992-B308-4739-9F1F-372CCCB38C5D}"/>
    <cellStyle name="Millares [0] 3 2 2 3 4 2" xfId="4213" xr:uid="{03A2306F-F462-4A0A-985D-9C0AD2A9F675}"/>
    <cellStyle name="Millares [0] 3 2 2 3 5" xfId="3030" xr:uid="{6042E61F-6559-41E2-968E-4AAA2D0779EA}"/>
    <cellStyle name="Millares [0] 3 2 2 4" xfId="751" xr:uid="{506AAEC4-9F2D-4084-9992-F83D5AD1AE3B}"/>
    <cellStyle name="Millares [0] 3 2 2 4 2" xfId="1555" xr:uid="{0B620B9E-D651-4375-8AC5-B0881D111E26}"/>
    <cellStyle name="Millares [0] 3 2 2 4 2 2" xfId="2738" xr:uid="{B60F7FFF-44B3-41E3-985B-46656FDD9E59}"/>
    <cellStyle name="Millares [0] 3 2 2 4 2 2 2" xfId="5104" xr:uid="{84B2750E-24D0-4E1B-A58D-CE0401CED072}"/>
    <cellStyle name="Millares [0] 3 2 2 4 2 3" xfId="3921" xr:uid="{D85D2A46-09C8-4769-B257-9A7EDD18D839}"/>
    <cellStyle name="Millares [0] 3 2 2 4 3" xfId="1937" xr:uid="{E6B1BF0D-68E3-405B-9214-527EFDA1FBD6}"/>
    <cellStyle name="Millares [0] 3 2 2 4 3 2" xfId="4303" xr:uid="{19DF6035-5E9D-4602-82F1-53BB4849CAB8}"/>
    <cellStyle name="Millares [0] 3 2 2 4 4" xfId="3120" xr:uid="{D4A645D2-7608-4600-84C1-A78CC59444AC}"/>
    <cellStyle name="Millares [0] 3 2 2 5" xfId="813" xr:uid="{2DFA2550-22B6-4CEB-A0A2-878F312302FB}"/>
    <cellStyle name="Millares [0] 3 2 2 5 2" xfId="1617" xr:uid="{66189ED5-96CF-443A-914C-E19BC77B2847}"/>
    <cellStyle name="Millares [0] 3 2 2 5 2 2" xfId="2800" xr:uid="{0AE7B913-4C20-42B0-ABC0-3CCA9B3E20CE}"/>
    <cellStyle name="Millares [0] 3 2 2 5 2 2 2" xfId="5166" xr:uid="{4360199D-C0BA-4A14-A5D9-9B332FC9DE67}"/>
    <cellStyle name="Millares [0] 3 2 2 5 2 3" xfId="3983" xr:uid="{327C88C7-6AE1-4172-8136-3BD93462BF0C}"/>
    <cellStyle name="Millares [0] 3 2 2 5 3" xfId="1999" xr:uid="{791E32A4-38AD-47F2-920E-6743ADC794BB}"/>
    <cellStyle name="Millares [0] 3 2 2 5 3 2" xfId="4365" xr:uid="{2962A1CD-DC19-4966-AF3E-DCFC87F2254E}"/>
    <cellStyle name="Millares [0] 3 2 2 5 4" xfId="3182" xr:uid="{C07035D6-275B-4BD9-8888-4666192EB6A7}"/>
    <cellStyle name="Millares [0] 3 2 2 6" xfId="1017" xr:uid="{AB0E1938-0D26-4E91-B0E8-D7222CA81AC2}"/>
    <cellStyle name="Millares [0] 3 2 2 6 2" xfId="1437" xr:uid="{51445AAE-94DF-4150-9828-C4CB9488C445}"/>
    <cellStyle name="Millares [0] 3 2 2 6 2 2" xfId="2621" xr:uid="{DDF531B4-C858-455D-8537-2B9571492E20}"/>
    <cellStyle name="Millares [0] 3 2 2 6 2 2 2" xfId="4987" xr:uid="{E29658DB-8048-417B-BE42-E4649828F6FF}"/>
    <cellStyle name="Millares [0] 3 2 2 6 2 3" xfId="3804" xr:uid="{8FAF0F9D-E279-487E-9BF3-0F127BCB20B0}"/>
    <cellStyle name="Millares [0] 3 2 2 6 3" xfId="2203" xr:uid="{8ED7BB75-2F1F-4234-821A-9B078BE951FF}"/>
    <cellStyle name="Millares [0] 3 2 2 6 3 2" xfId="4569" xr:uid="{F8FBD622-7249-44BD-B18E-2E819C422503}"/>
    <cellStyle name="Millares [0] 3 2 2 6 4" xfId="3386" xr:uid="{6B68D0D2-059C-4776-93C4-809D3236BDDF}"/>
    <cellStyle name="Millares [0] 3 2 2 7" xfId="1227" xr:uid="{79CB2B85-A2E3-493C-A93E-00968868C048}"/>
    <cellStyle name="Millares [0] 3 2 2 7 2" xfId="2412" xr:uid="{0D137CB4-4CB0-4752-8147-65B789796644}"/>
    <cellStyle name="Millares [0] 3 2 2 7 2 2" xfId="4778" xr:uid="{CA9C7B5C-AF78-4548-853E-29325D5B920D}"/>
    <cellStyle name="Millares [0] 3 2 2 7 3" xfId="3595" xr:uid="{9149488F-6CEA-424E-B77B-45D1A2B89FED}"/>
    <cellStyle name="Millares [0] 3 2 2 8" xfId="1820" xr:uid="{A9E8ADA7-D16F-409E-9117-D133F0303999}"/>
    <cellStyle name="Millares [0] 3 2 2 8 2" xfId="4186" xr:uid="{39C83F5C-9154-462D-9ED6-550BC7DA1F52}"/>
    <cellStyle name="Millares [0] 3 2 2 9" xfId="3003" xr:uid="{FB44F05F-6B19-43FF-87E8-2C3CCEA060EF}"/>
    <cellStyle name="Millares [0] 3 2 3" xfId="168" xr:uid="{82C2B9CD-7B54-4E71-965B-CA0FC84B5588}"/>
    <cellStyle name="Millares [0] 3 2 3 10" xfId="5360" xr:uid="{A8616BCD-B76C-46E6-92EA-A9DDE29F63D7}"/>
    <cellStyle name="Millares [0] 3 2 3 2" xfId="576" xr:uid="{25E8D2B0-8329-4C8D-9870-161A0BAC51F8}"/>
    <cellStyle name="Millares [0] 3 2 3 2 2" xfId="1086" xr:uid="{A1B81647-C6D3-4EB3-A90E-2F9E9FA9C0FC}"/>
    <cellStyle name="Millares [0] 3 2 3 2 2 2" xfId="1506" xr:uid="{46378764-886E-4EED-B0EB-E64CC71364A3}"/>
    <cellStyle name="Millares [0] 3 2 3 2 2 2 2" xfId="2689" xr:uid="{AD4F186A-CF6F-4A07-8059-E45301656849}"/>
    <cellStyle name="Millares [0] 3 2 3 2 2 2 2 2" xfId="5055" xr:uid="{2C9A5136-F862-47CD-A1EE-341FD2BF16F5}"/>
    <cellStyle name="Millares [0] 3 2 3 2 2 2 3" xfId="3872" xr:uid="{D5DF700F-E8A1-4B93-8E28-8EF6B8F19896}"/>
    <cellStyle name="Millares [0] 3 2 3 2 2 3" xfId="2271" xr:uid="{2F3E630A-EC87-4A96-90EE-C294C15ABEEC}"/>
    <cellStyle name="Millares [0] 3 2 3 2 2 3 2" xfId="4637" xr:uid="{D2D2588E-555E-40A0-ACF5-6453D6CB3DF3}"/>
    <cellStyle name="Millares [0] 3 2 3 2 2 4" xfId="3454" xr:uid="{B7BEE32F-F2B7-42F5-97FD-E1E86D5D6532}"/>
    <cellStyle name="Millares [0] 3 2 3 2 3" xfId="1296" xr:uid="{767E15EA-9304-4AFC-B30A-5408F1F4B489}"/>
    <cellStyle name="Millares [0] 3 2 3 2 3 2" xfId="2480" xr:uid="{BB0852E9-1341-40FB-84F4-9107682C7A9D}"/>
    <cellStyle name="Millares [0] 3 2 3 2 3 2 2" xfId="4846" xr:uid="{CCB127D5-CC94-4785-82CA-71B72F1624DE}"/>
    <cellStyle name="Millares [0] 3 2 3 2 3 3" xfId="3663" xr:uid="{72A3713E-659C-4494-8111-C3D8BA2FD79C}"/>
    <cellStyle name="Millares [0] 3 2 3 2 4" xfId="1888" xr:uid="{876330B6-106F-48E3-AFEE-7427B50D24D1}"/>
    <cellStyle name="Millares [0] 3 2 3 2 4 2" xfId="4254" xr:uid="{15C0CCDB-6D10-41B7-B662-2D3C39CA7818}"/>
    <cellStyle name="Millares [0] 3 2 3 2 5" xfId="3071" xr:uid="{4D6324C1-C499-4918-8586-FAD2464555C5}"/>
    <cellStyle name="Millares [0] 3 2 3 3" xfId="327" xr:uid="{DFE93A3A-EAB7-4F17-985D-78E20590AC48}"/>
    <cellStyle name="Millares [0] 3 2 3 3 2" xfId="1051" xr:uid="{915A4993-C17C-4954-9782-E6607050B5C2}"/>
    <cellStyle name="Millares [0] 3 2 3 3 2 2" xfId="1471" xr:uid="{500725F0-FE6F-40FB-8FCA-F901A8AB0AA5}"/>
    <cellStyle name="Millares [0] 3 2 3 3 2 2 2" xfId="2654" xr:uid="{0F35AD1B-FE8E-4D46-B0B2-33E7C044893B}"/>
    <cellStyle name="Millares [0] 3 2 3 3 2 2 2 2" xfId="5020" xr:uid="{4C8AB5EC-4451-4B82-8783-C7A616E9C552}"/>
    <cellStyle name="Millares [0] 3 2 3 3 2 2 3" xfId="3837" xr:uid="{E822CE61-E0F9-41FB-A6F2-0211CA2F78FB}"/>
    <cellStyle name="Millares [0] 3 2 3 3 2 3" xfId="2236" xr:uid="{96CA9F53-D788-4583-ADB1-F31F2DA8B74B}"/>
    <cellStyle name="Millares [0] 3 2 3 3 2 3 2" xfId="4602" xr:uid="{AEB64369-0118-41D4-BFD7-F22121C42F43}"/>
    <cellStyle name="Millares [0] 3 2 3 3 2 4" xfId="3419" xr:uid="{E1CA57A9-9C87-4FE6-8DAE-F8AA7D041EDE}"/>
    <cellStyle name="Millares [0] 3 2 3 3 3" xfId="1261" xr:uid="{EEB8CC1B-6DF8-4898-9868-9DAA458D0A7C}"/>
    <cellStyle name="Millares [0] 3 2 3 3 3 2" xfId="2445" xr:uid="{A7E37DC6-6308-43AD-B5E5-96E79FEFF587}"/>
    <cellStyle name="Millares [0] 3 2 3 3 3 2 2" xfId="4811" xr:uid="{F84E8F65-A2D7-4DFC-94D6-D7E687B4EA30}"/>
    <cellStyle name="Millares [0] 3 2 3 3 3 3" xfId="3628" xr:uid="{A41A0D6D-63FE-4958-B79D-FEF28EC166CA}"/>
    <cellStyle name="Millares [0] 3 2 3 3 4" xfId="1853" xr:uid="{479EAAF2-D47E-4F1E-A0FB-E78FA98A4040}"/>
    <cellStyle name="Millares [0] 3 2 3 3 4 2" xfId="4219" xr:uid="{FA79318B-3FBC-48B3-87C4-B6CC47432E5A}"/>
    <cellStyle name="Millares [0] 3 2 3 3 5" xfId="3036" xr:uid="{B98DA079-8D1B-4263-9103-9E325D754699}"/>
    <cellStyle name="Millares [0] 3 2 3 4" xfId="757" xr:uid="{C9875596-01C0-4DAC-AF5E-EF48339FE9B4}"/>
    <cellStyle name="Millares [0] 3 2 3 4 2" xfId="1561" xr:uid="{631B5EF2-867A-4D60-83F0-5A11B2D7A500}"/>
    <cellStyle name="Millares [0] 3 2 3 4 2 2" xfId="2744" xr:uid="{219512C1-C063-4DFD-8C3D-81E42D183793}"/>
    <cellStyle name="Millares [0] 3 2 3 4 2 2 2" xfId="5110" xr:uid="{501B7745-1544-4CB4-B219-B6435B69DF56}"/>
    <cellStyle name="Millares [0] 3 2 3 4 2 3" xfId="3927" xr:uid="{22C35221-73EB-4AA8-AC98-73F04259F42D}"/>
    <cellStyle name="Millares [0] 3 2 3 4 3" xfId="1943" xr:uid="{2D8F376B-AA9E-4A0A-9111-4C46E9924602}"/>
    <cellStyle name="Millares [0] 3 2 3 4 3 2" xfId="4309" xr:uid="{976A7D61-CBF6-4FD1-A366-0F94B02412EB}"/>
    <cellStyle name="Millares [0] 3 2 3 4 4" xfId="3126" xr:uid="{EFF29E27-046F-4AD7-A78D-7F3A18C3D8CC}"/>
    <cellStyle name="Millares [0] 3 2 3 5" xfId="841" xr:uid="{7DCD0F65-C89C-4DC3-BFA9-48B5A20AF59E}"/>
    <cellStyle name="Millares [0] 3 2 3 5 2" xfId="1645" xr:uid="{6B385B41-B789-4991-80D4-051C429BDB15}"/>
    <cellStyle name="Millares [0] 3 2 3 5 2 2" xfId="2828" xr:uid="{E077C8BD-F31C-4584-BECC-BAA419EE601D}"/>
    <cellStyle name="Millares [0] 3 2 3 5 2 2 2" xfId="5194" xr:uid="{FFC868D8-2764-420B-B2FE-B2AB61233372}"/>
    <cellStyle name="Millares [0] 3 2 3 5 2 3" xfId="4011" xr:uid="{4C6EFEC6-C7DF-4C76-B88E-D794E0988197}"/>
    <cellStyle name="Millares [0] 3 2 3 5 3" xfId="2027" xr:uid="{84AB92E6-62C1-4595-9FF5-75FD880D7EC6}"/>
    <cellStyle name="Millares [0] 3 2 3 5 3 2" xfId="4393" xr:uid="{7457792C-ABAD-4554-97F4-A30CB0B6849F}"/>
    <cellStyle name="Millares [0] 3 2 3 5 4" xfId="3210" xr:uid="{68F71A56-E9C0-48D9-9150-0A63359E5020}"/>
    <cellStyle name="Millares [0] 3 2 3 6" xfId="975" xr:uid="{45FF85EA-FD26-4D50-B9CA-C6AFCDED0A73}"/>
    <cellStyle name="Millares [0] 3 2 3 6 2" xfId="1395" xr:uid="{886480EB-208D-4EEF-A4E7-A7CAAE980FA2}"/>
    <cellStyle name="Millares [0] 3 2 3 6 2 2" xfId="2579" xr:uid="{EC52C9BC-A6F1-4916-A93A-A56B5410D0E6}"/>
    <cellStyle name="Millares [0] 3 2 3 6 2 2 2" xfId="4945" xr:uid="{DC2D656C-BE40-4B59-A1C7-F0F236B1B1CA}"/>
    <cellStyle name="Millares [0] 3 2 3 6 2 3" xfId="3762" xr:uid="{8ADE6CCB-A96A-4DCB-BE4B-F3AF750DEF59}"/>
    <cellStyle name="Millares [0] 3 2 3 6 3" xfId="2161" xr:uid="{D0CD5FE6-632E-43D9-B452-C6AC3F2999CF}"/>
    <cellStyle name="Millares [0] 3 2 3 6 3 2" xfId="4527" xr:uid="{085EC968-973C-456D-9FA3-CC2FBAC83AE2}"/>
    <cellStyle name="Millares [0] 3 2 3 6 4" xfId="3344" xr:uid="{07826C34-4392-4806-A5AB-06BCAA9789A7}"/>
    <cellStyle name="Millares [0] 3 2 3 7" xfId="1185" xr:uid="{F2D6B21A-BA86-4CA8-9A6E-4C7E76BB1B69}"/>
    <cellStyle name="Millares [0] 3 2 3 7 2" xfId="2370" xr:uid="{179B1942-4374-4848-A5EA-CB8D70F4AB12}"/>
    <cellStyle name="Millares [0] 3 2 3 7 2 2" xfId="4736" xr:uid="{3759029C-A4D9-4858-A905-70CB32F6F559}"/>
    <cellStyle name="Millares [0] 3 2 3 7 3" xfId="3553" xr:uid="{95821FE3-8884-49EA-92ED-AE4B9B580343}"/>
    <cellStyle name="Millares [0] 3 2 3 8" xfId="1778" xr:uid="{E29459CE-0568-4E79-AD90-4E26BF11008D}"/>
    <cellStyle name="Millares [0] 3 2 3 8 2" xfId="4144" xr:uid="{37027C35-28BA-4C03-AE3C-2F4A57A8D5D9}"/>
    <cellStyle name="Millares [0] 3 2 3 9" xfId="2961" xr:uid="{4A6BE2DF-F989-4A58-837A-8E3EB766D33F}"/>
    <cellStyle name="Millares [0] 3 2 4" xfId="440" xr:uid="{BBD23198-BE15-45FA-98C3-3388037A43A9}"/>
    <cellStyle name="Millares [0] 3 2 4 2" xfId="680" xr:uid="{876517FF-F2FE-4FDE-A6CE-04FBCDB0EBE0}"/>
    <cellStyle name="Millares [0] 3 2 4 2 2" xfId="1100" xr:uid="{F3AEFEC7-E326-49F5-BF33-19B8941FEFAE}"/>
    <cellStyle name="Millares [0] 3 2 4 2 2 2" xfId="1520" xr:uid="{B4DC47DB-1721-4425-89C6-79BE38110DC4}"/>
    <cellStyle name="Millares [0] 3 2 4 2 2 2 2" xfId="2703" xr:uid="{EBBC8631-8C2E-4EF9-B2F4-8458FD74FE48}"/>
    <cellStyle name="Millares [0] 3 2 4 2 2 2 2 2" xfId="5069" xr:uid="{90CE996B-678E-4ABB-8860-AF0448495E7E}"/>
    <cellStyle name="Millares [0] 3 2 4 2 2 2 3" xfId="3886" xr:uid="{C5CA82C9-56A0-4105-85D6-C0FD9F81B9D0}"/>
    <cellStyle name="Millares [0] 3 2 4 2 2 3" xfId="2285" xr:uid="{089F5441-C32E-4ACE-B84A-5B3180C86FB9}"/>
    <cellStyle name="Millares [0] 3 2 4 2 2 3 2" xfId="4651" xr:uid="{B464187D-5E77-4BC2-B49F-D7EEC160CBE5}"/>
    <cellStyle name="Millares [0] 3 2 4 2 2 4" xfId="3468" xr:uid="{26D6DF53-9424-42A3-A557-4495EC96B6FE}"/>
    <cellStyle name="Millares [0] 3 2 4 2 3" xfId="1310" xr:uid="{B6240BCE-0C41-403B-9118-06E0997865E6}"/>
    <cellStyle name="Millares [0] 3 2 4 2 3 2" xfId="2494" xr:uid="{0DF30E25-CA34-4E69-B1CB-62E2D2283A4B}"/>
    <cellStyle name="Millares [0] 3 2 4 2 3 2 2" xfId="4860" xr:uid="{A83298F3-ECC5-4667-94EE-186A5258F338}"/>
    <cellStyle name="Millares [0] 3 2 4 2 3 3" xfId="3677" xr:uid="{B71C9CB8-A75C-4E05-914E-74E80CA03D03}"/>
    <cellStyle name="Millares [0] 3 2 4 2 4" xfId="1902" xr:uid="{CAE55224-57B2-4279-8CD3-7666754291A9}"/>
    <cellStyle name="Millares [0] 3 2 4 2 4 2" xfId="4268" xr:uid="{E6DCBA48-2729-48DB-A00E-65827AF5CDA6}"/>
    <cellStyle name="Millares [0] 3 2 4 2 5" xfId="3085" xr:uid="{622E4D51-9DB2-447C-9051-9A5E9FEA7C68}"/>
    <cellStyle name="Millares [0] 3 2 4 3" xfId="771" xr:uid="{343DE66D-5AA9-4812-86DD-36879EC08D1D}"/>
    <cellStyle name="Millares [0] 3 2 4 3 2" xfId="1575" xr:uid="{B96F1D33-A0BE-4FDD-BFDC-EE963455F952}"/>
    <cellStyle name="Millares [0] 3 2 4 3 2 2" xfId="2758" xr:uid="{9C01EFE9-BE06-44D7-8112-853F555B3435}"/>
    <cellStyle name="Millares [0] 3 2 4 3 2 2 2" xfId="5124" xr:uid="{1BE73959-FAC9-4E7E-B87D-BA983E90CB66}"/>
    <cellStyle name="Millares [0] 3 2 4 3 2 3" xfId="3941" xr:uid="{8EAFE054-8417-48AA-85F6-1EC44E43D5A8}"/>
    <cellStyle name="Millares [0] 3 2 4 3 3" xfId="1957" xr:uid="{CB1B8F21-EF52-45FF-83FF-0791E4B3D0EA}"/>
    <cellStyle name="Millares [0] 3 2 4 3 3 2" xfId="4323" xr:uid="{0EA07F00-B705-4448-90D0-79DE2FFF5A1B}"/>
    <cellStyle name="Millares [0] 3 2 4 3 4" xfId="3140" xr:uid="{E9AF4517-AC1C-400E-B0A8-2B2C7D779309}"/>
    <cellStyle name="Millares [0] 3 2 4 4" xfId="869" xr:uid="{5286E048-D763-4279-925E-F071A70E79C7}"/>
    <cellStyle name="Millares [0] 3 2 4 4 2" xfId="1673" xr:uid="{A26F4909-5506-4AF1-AA6E-F5D0B7024302}"/>
    <cellStyle name="Millares [0] 3 2 4 4 2 2" xfId="2856" xr:uid="{A82D1A98-5243-45F2-9849-ECB1E76C97AB}"/>
    <cellStyle name="Millares [0] 3 2 4 4 2 2 2" xfId="5222" xr:uid="{91FEBBA4-4CDC-4181-BAE2-54C2D258807C}"/>
    <cellStyle name="Millares [0] 3 2 4 4 2 3" xfId="4039" xr:uid="{7C929EFC-C0F6-4954-946B-A40FB83079BA}"/>
    <cellStyle name="Millares [0] 3 2 4 4 3" xfId="2055" xr:uid="{F86B56F0-38F9-4853-87E9-B6BB5BAC5912}"/>
    <cellStyle name="Millares [0] 3 2 4 4 3 2" xfId="4421" xr:uid="{64979011-8D2B-4018-A92C-B5EA8F8A9292}"/>
    <cellStyle name="Millares [0] 3 2 4 4 4" xfId="3238" xr:uid="{031791D3-B7D8-47EC-AFD3-F202D9A4476C}"/>
    <cellStyle name="Millares [0] 3 2 4 5" xfId="1065" xr:uid="{BB889A14-F169-4D53-AD1C-85BDF5458FAA}"/>
    <cellStyle name="Millares [0] 3 2 4 5 2" xfId="1485" xr:uid="{B2009B88-F046-4F11-970B-BFF5C8DDE796}"/>
    <cellStyle name="Millares [0] 3 2 4 5 2 2" xfId="2668" xr:uid="{21EEC24B-5927-471B-A405-91E156FA6BE6}"/>
    <cellStyle name="Millares [0] 3 2 4 5 2 2 2" xfId="5034" xr:uid="{84260E84-0AFD-47B6-9BBC-67FA84576CA1}"/>
    <cellStyle name="Millares [0] 3 2 4 5 2 3" xfId="3851" xr:uid="{51EE1BF6-3CD5-4BB0-B13C-DFEACC85DBEF}"/>
    <cellStyle name="Millares [0] 3 2 4 5 3" xfId="2250" xr:uid="{2B0FA483-95B1-42AD-8D5F-E702D6743F51}"/>
    <cellStyle name="Millares [0] 3 2 4 5 3 2" xfId="4616" xr:uid="{0B2AAE5A-3646-41EA-B579-3E7DDC19FA32}"/>
    <cellStyle name="Millares [0] 3 2 4 5 4" xfId="3433" xr:uid="{E6B6370C-EE47-43DE-BF8B-EE3C3D2C8AEF}"/>
    <cellStyle name="Millares [0] 3 2 4 6" xfId="1275" xr:uid="{46387FA6-B9B3-4962-8357-0F4A99C4BC3B}"/>
    <cellStyle name="Millares [0] 3 2 4 6 2" xfId="2459" xr:uid="{503AA2E7-E716-40EC-83E3-657A39928C5F}"/>
    <cellStyle name="Millares [0] 3 2 4 6 2 2" xfId="4825" xr:uid="{03B88D43-4BAF-4B2D-B029-5512CD3EF2BA}"/>
    <cellStyle name="Millares [0] 3 2 4 6 3" xfId="3642" xr:uid="{4480BF1B-DAE7-4BD7-9482-12165AA024F4}"/>
    <cellStyle name="Millares [0] 3 2 4 7" xfId="1867" xr:uid="{D5F3CFC4-DE6F-4206-A5D2-C843773C89BE}"/>
    <cellStyle name="Millares [0] 3 2 4 7 2" xfId="4233" xr:uid="{DB158254-8BE9-4B4D-9A80-86E7AD455C1E}"/>
    <cellStyle name="Millares [0] 3 2 4 8" xfId="3050" xr:uid="{078201CD-92F4-4C60-A41A-713A4721C2E4}"/>
    <cellStyle name="Millares [0] 3 2 4 9" xfId="5385" xr:uid="{51B5ECF2-59BA-430A-A9AD-CBDA7ED65D96}"/>
    <cellStyle name="Millares [0] 3 2 5" xfId="520" xr:uid="{74CCDA41-1144-440D-B241-A871AE97AFA9}"/>
    <cellStyle name="Millares [0] 3 2 5 2" xfId="897" xr:uid="{FB219AF0-9173-42ED-A9B0-774BBA4B54CB}"/>
    <cellStyle name="Millares [0] 3 2 5 2 2" xfId="1701" xr:uid="{14AB9F75-DEA9-4099-9FF7-630DE29D45A7}"/>
    <cellStyle name="Millares [0] 3 2 5 2 2 2" xfId="2884" xr:uid="{DA6BB237-7DB0-43B4-AA2E-76343C0E31E0}"/>
    <cellStyle name="Millares [0] 3 2 5 2 2 2 2" xfId="5250" xr:uid="{FED45492-4A6B-45E5-BDAA-06A0C7E6566F}"/>
    <cellStyle name="Millares [0] 3 2 5 2 2 3" xfId="4067" xr:uid="{DDCC511F-99F5-4E6C-B7C0-26D1038E2F13}"/>
    <cellStyle name="Millares [0] 3 2 5 2 3" xfId="2083" xr:uid="{52203167-A686-4645-A174-79464ADFEFCD}"/>
    <cellStyle name="Millares [0] 3 2 5 2 3 2" xfId="4449" xr:uid="{571EA998-E750-441F-AA76-68ECF0685900}"/>
    <cellStyle name="Millares [0] 3 2 5 2 4" xfId="3266" xr:uid="{279BB296-0169-427F-B90B-0DDEF6856B8E}"/>
    <cellStyle name="Millares [0] 3 2 5 3" xfId="1074" xr:uid="{FA7DD88C-D2C0-4A57-B854-A821A023BD0D}"/>
    <cellStyle name="Millares [0] 3 2 5 3 2" xfId="1494" xr:uid="{151A6571-4EC6-4903-8AB8-5CC3C536AB35}"/>
    <cellStyle name="Millares [0] 3 2 5 3 2 2" xfId="2677" xr:uid="{51DF7566-87DC-4C8C-AB6D-DE8921B738AE}"/>
    <cellStyle name="Millares [0] 3 2 5 3 2 2 2" xfId="5043" xr:uid="{5D9AE97A-18F1-47BC-8A64-2B24CA73894A}"/>
    <cellStyle name="Millares [0] 3 2 5 3 2 3" xfId="3860" xr:uid="{E3B6B568-4B3D-42DF-BB46-C57636F73B56}"/>
    <cellStyle name="Millares [0] 3 2 5 3 3" xfId="2259" xr:uid="{A0248033-EEE1-44AC-B6DF-268FECD6CA0F}"/>
    <cellStyle name="Millares [0] 3 2 5 3 3 2" xfId="4625" xr:uid="{021D1A58-1FFB-4CBB-B5CF-43235F109E6F}"/>
    <cellStyle name="Millares [0] 3 2 5 3 4" xfId="3442" xr:uid="{355E11D8-2805-4F98-92CF-D34859470094}"/>
    <cellStyle name="Millares [0] 3 2 5 4" xfId="1284" xr:uid="{44AB2113-5FCB-436D-9DC7-2D1DB5BD5BCD}"/>
    <cellStyle name="Millares [0] 3 2 5 4 2" xfId="2468" xr:uid="{B36F0F30-759B-48E1-8E19-94BE4FF5BC7C}"/>
    <cellStyle name="Millares [0] 3 2 5 4 2 2" xfId="4834" xr:uid="{AFCD7676-2D5C-42B1-8F3E-BA0252A351F9}"/>
    <cellStyle name="Millares [0] 3 2 5 4 3" xfId="3651" xr:uid="{94C41536-1AAD-4963-BB9C-4D4FB2859261}"/>
    <cellStyle name="Millares [0] 3 2 5 5" xfId="1876" xr:uid="{6232EFF1-C930-4763-8CD0-4E750FF7EFC0}"/>
    <cellStyle name="Millares [0] 3 2 5 5 2" xfId="4242" xr:uid="{5A958F52-BC23-42CA-85D1-D533E33CA031}"/>
    <cellStyle name="Millares [0] 3 2 5 6" xfId="3059" xr:uid="{F7A47746-0AE4-4EDD-A771-619CC5453189}"/>
    <cellStyle name="Millares [0] 3 2 5 7" xfId="5410" xr:uid="{2BC346B8-4EF3-4184-9918-EDFCBEC053EC}"/>
    <cellStyle name="Millares [0] 3 2 6" xfId="273" xr:uid="{89FAA130-554D-4B29-9FDB-99D35F5EF4F4}"/>
    <cellStyle name="Millares [0] 3 2 6 2" xfId="1039" xr:uid="{A279429F-8D6E-4329-8760-24E6C935EB11}"/>
    <cellStyle name="Millares [0] 3 2 6 2 2" xfId="1459" xr:uid="{2E3590FF-C055-47EF-A66E-1A01DCC28D45}"/>
    <cellStyle name="Millares [0] 3 2 6 2 2 2" xfId="2642" xr:uid="{5325B84F-EE73-4527-BD04-56BDCFEF7527}"/>
    <cellStyle name="Millares [0] 3 2 6 2 2 2 2" xfId="5008" xr:uid="{FA78A2C1-6E5A-4D7A-92FA-9A4AD411AF0F}"/>
    <cellStyle name="Millares [0] 3 2 6 2 2 3" xfId="3825" xr:uid="{FD5880AC-5029-464C-8C19-E31843F33DAA}"/>
    <cellStyle name="Millares [0] 3 2 6 2 3" xfId="2224" xr:uid="{26D533C4-AEAE-43D8-A35F-F3178D7164B7}"/>
    <cellStyle name="Millares [0] 3 2 6 2 3 2" xfId="4590" xr:uid="{2A8BA7B2-D744-4D34-A164-EB0F1E4F2DB5}"/>
    <cellStyle name="Millares [0] 3 2 6 2 4" xfId="3407" xr:uid="{82F7E60B-226F-402C-9B90-4A5F342BEFB2}"/>
    <cellStyle name="Millares [0] 3 2 6 3" xfId="1249" xr:uid="{20FB5FF0-FFB9-42AA-8410-60ED04169873}"/>
    <cellStyle name="Millares [0] 3 2 6 3 2" xfId="2433" xr:uid="{26971B6C-6580-4C5E-B4F4-EBBDDD9F1A03}"/>
    <cellStyle name="Millares [0] 3 2 6 3 2 2" xfId="4799" xr:uid="{2E180EE3-C32F-4A5B-9CD2-A83300684A15}"/>
    <cellStyle name="Millares [0] 3 2 6 3 3" xfId="3616" xr:uid="{6017433E-ABD4-4CDA-9387-4095E9A2966D}"/>
    <cellStyle name="Millares [0] 3 2 6 4" xfId="1841" xr:uid="{26194D01-6C37-4E81-89BC-AA91F4B9D365}"/>
    <cellStyle name="Millares [0] 3 2 6 4 2" xfId="4207" xr:uid="{2A0C2CEE-7AFC-47E9-95A3-76A84E4A18C2}"/>
    <cellStyle name="Millares [0] 3 2 6 5" xfId="3024" xr:uid="{EAEAA558-B7F2-410F-8D20-95FFC426D326}"/>
    <cellStyle name="Millares [0] 3 2 6 6" xfId="5435" xr:uid="{88781D97-174D-4DCD-9531-E925BFFB4B25}"/>
    <cellStyle name="Millares [0] 3 2 7" xfId="745" xr:uid="{F2F93B36-9B01-4630-B12A-B84082B3F255}"/>
    <cellStyle name="Millares [0] 3 2 7 2" xfId="1549" xr:uid="{A37C37A1-4B78-42C2-A703-F5EFAD70779C}"/>
    <cellStyle name="Millares [0] 3 2 7 2 2" xfId="2732" xr:uid="{288ABB1F-4A6C-4F34-A160-B39079F3C910}"/>
    <cellStyle name="Millares [0] 3 2 7 2 2 2" xfId="5098" xr:uid="{A26226D5-5C01-4C4C-898B-D11FC1C56D78}"/>
    <cellStyle name="Millares [0] 3 2 7 2 3" xfId="3915" xr:uid="{DFEAED9E-D4C5-4439-83D4-F2CF438BD2B6}"/>
    <cellStyle name="Millares [0] 3 2 7 3" xfId="1931" xr:uid="{D417BC06-3A71-4D21-9730-39D90D0213B9}"/>
    <cellStyle name="Millares [0] 3 2 7 3 2" xfId="4297" xr:uid="{B0F8E9ED-EA12-4757-8EFE-221170D61FBB}"/>
    <cellStyle name="Millares [0] 3 2 7 4" xfId="3114" xr:uid="{B105DDAE-4F1A-40BC-91A8-26567E81A1AA}"/>
    <cellStyle name="Millares [0] 3 2 7 5" xfId="5461" xr:uid="{751322A2-97A3-4875-983B-724CCAF8357C}"/>
    <cellStyle name="Millares [0] 3 2 8" xfId="785" xr:uid="{C630176B-CF7C-4657-8EC0-ED37B1B2AFF9}"/>
    <cellStyle name="Millares [0] 3 2 8 2" xfId="1589" xr:uid="{B1176A58-14D6-4068-8044-F9BA034AB20E}"/>
    <cellStyle name="Millares [0] 3 2 8 2 2" xfId="2772" xr:uid="{B9DED421-E4B6-4B28-98B2-26E022C4CE95}"/>
    <cellStyle name="Millares [0] 3 2 8 2 2 2" xfId="5138" xr:uid="{49A3A44D-9FF0-47BE-B9B1-80C52BA33E63}"/>
    <cellStyle name="Millares [0] 3 2 8 2 3" xfId="3955" xr:uid="{E12A6994-48E4-4B95-BA94-A260093AA228}"/>
    <cellStyle name="Millares [0] 3 2 8 3" xfId="1971" xr:uid="{EAF1C59B-5BA8-45D9-BA28-67177BA21B81}"/>
    <cellStyle name="Millares [0] 3 2 8 3 2" xfId="4337" xr:uid="{5027CD25-7F10-4035-ADDF-D483F0C145C6}"/>
    <cellStyle name="Millares [0] 3 2 8 4" xfId="3154" xr:uid="{037B72E2-6C79-419E-B88D-00F0653A679E}"/>
    <cellStyle name="Millares [0] 3 2 8 5" xfId="5487" xr:uid="{8B26DE90-C7C0-4866-8C5A-51110F5B1C9C}"/>
    <cellStyle name="Millares [0] 3 2 9" xfId="948" xr:uid="{5679695D-EBE0-44D4-9F07-2F4E09FE21F9}"/>
    <cellStyle name="Millares [0] 3 2 9 2" xfId="1368" xr:uid="{FBF606E1-69A0-4E29-91AB-9C03994B8E74}"/>
    <cellStyle name="Millares [0] 3 2 9 2 2" xfId="2552" xr:uid="{BD6F4821-1E20-49D0-9FCD-4247AE3A0E92}"/>
    <cellStyle name="Millares [0] 3 2 9 2 2 2" xfId="4918" xr:uid="{DAED3CF1-FC0A-467D-A982-861A3DC5062E}"/>
    <cellStyle name="Millares [0] 3 2 9 2 3" xfId="3735" xr:uid="{1411EB34-AAD2-4349-8274-65E533BFFAF5}"/>
    <cellStyle name="Millares [0] 3 2 9 3" xfId="2134" xr:uid="{F2013140-A70E-468E-AECC-E4EE05D76573}"/>
    <cellStyle name="Millares [0] 3 2 9 3 2" xfId="4500" xr:uid="{3E47A414-02B6-49DA-BC4A-30D0B277106C}"/>
    <cellStyle name="Millares [0] 3 2 9 4" xfId="3317" xr:uid="{E4BAA455-D64D-4994-BF35-B1461F49F857}"/>
    <cellStyle name="Millares [0] 3 3" xfId="203" xr:uid="{D2B15B86-F3A6-414F-B9ED-8AB373E9ADEB}"/>
    <cellStyle name="Millares [0] 3 3 10" xfId="5320" xr:uid="{592D64F6-91F5-4A66-8AA1-3BD6AE1B6FFE}"/>
    <cellStyle name="Millares [0] 3 3 2" xfId="544" xr:uid="{6F43CE8B-B70C-4E4A-91C7-9C906DE3CCED}"/>
    <cellStyle name="Millares [0] 3 3 2 2" xfId="1077" xr:uid="{91231B23-B152-46F4-B477-6EFDCFEBB45A}"/>
    <cellStyle name="Millares [0] 3 3 2 2 2" xfId="1497" xr:uid="{2692701C-ECE0-4D7A-AD43-BF6698F0F091}"/>
    <cellStyle name="Millares [0] 3 3 2 2 2 2" xfId="2680" xr:uid="{1D11B41C-C35C-46C8-85AF-3FDE0BC47DF5}"/>
    <cellStyle name="Millares [0] 3 3 2 2 2 2 2" xfId="5046" xr:uid="{A7EB01EB-A46A-45A4-BD70-653CC9578293}"/>
    <cellStyle name="Millares [0] 3 3 2 2 2 3" xfId="3863" xr:uid="{7081B38A-F883-4EC9-817F-3C4DD5C4161F}"/>
    <cellStyle name="Millares [0] 3 3 2 2 3" xfId="2262" xr:uid="{2D014986-3B8D-429F-92E1-C4823D9B2B47}"/>
    <cellStyle name="Millares [0] 3 3 2 2 3 2" xfId="4628" xr:uid="{23DA39FF-A2A0-4233-A4E0-2F3219E5CC14}"/>
    <cellStyle name="Millares [0] 3 3 2 2 4" xfId="3445" xr:uid="{456DD243-5881-4637-BE5C-D050F6BB2901}"/>
    <cellStyle name="Millares [0] 3 3 2 3" xfId="1287" xr:uid="{46343D4C-46D7-44D3-BE72-362E4E8762C1}"/>
    <cellStyle name="Millares [0] 3 3 2 3 2" xfId="2471" xr:uid="{5A5F9706-5B09-48D3-A7A5-C3753D43D1DC}"/>
    <cellStyle name="Millares [0] 3 3 2 3 2 2" xfId="4837" xr:uid="{DF3B88A4-21AA-4A6D-B20C-BADAF0E8FD59}"/>
    <cellStyle name="Millares [0] 3 3 2 3 3" xfId="3654" xr:uid="{BE3D0FCD-722A-4594-A5F4-154A4435CA54}"/>
    <cellStyle name="Millares [0] 3 3 2 4" xfId="1879" xr:uid="{6D145E8A-EE6C-4453-A9E4-068FC03318F6}"/>
    <cellStyle name="Millares [0] 3 3 2 4 2" xfId="4245" xr:uid="{B972FF59-E7A7-4559-B3BC-303F20860F0D}"/>
    <cellStyle name="Millares [0] 3 3 2 5" xfId="3062" xr:uid="{FE2059B8-25D3-41EE-B346-95F37D861F6E}"/>
    <cellStyle name="Millares [0] 3 3 3" xfId="297" xr:uid="{5E95D265-CACD-4D53-B55E-CBFE35872C86}"/>
    <cellStyle name="Millares [0] 3 3 3 2" xfId="1042" xr:uid="{56A5FA65-8B48-4186-81E2-729F17B47F60}"/>
    <cellStyle name="Millares [0] 3 3 3 2 2" xfId="1462" xr:uid="{10BAFEE1-26A1-4844-83A8-D5D3EFDD1C78}"/>
    <cellStyle name="Millares [0] 3 3 3 2 2 2" xfId="2645" xr:uid="{9D83B4A9-0774-43BC-886E-0F9E337B7534}"/>
    <cellStyle name="Millares [0] 3 3 3 2 2 2 2" xfId="5011" xr:uid="{043AE9FA-1F34-4E47-809A-F010F0252A1A}"/>
    <cellStyle name="Millares [0] 3 3 3 2 2 3" xfId="3828" xr:uid="{D890EEDE-3BD9-432D-B707-75BD2B4445D2}"/>
    <cellStyle name="Millares [0] 3 3 3 2 3" xfId="2227" xr:uid="{4D19A184-20C8-4264-875B-FBB530ED9E99}"/>
    <cellStyle name="Millares [0] 3 3 3 2 3 2" xfId="4593" xr:uid="{F319EF6A-340C-44B8-BCBE-9D393449ED76}"/>
    <cellStyle name="Millares [0] 3 3 3 2 4" xfId="3410" xr:uid="{D87D5531-A722-4466-BC69-DD0FD7F044D6}"/>
    <cellStyle name="Millares [0] 3 3 3 3" xfId="1252" xr:uid="{A72F2667-19C4-4345-A2E7-E9D5E9F2793D}"/>
    <cellStyle name="Millares [0] 3 3 3 3 2" xfId="2436" xr:uid="{FDA73355-40DC-42C3-9CFE-51B5FA7497E8}"/>
    <cellStyle name="Millares [0] 3 3 3 3 2 2" xfId="4802" xr:uid="{AC1DD1D5-3E14-48B5-ACD6-F28AD3F15A37}"/>
    <cellStyle name="Millares [0] 3 3 3 3 3" xfId="3619" xr:uid="{DA35536F-0F33-4ED8-96DA-95F2E71FC63E}"/>
    <cellStyle name="Millares [0] 3 3 3 4" xfId="1844" xr:uid="{203D2FAB-07BF-43E7-BC76-BC50C103201C}"/>
    <cellStyle name="Millares [0] 3 3 3 4 2" xfId="4210" xr:uid="{AC8A6B24-B67C-4D49-BC9A-6B169F74A7FC}"/>
    <cellStyle name="Millares [0] 3 3 3 5" xfId="3027" xr:uid="{2BC71995-F495-4911-893B-987B5DD3E564}"/>
    <cellStyle name="Millares [0] 3 3 4" xfId="748" xr:uid="{5847E687-0BEC-4F71-BDFC-3A4BDC112085}"/>
    <cellStyle name="Millares [0] 3 3 4 2" xfId="1552" xr:uid="{13FF0E0E-BABD-407F-9DA6-191BE39AA625}"/>
    <cellStyle name="Millares [0] 3 3 4 2 2" xfId="2735" xr:uid="{636EA0D9-4E22-469F-8218-9C4C712FA2DD}"/>
    <cellStyle name="Millares [0] 3 3 4 2 2 2" xfId="5101" xr:uid="{CEFE2456-FC29-4707-AA1B-D0255CC11DD9}"/>
    <cellStyle name="Millares [0] 3 3 4 2 3" xfId="3918" xr:uid="{C64C3B20-F007-4134-8027-B2E6EFD9AADD}"/>
    <cellStyle name="Millares [0] 3 3 4 3" xfId="1934" xr:uid="{ACEBA079-BEC4-45B6-AA38-A690DD31022A}"/>
    <cellStyle name="Millares [0] 3 3 4 3 2" xfId="4300" xr:uid="{08C4EF6F-8F0F-4757-94E7-6F18C0F6FDD2}"/>
    <cellStyle name="Millares [0] 3 3 4 4" xfId="3117" xr:uid="{C96DA01A-E791-46A8-8D12-BB6B652B372B}"/>
    <cellStyle name="Millares [0] 3 3 5" xfId="802" xr:uid="{A6CB13F1-784F-49FC-ACA5-977E4A3AC0BD}"/>
    <cellStyle name="Millares [0] 3 3 5 2" xfId="1606" xr:uid="{1EE64F6C-5F74-436C-842E-63736957B045}"/>
    <cellStyle name="Millares [0] 3 3 5 2 2" xfId="2789" xr:uid="{6E6A9B7B-864E-49D0-8E6F-C1108B6F28AA}"/>
    <cellStyle name="Millares [0] 3 3 5 2 2 2" xfId="5155" xr:uid="{378A2140-7AE6-4235-82D0-1CC88C27C592}"/>
    <cellStyle name="Millares [0] 3 3 5 2 3" xfId="3972" xr:uid="{2DF56CD6-C2C7-40AA-B84C-CFAAB38E7FC2}"/>
    <cellStyle name="Millares [0] 3 3 5 3" xfId="1988" xr:uid="{5179B925-6DD8-4CDC-8F1A-4EC3345A4509}"/>
    <cellStyle name="Millares [0] 3 3 5 3 2" xfId="4354" xr:uid="{F82464EE-E71B-4773-9BE7-7EEAD2E0E973}"/>
    <cellStyle name="Millares [0] 3 3 5 4" xfId="3171" xr:uid="{819F056E-73F7-422B-AD93-94250E2D64F0}"/>
    <cellStyle name="Millares [0] 3 3 6" xfId="1006" xr:uid="{0C856B9D-11E6-4121-912E-6D7915FB6A26}"/>
    <cellStyle name="Millares [0] 3 3 6 2" xfId="1426" xr:uid="{67441F62-9AD6-45C1-93DD-A104B2328318}"/>
    <cellStyle name="Millares [0] 3 3 6 2 2" xfId="2610" xr:uid="{534C7D23-CAF3-4361-9904-3D33AEBB4508}"/>
    <cellStyle name="Millares [0] 3 3 6 2 2 2" xfId="4976" xr:uid="{605402F6-EA79-47A0-9EBC-BEFDB4367F17}"/>
    <cellStyle name="Millares [0] 3 3 6 2 3" xfId="3793" xr:uid="{5B773436-5122-465D-8C5B-045A478EE47B}"/>
    <cellStyle name="Millares [0] 3 3 6 3" xfId="2192" xr:uid="{AEDDBD8F-DA29-43AE-82AC-7A610B2DE5CE}"/>
    <cellStyle name="Millares [0] 3 3 6 3 2" xfId="4558" xr:uid="{41C38359-B6DF-41F7-81F9-AE207D2693D0}"/>
    <cellStyle name="Millares [0] 3 3 6 4" xfId="3375" xr:uid="{5584072A-A75F-448E-B80C-132F58EBE171}"/>
    <cellStyle name="Millares [0] 3 3 7" xfId="1216" xr:uid="{4F25658A-BFFD-49E8-846F-F973A762C6CC}"/>
    <cellStyle name="Millares [0] 3 3 7 2" xfId="2401" xr:uid="{12B76493-73FC-4B81-B83D-62B7F4438999}"/>
    <cellStyle name="Millares [0] 3 3 7 2 2" xfId="4767" xr:uid="{9930B3A9-D79B-49F8-AE66-8585BD78C254}"/>
    <cellStyle name="Millares [0] 3 3 7 3" xfId="3584" xr:uid="{DE3F83E2-65CD-4918-A566-1DAF2F61D50B}"/>
    <cellStyle name="Millares [0] 3 3 8" xfId="1809" xr:uid="{BA69321F-17B5-4463-A1E6-4BFEBC3BAA32}"/>
    <cellStyle name="Millares [0] 3 3 8 2" xfId="4175" xr:uid="{DA0646B7-145A-4D36-8BCC-1B27E5CB0A90}"/>
    <cellStyle name="Millares [0] 3 3 9" xfId="2992" xr:uid="{7BF05617-B98B-4735-9226-5950CE540620}"/>
    <cellStyle name="Millares [0] 3 4" xfId="187" xr:uid="{9C29C018-411E-477B-A71F-D920A94E609E}"/>
    <cellStyle name="Millares [0] 3 4 10" xfId="5346" xr:uid="{56528D1F-82CA-4C89-8D06-4DA539759061}"/>
    <cellStyle name="Millares [0] 3 4 2" xfId="573" xr:uid="{108B6C1F-A828-4F36-8135-D4B902A66DA4}"/>
    <cellStyle name="Millares [0] 3 4 2 2" xfId="1083" xr:uid="{CC8D59FF-EC74-49F5-AC01-445CB1D24A3B}"/>
    <cellStyle name="Millares [0] 3 4 2 2 2" xfId="1503" xr:uid="{4ADC39E2-8A04-4EE7-8B10-5616AC36788E}"/>
    <cellStyle name="Millares [0] 3 4 2 2 2 2" xfId="2686" xr:uid="{D32FCF90-1F5A-480E-A081-C131006B3301}"/>
    <cellStyle name="Millares [0] 3 4 2 2 2 2 2" xfId="5052" xr:uid="{46AC64C7-8A02-40FB-B6CA-7E68A747FD3D}"/>
    <cellStyle name="Millares [0] 3 4 2 2 2 3" xfId="3869" xr:uid="{F0D7C776-3FC6-47C7-B73F-8558873F5AE5}"/>
    <cellStyle name="Millares [0] 3 4 2 2 3" xfId="2268" xr:uid="{15C06C24-E47E-41F1-BABF-778A97FBFC63}"/>
    <cellStyle name="Millares [0] 3 4 2 2 3 2" xfId="4634" xr:uid="{6897BCC5-4042-4F93-A89B-6A8CE935A893}"/>
    <cellStyle name="Millares [0] 3 4 2 2 4" xfId="3451" xr:uid="{565FA7C1-0F48-499D-853C-EF133F46AE37}"/>
    <cellStyle name="Millares [0] 3 4 2 3" xfId="1293" xr:uid="{2D612EE6-79F7-4F8C-8FB3-762B7F30BF58}"/>
    <cellStyle name="Millares [0] 3 4 2 3 2" xfId="2477" xr:uid="{1E3D64B1-3742-4DDF-9944-DCE0BD8B2C18}"/>
    <cellStyle name="Millares [0] 3 4 2 3 2 2" xfId="4843" xr:uid="{1B052B98-0DE3-405D-848D-E7EF076BBA4D}"/>
    <cellStyle name="Millares [0] 3 4 2 3 3" xfId="3660" xr:uid="{51188E26-A1B4-4CAA-AB90-FB742E3F089B}"/>
    <cellStyle name="Millares [0] 3 4 2 4" xfId="1885" xr:uid="{15629716-1030-4EAE-9889-88655D47C6D1}"/>
    <cellStyle name="Millares [0] 3 4 2 4 2" xfId="4251" xr:uid="{990D1405-C6BE-49D2-A880-BDC0F10AA50A}"/>
    <cellStyle name="Millares [0] 3 4 2 5" xfId="3068" xr:uid="{51A149DE-A550-4F96-9DDE-9749ACFF5268}"/>
    <cellStyle name="Millares [0] 3 4 3" xfId="324" xr:uid="{0A79CA54-DC07-47BA-830A-E01A678ED7DE}"/>
    <cellStyle name="Millares [0] 3 4 3 2" xfId="1048" xr:uid="{9BB18616-EDB7-4B42-82F7-0E96D04DEAB4}"/>
    <cellStyle name="Millares [0] 3 4 3 2 2" xfId="1468" xr:uid="{BD89CA17-1C42-4BC3-A8BB-15C6C469786C}"/>
    <cellStyle name="Millares [0] 3 4 3 2 2 2" xfId="2651" xr:uid="{25B4F7BB-E187-4FD4-8E1F-6F1A6F5895CE}"/>
    <cellStyle name="Millares [0] 3 4 3 2 2 2 2" xfId="5017" xr:uid="{53C4CC53-B9F9-453C-B1E0-27DA7790391B}"/>
    <cellStyle name="Millares [0] 3 4 3 2 2 3" xfId="3834" xr:uid="{FFD12310-93E4-4B8D-BD6F-7CEAE438F8AD}"/>
    <cellStyle name="Millares [0] 3 4 3 2 3" xfId="2233" xr:uid="{0AEA1C29-0637-46A9-B8D9-71129A521107}"/>
    <cellStyle name="Millares [0] 3 4 3 2 3 2" xfId="4599" xr:uid="{6DE8F515-C4BC-44B3-B32E-F6121BF22764}"/>
    <cellStyle name="Millares [0] 3 4 3 2 4" xfId="3416" xr:uid="{20E58502-1799-459A-9C70-F143267780D6}"/>
    <cellStyle name="Millares [0] 3 4 3 3" xfId="1258" xr:uid="{082F3943-27C0-47BF-B651-056D3F3EBCB0}"/>
    <cellStyle name="Millares [0] 3 4 3 3 2" xfId="2442" xr:uid="{6573B149-5E32-47BE-879E-2063F3FF486B}"/>
    <cellStyle name="Millares [0] 3 4 3 3 2 2" xfId="4808" xr:uid="{A5A7FDFA-65C9-48B8-A121-15B5249FF1F8}"/>
    <cellStyle name="Millares [0] 3 4 3 3 3" xfId="3625" xr:uid="{1F444495-2E66-4FE5-8220-093C139EDA0E}"/>
    <cellStyle name="Millares [0] 3 4 3 4" xfId="1850" xr:uid="{3C874EBD-DE39-4177-9B25-34C78E6451DC}"/>
    <cellStyle name="Millares [0] 3 4 3 4 2" xfId="4216" xr:uid="{56BCB06E-08CD-40F7-BA8F-A95531FF2416}"/>
    <cellStyle name="Millares [0] 3 4 3 5" xfId="3033" xr:uid="{E1B394B1-914C-4C29-92B6-234A781A6718}"/>
    <cellStyle name="Millares [0] 3 4 4" xfId="754" xr:uid="{0217FF1A-A691-4E7C-A3AD-9E21DD3896FA}"/>
    <cellStyle name="Millares [0] 3 4 4 2" xfId="1558" xr:uid="{B45ECE8F-FF84-4D12-B299-D90B220B0314}"/>
    <cellStyle name="Millares [0] 3 4 4 2 2" xfId="2741" xr:uid="{8C8BD3E9-AFB8-4D18-BC7E-EC0E34FE1E19}"/>
    <cellStyle name="Millares [0] 3 4 4 2 2 2" xfId="5107" xr:uid="{1C4B732A-6248-4F2B-8834-0645AFF5CA77}"/>
    <cellStyle name="Millares [0] 3 4 4 2 3" xfId="3924" xr:uid="{30686730-0EEE-444F-8312-E7B5F86BCF42}"/>
    <cellStyle name="Millares [0] 3 4 4 3" xfId="1940" xr:uid="{D009BA13-B2DF-4F95-975C-991B134E7D23}"/>
    <cellStyle name="Millares [0] 3 4 4 3 2" xfId="4306" xr:uid="{6F733688-596F-4D1A-B8B6-6DCE515BF001}"/>
    <cellStyle name="Millares [0] 3 4 4 4" xfId="3123" xr:uid="{44359ACA-3267-4CC1-9E6C-F825A72B6E52}"/>
    <cellStyle name="Millares [0] 3 4 5" xfId="830" xr:uid="{0B42D31C-0FD5-418F-89DA-03767E230188}"/>
    <cellStyle name="Millares [0] 3 4 5 2" xfId="1634" xr:uid="{4C063266-55B7-41A6-B58D-B85207825C2B}"/>
    <cellStyle name="Millares [0] 3 4 5 2 2" xfId="2817" xr:uid="{7AFFE175-9E7E-44F0-9D2A-794325FAFDC2}"/>
    <cellStyle name="Millares [0] 3 4 5 2 2 2" xfId="5183" xr:uid="{8B6D58D3-1F05-4B06-936D-5805998DF3B6}"/>
    <cellStyle name="Millares [0] 3 4 5 2 3" xfId="4000" xr:uid="{6F7C5569-5D62-49EE-9BA0-357EB5A59930}"/>
    <cellStyle name="Millares [0] 3 4 5 3" xfId="2016" xr:uid="{C2E52699-52B7-4BA2-BD0E-A8F9C1E757B4}"/>
    <cellStyle name="Millares [0] 3 4 5 3 2" xfId="4382" xr:uid="{6B79FD5F-CDF3-4C36-96DC-750A561EF836}"/>
    <cellStyle name="Millares [0] 3 4 5 4" xfId="3199" xr:uid="{B41E02E5-D995-406A-9A1A-E6B8F56AF042}"/>
    <cellStyle name="Millares [0] 3 4 6" xfId="993" xr:uid="{6B7D002D-0B04-4C56-ACE5-6680E709423C}"/>
    <cellStyle name="Millares [0] 3 4 6 2" xfId="1413" xr:uid="{F8E23078-7BE3-4D81-B652-15DC5A6B64C5}"/>
    <cellStyle name="Millares [0] 3 4 6 2 2" xfId="2597" xr:uid="{88CBDBA6-9E4B-466E-A2E7-0ADFFE160A9B}"/>
    <cellStyle name="Millares [0] 3 4 6 2 2 2" xfId="4963" xr:uid="{31C28383-117C-41DA-BF5A-C48F1057831B}"/>
    <cellStyle name="Millares [0] 3 4 6 2 3" xfId="3780" xr:uid="{F3345117-258A-4AC1-B062-475BB07E38D3}"/>
    <cellStyle name="Millares [0] 3 4 6 3" xfId="2179" xr:uid="{AA9CA360-9F3B-4A87-84F6-CBA01875606C}"/>
    <cellStyle name="Millares [0] 3 4 6 3 2" xfId="4545" xr:uid="{55C8393A-2156-44A3-9781-84540A189B78}"/>
    <cellStyle name="Millares [0] 3 4 6 4" xfId="3362" xr:uid="{0659DB01-62B3-4A5A-A5DA-AC807AC54D01}"/>
    <cellStyle name="Millares [0] 3 4 7" xfId="1203" xr:uid="{D99D1857-2E7B-4FF3-A2E3-E873189923EC}"/>
    <cellStyle name="Millares [0] 3 4 7 2" xfId="2388" xr:uid="{258E3941-1A6B-456A-8917-E39B288A9F7D}"/>
    <cellStyle name="Millares [0] 3 4 7 2 2" xfId="4754" xr:uid="{653D5D6C-696F-470B-B075-25B6A6FBE437}"/>
    <cellStyle name="Millares [0] 3 4 7 3" xfId="3571" xr:uid="{0850DBAB-8A33-4550-9BDD-DAAF54DE567C}"/>
    <cellStyle name="Millares [0] 3 4 8" xfId="1796" xr:uid="{A09E025A-D689-4D2A-A90A-797CEEB428B3}"/>
    <cellStyle name="Millares [0] 3 4 8 2" xfId="4162" xr:uid="{1A46E0C6-5551-4DE0-9E88-94CC4DEADE59}"/>
    <cellStyle name="Millares [0] 3 4 9" xfId="2979" xr:uid="{780CB29E-5A73-4916-9FC0-E44400B8E99E}"/>
    <cellStyle name="Millares [0] 3 5" xfId="157" xr:uid="{90C42F3F-F635-4B72-B898-BFFC4EEB9CAC}"/>
    <cellStyle name="Millares [0] 3 5 10" xfId="5369" xr:uid="{8128EB6A-9935-4A22-8C77-36316D94489D}"/>
    <cellStyle name="Millares [0] 3 5 2" xfId="622" xr:uid="{C586377B-2FBD-41FA-A6BD-71B853B3F3A3}"/>
    <cellStyle name="Millares [0] 3 5 2 2" xfId="1090" xr:uid="{6A7AB542-828A-4D93-89D6-AC9D54619F35}"/>
    <cellStyle name="Millares [0] 3 5 2 2 2" xfId="1510" xr:uid="{ADBF073F-973C-481B-8D1C-D22D3801828E}"/>
    <cellStyle name="Millares [0] 3 5 2 2 2 2" xfId="2693" xr:uid="{B2C0CB33-52CA-4254-A086-25A93B636228}"/>
    <cellStyle name="Millares [0] 3 5 2 2 2 2 2" xfId="5059" xr:uid="{1BF8443E-BCD7-4E57-A042-BC78D95BBD69}"/>
    <cellStyle name="Millares [0] 3 5 2 2 2 3" xfId="3876" xr:uid="{BA2C0472-D8B2-48EF-AA6A-1C5B9D41D95D}"/>
    <cellStyle name="Millares [0] 3 5 2 2 3" xfId="2275" xr:uid="{1D85AADC-A4AF-4C13-810E-15C81C4767EE}"/>
    <cellStyle name="Millares [0] 3 5 2 2 3 2" xfId="4641" xr:uid="{0EC467A3-1A2D-4671-A658-D2BB67CCE3B0}"/>
    <cellStyle name="Millares [0] 3 5 2 2 4" xfId="3458" xr:uid="{199A6FF6-864E-4078-9CCE-263C0B6511F5}"/>
    <cellStyle name="Millares [0] 3 5 2 3" xfId="1300" xr:uid="{03E06BCD-FC04-4459-8AF6-618BCDB8472E}"/>
    <cellStyle name="Millares [0] 3 5 2 3 2" xfId="2484" xr:uid="{35AD0D86-3E9E-4F07-8BDE-12969889C9D6}"/>
    <cellStyle name="Millares [0] 3 5 2 3 2 2" xfId="4850" xr:uid="{47F6FD26-22BD-4ADA-BDC3-ED8BCE32F355}"/>
    <cellStyle name="Millares [0] 3 5 2 3 3" xfId="3667" xr:uid="{E9AC5EFB-59AA-499C-BEA1-1DA85D798F8E}"/>
    <cellStyle name="Millares [0] 3 5 2 4" xfId="1892" xr:uid="{A4042390-40BB-47EC-9AED-8F8E40D1BEE8}"/>
    <cellStyle name="Millares [0] 3 5 2 4 2" xfId="4258" xr:uid="{6BAF7A6A-1469-46C1-960D-011132437A41}"/>
    <cellStyle name="Millares [0] 3 5 2 5" xfId="3075" xr:uid="{7379E4CC-771B-41FA-ABD4-5CE922E984A2}"/>
    <cellStyle name="Millares [0] 3 5 3" xfId="376" xr:uid="{2F6C1610-D00B-4327-BDAC-35AD77BF1702}"/>
    <cellStyle name="Millares [0] 3 5 3 2" xfId="1055" xr:uid="{E5BAEFCB-0C0B-431D-92C2-4C343473C8E1}"/>
    <cellStyle name="Millares [0] 3 5 3 2 2" xfId="1475" xr:uid="{42F43AC5-B10E-47EF-A26E-70D69952C256}"/>
    <cellStyle name="Millares [0] 3 5 3 2 2 2" xfId="2658" xr:uid="{4E8E45F3-8E86-47BC-BD6A-D398762454BA}"/>
    <cellStyle name="Millares [0] 3 5 3 2 2 2 2" xfId="5024" xr:uid="{392E70DF-9A49-4F30-8A36-38B14FDFEC23}"/>
    <cellStyle name="Millares [0] 3 5 3 2 2 3" xfId="3841" xr:uid="{6427461D-A8B8-488D-B32B-0C096D73420B}"/>
    <cellStyle name="Millares [0] 3 5 3 2 3" xfId="2240" xr:uid="{345C2DA3-DAFF-4E12-BD5B-FEDAF39098B3}"/>
    <cellStyle name="Millares [0] 3 5 3 2 3 2" xfId="4606" xr:uid="{7EC1E90C-FCF3-4B8B-A7F2-61AAB8B9E481}"/>
    <cellStyle name="Millares [0] 3 5 3 2 4" xfId="3423" xr:uid="{20E7EA6B-12CE-421E-8C6B-5441253D5E77}"/>
    <cellStyle name="Millares [0] 3 5 3 3" xfId="1265" xr:uid="{F634671C-5A1A-41BE-A18F-9AB425DA3896}"/>
    <cellStyle name="Millares [0] 3 5 3 3 2" xfId="2449" xr:uid="{CCF43554-F552-4CE6-8C15-1BF9B6463359}"/>
    <cellStyle name="Millares [0] 3 5 3 3 2 2" xfId="4815" xr:uid="{7C6AA985-AA8B-4F0B-B77E-536A01ADECC9}"/>
    <cellStyle name="Millares [0] 3 5 3 3 3" xfId="3632" xr:uid="{AB2C6FA3-16F5-4965-B573-840DF24A120F}"/>
    <cellStyle name="Millares [0] 3 5 3 4" xfId="1857" xr:uid="{7BE255B0-7865-4A2B-B341-F883CDC7C0FC}"/>
    <cellStyle name="Millares [0] 3 5 3 4 2" xfId="4223" xr:uid="{F04963C3-E737-450A-AD21-6219D6FE5951}"/>
    <cellStyle name="Millares [0] 3 5 3 5" xfId="3040" xr:uid="{C370856A-4E2E-4DF7-A0FA-DA9D0B79910C}"/>
    <cellStyle name="Millares [0] 3 5 4" xfId="761" xr:uid="{23900CA9-4163-4D3E-B295-45B966B7EFEC}"/>
    <cellStyle name="Millares [0] 3 5 4 2" xfId="1565" xr:uid="{3D391C17-823B-4534-9E02-50304C606E9B}"/>
    <cellStyle name="Millares [0] 3 5 4 2 2" xfId="2748" xr:uid="{CBE0EC4D-62B3-4F33-8253-7D4F30041354}"/>
    <cellStyle name="Millares [0] 3 5 4 2 2 2" xfId="5114" xr:uid="{3B4C3597-56CC-4AF0-A29C-CD7958C83A6A}"/>
    <cellStyle name="Millares [0] 3 5 4 2 3" xfId="3931" xr:uid="{C2367FFB-7812-4F1C-BBA1-34D28452EEFB}"/>
    <cellStyle name="Millares [0] 3 5 4 3" xfId="1947" xr:uid="{3FBA62FB-E00D-4E3D-9269-0B542BE1B980}"/>
    <cellStyle name="Millares [0] 3 5 4 3 2" xfId="4313" xr:uid="{464A009C-0A7C-405D-8668-3620669AF732}"/>
    <cellStyle name="Millares [0] 3 5 4 4" xfId="3130" xr:uid="{8C10DA72-968A-4250-B4C9-FF4F457816D0}"/>
    <cellStyle name="Millares [0] 3 5 5" xfId="858" xr:uid="{C9322A78-0C7E-4A08-AC79-5E179F8A42DD}"/>
    <cellStyle name="Millares [0] 3 5 5 2" xfId="1662" xr:uid="{3FF03B79-97D1-4C3F-9F4D-2139E7DC10F0}"/>
    <cellStyle name="Millares [0] 3 5 5 2 2" xfId="2845" xr:uid="{53D222CC-5241-436C-9B95-CE93E52D7F50}"/>
    <cellStyle name="Millares [0] 3 5 5 2 2 2" xfId="5211" xr:uid="{624F3C96-5A99-45DA-9A6E-5B38457CB88D}"/>
    <cellStyle name="Millares [0] 3 5 5 2 3" xfId="4028" xr:uid="{F1A18CD3-4C3F-4147-82A3-33E1680A272E}"/>
    <cellStyle name="Millares [0] 3 5 5 3" xfId="2044" xr:uid="{421DB427-676D-49D6-9B4A-0B0AC638BB38}"/>
    <cellStyle name="Millares [0] 3 5 5 3 2" xfId="4410" xr:uid="{11BA8712-E9E3-47CE-BFBD-F353B607C7B4}"/>
    <cellStyle name="Millares [0] 3 5 5 4" xfId="3227" xr:uid="{988774E8-5CC9-47B8-A95B-868A19F15E66}"/>
    <cellStyle name="Millares [0] 3 5 6" xfId="964" xr:uid="{98D39ABA-8974-4C8D-86B6-C043886C2A9A}"/>
    <cellStyle name="Millares [0] 3 5 6 2" xfId="1384" xr:uid="{FC062BA4-8C37-47C7-B02F-0365D0D952A9}"/>
    <cellStyle name="Millares [0] 3 5 6 2 2" xfId="2568" xr:uid="{60FC6606-FC08-4684-B91F-EAB1B90727B9}"/>
    <cellStyle name="Millares [0] 3 5 6 2 2 2" xfId="4934" xr:uid="{3B8A6F85-D0F5-478C-BCDB-CC3EF9713EAC}"/>
    <cellStyle name="Millares [0] 3 5 6 2 3" xfId="3751" xr:uid="{7F6BCC43-0CEA-472C-86DE-80437D645721}"/>
    <cellStyle name="Millares [0] 3 5 6 3" xfId="2150" xr:uid="{E7877EC2-3EAE-4494-A17E-74EC9927842F}"/>
    <cellStyle name="Millares [0] 3 5 6 3 2" xfId="4516" xr:uid="{F7456C72-37C7-4897-A69A-B6E85C58E146}"/>
    <cellStyle name="Millares [0] 3 5 6 4" xfId="3333" xr:uid="{62E78B80-3A34-473B-9101-3AA1BC819031}"/>
    <cellStyle name="Millares [0] 3 5 7" xfId="1174" xr:uid="{2AFFEBCA-20C5-47CC-BF91-E33F2144679B}"/>
    <cellStyle name="Millares [0] 3 5 7 2" xfId="2359" xr:uid="{62CB43F9-71DA-4498-A689-1B0706C91C74}"/>
    <cellStyle name="Millares [0] 3 5 7 2 2" xfId="4725" xr:uid="{B42519D6-23AF-4924-903A-C8E43100D97E}"/>
    <cellStyle name="Millares [0] 3 5 7 3" xfId="3542" xr:uid="{16345EEA-689C-4EDB-8034-7AAEB44C803F}"/>
    <cellStyle name="Millares [0] 3 5 8" xfId="1767" xr:uid="{ADE6D300-F469-40E8-98FF-F5836555B1A2}"/>
    <cellStyle name="Millares [0] 3 5 8 2" xfId="4133" xr:uid="{DD7C7D4F-BE5F-4998-B68A-110C14F848DF}"/>
    <cellStyle name="Millares [0] 3 5 9" xfId="2950" xr:uid="{FBA42FEE-2F88-4115-95B2-00E6A8E40599}"/>
    <cellStyle name="Millares [0] 3 6" xfId="108" xr:uid="{FF67C37B-F306-45E2-9936-83FBB7EEB361}"/>
    <cellStyle name="Millares [0] 3 6 10" xfId="5394" xr:uid="{1717B1E8-4479-4864-B127-D4DC4A813052}"/>
    <cellStyle name="Millares [0] 3 6 2" xfId="648" xr:uid="{8F330592-F64A-4F01-9D6D-486765B6BAD8}"/>
    <cellStyle name="Millares [0] 3 6 2 2" xfId="1093" xr:uid="{A3F9C921-2050-4CCD-82F8-AF9C5FF819C3}"/>
    <cellStyle name="Millares [0] 3 6 2 2 2" xfId="1513" xr:uid="{1D1E5BE8-E993-49E6-B430-DE8116E16804}"/>
    <cellStyle name="Millares [0] 3 6 2 2 2 2" xfId="2696" xr:uid="{056110E0-9425-403C-9F59-24FBB176366A}"/>
    <cellStyle name="Millares [0] 3 6 2 2 2 2 2" xfId="5062" xr:uid="{65A6BB62-3BFE-4D36-A762-74E2F2189828}"/>
    <cellStyle name="Millares [0] 3 6 2 2 2 3" xfId="3879" xr:uid="{3FB96894-6C0C-4140-8889-48725B739650}"/>
    <cellStyle name="Millares [0] 3 6 2 2 3" xfId="2278" xr:uid="{D0A50A91-EF46-4B7A-97BE-EA0307265A4D}"/>
    <cellStyle name="Millares [0] 3 6 2 2 3 2" xfId="4644" xr:uid="{3F39CE08-2468-4633-BD65-5BA4730A68BF}"/>
    <cellStyle name="Millares [0] 3 6 2 2 4" xfId="3461" xr:uid="{7C602A4E-9AAA-4897-A922-0A0C6635F487}"/>
    <cellStyle name="Millares [0] 3 6 2 3" xfId="1303" xr:uid="{02DE94DB-9912-4404-ACDD-851CDADAFCC7}"/>
    <cellStyle name="Millares [0] 3 6 2 3 2" xfId="2487" xr:uid="{A41BD09C-BF83-41BF-ADAB-7824A271FE8C}"/>
    <cellStyle name="Millares [0] 3 6 2 3 2 2" xfId="4853" xr:uid="{288F59D1-6548-4625-A3B7-840196886A16}"/>
    <cellStyle name="Millares [0] 3 6 2 3 3" xfId="3670" xr:uid="{90A62EEE-C8B6-4C9E-B06C-413E6DC03657}"/>
    <cellStyle name="Millares [0] 3 6 2 4" xfId="1895" xr:uid="{776CACC2-C909-4EB4-BDEF-5D8E88FBCCC7}"/>
    <cellStyle name="Millares [0] 3 6 2 4 2" xfId="4261" xr:uid="{15A7A95E-9D4F-42B7-8084-20D2A8E92396}"/>
    <cellStyle name="Millares [0] 3 6 2 5" xfId="3078" xr:uid="{08AE74BC-E8A4-4669-843A-0737CF6181E3}"/>
    <cellStyle name="Millares [0] 3 6 3" xfId="401" xr:uid="{B191AB04-BE89-4930-BDC9-AF01B0D275C7}"/>
    <cellStyle name="Millares [0] 3 6 3 2" xfId="1058" xr:uid="{CDBEC62B-9EEC-41CF-BFE0-36EE1C537C48}"/>
    <cellStyle name="Millares [0] 3 6 3 2 2" xfId="1478" xr:uid="{73E4A0F8-468D-4E27-A5E1-3943465AF32A}"/>
    <cellStyle name="Millares [0] 3 6 3 2 2 2" xfId="2661" xr:uid="{68D39C6F-C235-434C-A8F2-F5ABDC2FCD2C}"/>
    <cellStyle name="Millares [0] 3 6 3 2 2 2 2" xfId="5027" xr:uid="{0365C5F1-5ED6-4D6F-BDFA-6A8F48E25FB6}"/>
    <cellStyle name="Millares [0] 3 6 3 2 2 3" xfId="3844" xr:uid="{90096D4D-1F0D-4D52-B16F-7810AAB32E53}"/>
    <cellStyle name="Millares [0] 3 6 3 2 3" xfId="2243" xr:uid="{4C847C3F-1928-4506-96B8-EFF318D2AA72}"/>
    <cellStyle name="Millares [0] 3 6 3 2 3 2" xfId="4609" xr:uid="{7CF15D93-29C4-46AC-B034-109071D48CB7}"/>
    <cellStyle name="Millares [0] 3 6 3 2 4" xfId="3426" xr:uid="{C7DC3A5F-EF72-497E-B158-5D48232A0083}"/>
    <cellStyle name="Millares [0] 3 6 3 3" xfId="1268" xr:uid="{E67ADAAB-6C54-4D76-B069-8206A0BEF5A6}"/>
    <cellStyle name="Millares [0] 3 6 3 3 2" xfId="2452" xr:uid="{E9F432C3-9025-494E-9824-52EA9D9E5C33}"/>
    <cellStyle name="Millares [0] 3 6 3 3 2 2" xfId="4818" xr:uid="{A8E58D07-E006-415D-955B-30A66CFD5FBE}"/>
    <cellStyle name="Millares [0] 3 6 3 3 3" xfId="3635" xr:uid="{ED4FC0EB-FD9F-4821-85ED-3A9435450CED}"/>
    <cellStyle name="Millares [0] 3 6 3 4" xfId="1860" xr:uid="{057E7883-C70F-4C2F-8EFF-0D6CDBC782F3}"/>
    <cellStyle name="Millares [0] 3 6 3 4 2" xfId="4226" xr:uid="{F336D7F2-9F06-4C82-85DE-B39239A79287}"/>
    <cellStyle name="Millares [0] 3 6 3 5" xfId="3043" xr:uid="{D6EDABA5-B5A6-4C75-9D76-4ED1661EE9BA}"/>
    <cellStyle name="Millares [0] 3 6 4" xfId="764" xr:uid="{C19B2E24-809B-4655-A16F-28A0930D0F40}"/>
    <cellStyle name="Millares [0] 3 6 4 2" xfId="1568" xr:uid="{B9DC8B75-E4C5-495C-A19C-8B552E7A4378}"/>
    <cellStyle name="Millares [0] 3 6 4 2 2" xfId="2751" xr:uid="{52A62498-143A-4126-9276-4518BEB6A90B}"/>
    <cellStyle name="Millares [0] 3 6 4 2 2 2" xfId="5117" xr:uid="{F51497EB-8A36-4251-9A8D-944F21D6B563}"/>
    <cellStyle name="Millares [0] 3 6 4 2 3" xfId="3934" xr:uid="{5CB28032-A86D-43D9-9215-C6F42BCA940C}"/>
    <cellStyle name="Millares [0] 3 6 4 3" xfId="1950" xr:uid="{53EEFCBC-822D-4F41-8018-8A722516A956}"/>
    <cellStyle name="Millares [0] 3 6 4 3 2" xfId="4316" xr:uid="{4AB1B853-4CA3-453A-A6B2-A6D244E0B362}"/>
    <cellStyle name="Millares [0] 3 6 4 4" xfId="3133" xr:uid="{0C12FC46-8B3F-4D54-99DB-25B2B193F64C}"/>
    <cellStyle name="Millares [0] 3 6 5" xfId="886" xr:uid="{8FB010BC-7FC1-4F72-A607-A818AB8DE64F}"/>
    <cellStyle name="Millares [0] 3 6 5 2" xfId="1690" xr:uid="{0551E0AB-3A40-4AF2-8C28-4DB124C23205}"/>
    <cellStyle name="Millares [0] 3 6 5 2 2" xfId="2873" xr:uid="{49AA0BA1-60CE-4A79-A2D9-F9287EC9318A}"/>
    <cellStyle name="Millares [0] 3 6 5 2 2 2" xfId="5239" xr:uid="{BEE46009-2E0E-4DBA-B9DF-0586C1B06B57}"/>
    <cellStyle name="Millares [0] 3 6 5 2 3" xfId="4056" xr:uid="{25BBDAE5-298D-41B6-B31A-06A6D9673599}"/>
    <cellStyle name="Millares [0] 3 6 5 3" xfId="2072" xr:uid="{C7A71F91-6775-4281-A2A3-9037A06DA884}"/>
    <cellStyle name="Millares [0] 3 6 5 3 2" xfId="4438" xr:uid="{16336665-2495-4055-A94A-972AC848A94C}"/>
    <cellStyle name="Millares [0] 3 6 5 4" xfId="3255" xr:uid="{DDACC130-BB03-43E9-83B3-54F019780198}"/>
    <cellStyle name="Millares [0] 3 6 6" xfId="937" xr:uid="{9005C1EC-6599-46AE-9958-A43D75612618}"/>
    <cellStyle name="Millares [0] 3 6 6 2" xfId="1357" xr:uid="{AD796746-FA89-402F-9246-01FB4E8DD8B4}"/>
    <cellStyle name="Millares [0] 3 6 6 2 2" xfId="2541" xr:uid="{8F5FABA0-3AC6-457C-9F82-6E0616FBFBF3}"/>
    <cellStyle name="Millares [0] 3 6 6 2 2 2" xfId="4907" xr:uid="{D98888B5-FF64-493B-AAF4-07FF9AE9514A}"/>
    <cellStyle name="Millares [0] 3 6 6 2 3" xfId="3724" xr:uid="{A3E680D6-A608-4682-9156-389B6926228C}"/>
    <cellStyle name="Millares [0] 3 6 6 3" xfId="2123" xr:uid="{89B58DEF-E9B6-4220-A0B4-92387B39AF1B}"/>
    <cellStyle name="Millares [0] 3 6 6 3 2" xfId="4489" xr:uid="{54373E20-C85F-47E5-A580-FA14B468A6BE}"/>
    <cellStyle name="Millares [0] 3 6 6 4" xfId="3306" xr:uid="{D1D8A09F-9F3C-4154-97B0-4B0B91E8A643}"/>
    <cellStyle name="Millares [0] 3 6 7" xfId="1147" xr:uid="{3526591D-9909-4070-8087-28404E28FD3A}"/>
    <cellStyle name="Millares [0] 3 6 7 2" xfId="2332" xr:uid="{84E2FF92-3212-4D24-BC10-77B39F097626}"/>
    <cellStyle name="Millares [0] 3 6 7 2 2" xfId="4698" xr:uid="{467461B5-D9B9-4A47-A503-F96D642D8760}"/>
    <cellStyle name="Millares [0] 3 6 7 3" xfId="3515" xr:uid="{9EEB963A-1C54-47BA-A7D5-D4805CA1EF9F}"/>
    <cellStyle name="Millares [0] 3 6 8" xfId="1740" xr:uid="{8800A759-136E-4B9E-BE70-8E3A98C39C4F}"/>
    <cellStyle name="Millares [0] 3 6 8 2" xfId="4106" xr:uid="{2C426C02-B625-4A17-B22C-8A6F1D40B744}"/>
    <cellStyle name="Millares [0] 3 6 9" xfId="2923" xr:uid="{92AB070B-489A-47CE-9FC2-F6AAC71D1C69}"/>
    <cellStyle name="Millares [0] 3 7" xfId="73" xr:uid="{D3AF0AA7-97EE-4E15-93F0-BA1682398B3A}"/>
    <cellStyle name="Millares [0] 3 7 2" xfId="676" xr:uid="{6121EA8F-1C14-45CB-AD9B-12B41B286CA6}"/>
    <cellStyle name="Millares [0] 3 7 2 2" xfId="1097" xr:uid="{845FDB62-98EF-437D-923D-41279FAB4D42}"/>
    <cellStyle name="Millares [0] 3 7 2 2 2" xfId="1517" xr:uid="{3CF20725-BDBA-4C53-86C8-B111C860D801}"/>
    <cellStyle name="Millares [0] 3 7 2 2 2 2" xfId="2700" xr:uid="{B7217AE6-5B09-450C-8FF5-9F74491E086E}"/>
    <cellStyle name="Millares [0] 3 7 2 2 2 2 2" xfId="5066" xr:uid="{1F851288-1BE9-4BD8-B358-10917D3F52B1}"/>
    <cellStyle name="Millares [0] 3 7 2 2 2 3" xfId="3883" xr:uid="{B6074F41-E250-4B03-87E8-C13F0C220C8F}"/>
    <cellStyle name="Millares [0] 3 7 2 2 3" xfId="2282" xr:uid="{72D8365C-DE26-476B-9328-9BAA5CF70165}"/>
    <cellStyle name="Millares [0] 3 7 2 2 3 2" xfId="4648" xr:uid="{AA9481F0-D1E7-4281-B51C-BE00B39F9B75}"/>
    <cellStyle name="Millares [0] 3 7 2 2 4" xfId="3465" xr:uid="{2BB01A46-497E-464E-BC82-474F2F4A82BE}"/>
    <cellStyle name="Millares [0] 3 7 2 3" xfId="1307" xr:uid="{BF8B417A-49DD-4B93-9BDB-A2F03EC6EB9E}"/>
    <cellStyle name="Millares [0] 3 7 2 3 2" xfId="2491" xr:uid="{BBB10DDD-3F0F-4C04-BB19-A4580A51FB16}"/>
    <cellStyle name="Millares [0] 3 7 2 3 2 2" xfId="4857" xr:uid="{DD0CB504-CD96-49DF-B293-4E331CE95E28}"/>
    <cellStyle name="Millares [0] 3 7 2 3 3" xfId="3674" xr:uid="{A0887D66-8613-49A4-881B-542938F8D9B3}"/>
    <cellStyle name="Millares [0] 3 7 2 4" xfId="1899" xr:uid="{4E9CDE1F-3AA6-4D60-88DB-57F3D261C0AA}"/>
    <cellStyle name="Millares [0] 3 7 2 4 2" xfId="4265" xr:uid="{1045F5ED-78D0-41DC-A2AD-FB78E2530EC0}"/>
    <cellStyle name="Millares [0] 3 7 2 5" xfId="3082" xr:uid="{8B5424F8-17DF-44D1-B1F8-11847355687A}"/>
    <cellStyle name="Millares [0] 3 7 3" xfId="429" xr:uid="{D55F770A-54B7-4078-8105-9C5F6A6EA09A}"/>
    <cellStyle name="Millares [0] 3 7 3 2" xfId="1062" xr:uid="{D4CF6F02-5A1D-4224-A635-9EF3F61F3DFD}"/>
    <cellStyle name="Millares [0] 3 7 3 2 2" xfId="1482" xr:uid="{A65A9F2C-91A1-49E1-AB1C-3B184499AB7C}"/>
    <cellStyle name="Millares [0] 3 7 3 2 2 2" xfId="2665" xr:uid="{57187487-86C6-416B-B3F5-BD0BEC9ED21E}"/>
    <cellStyle name="Millares [0] 3 7 3 2 2 2 2" xfId="5031" xr:uid="{6F14996D-971C-4246-AFD5-4A3CB81A6A67}"/>
    <cellStyle name="Millares [0] 3 7 3 2 2 3" xfId="3848" xr:uid="{8458DF30-2DC6-45BD-8756-E13242EFDB06}"/>
    <cellStyle name="Millares [0] 3 7 3 2 3" xfId="2247" xr:uid="{24603171-343E-4FD1-B5CA-3815D812FC22}"/>
    <cellStyle name="Millares [0] 3 7 3 2 3 2" xfId="4613" xr:uid="{83942BE6-17E4-4E3E-A5F7-3FAE0DFE5EC1}"/>
    <cellStyle name="Millares [0] 3 7 3 2 4" xfId="3430" xr:uid="{5182B91A-B08B-42A1-873B-6925AD4B4C43}"/>
    <cellStyle name="Millares [0] 3 7 3 3" xfId="1272" xr:uid="{81E83323-29A4-43E4-B939-3253F8AA85A0}"/>
    <cellStyle name="Millares [0] 3 7 3 3 2" xfId="2456" xr:uid="{9AC80546-88B2-441A-809E-6DED0708F46F}"/>
    <cellStyle name="Millares [0] 3 7 3 3 2 2" xfId="4822" xr:uid="{36BC5B7E-CC8D-40AC-BC0C-80A5702B73FA}"/>
    <cellStyle name="Millares [0] 3 7 3 3 3" xfId="3639" xr:uid="{ED8A808E-5AB6-4344-A909-68DBA207FB06}"/>
    <cellStyle name="Millares [0] 3 7 3 4" xfId="1864" xr:uid="{D653F3CF-756E-433C-ABBC-EAE2E5139DF9}"/>
    <cellStyle name="Millares [0] 3 7 3 4 2" xfId="4230" xr:uid="{BBB48209-08CB-49FD-ABA3-2C5FE0C6FEDE}"/>
    <cellStyle name="Millares [0] 3 7 3 5" xfId="3047" xr:uid="{D73389CC-F824-4B64-A0DA-65D0E9152A09}"/>
    <cellStyle name="Millares [0] 3 7 4" xfId="768" xr:uid="{11BB8415-A238-40DE-AA20-6A0FC9F100AA}"/>
    <cellStyle name="Millares [0] 3 7 4 2" xfId="1572" xr:uid="{8D72D7F1-9B59-4357-B3B9-E39A501CE0BE}"/>
    <cellStyle name="Millares [0] 3 7 4 2 2" xfId="2755" xr:uid="{EB9CA89E-0359-44DD-9101-FBB623223115}"/>
    <cellStyle name="Millares [0] 3 7 4 2 2 2" xfId="5121" xr:uid="{9164E25E-C1F2-4530-BB50-C730D7BC126F}"/>
    <cellStyle name="Millares [0] 3 7 4 2 3" xfId="3938" xr:uid="{5B3F6F08-6E10-4EDC-88AB-332799976A45}"/>
    <cellStyle name="Millares [0] 3 7 4 3" xfId="1954" xr:uid="{7D63339A-1901-4C6F-90B9-38B7EE078738}"/>
    <cellStyle name="Millares [0] 3 7 4 3 2" xfId="4320" xr:uid="{62C613F2-E9B7-4234-B327-1214459B9638}"/>
    <cellStyle name="Millares [0] 3 7 4 4" xfId="3137" xr:uid="{2E46FC0C-9A78-49B6-BE42-122BB2C2101F}"/>
    <cellStyle name="Millares [0] 3 7 5" xfId="5419" xr:uid="{E1163D96-32FB-4AFD-8A40-6DFBD63F4B15}"/>
    <cellStyle name="Millares [0] 3 8" xfId="69" xr:uid="{68AC2F82-82C1-4A8C-B6DD-CD000AE7E0B2}"/>
    <cellStyle name="Millares [0] 3 8 2" xfId="493" xr:uid="{C22AD946-9284-4AF0-A962-FF240447BE0F}"/>
    <cellStyle name="Millares [0] 3 8 2 2" xfId="1070" xr:uid="{265CB137-D713-4113-B769-3CEB1AB1AE52}"/>
    <cellStyle name="Millares [0] 3 8 2 2 2" xfId="1490" xr:uid="{2601C346-B057-48C6-8716-5D699F422CD8}"/>
    <cellStyle name="Millares [0] 3 8 2 2 2 2" xfId="2673" xr:uid="{2CF048AB-CA3C-483B-8F29-1F9EECC33DA3}"/>
    <cellStyle name="Millares [0] 3 8 2 2 2 2 2" xfId="5039" xr:uid="{A485F252-8D81-4B7F-B7BB-922E8644DBFB}"/>
    <cellStyle name="Millares [0] 3 8 2 2 2 3" xfId="3856" xr:uid="{B9FB54F3-0456-4B06-B403-782B7A9A8641}"/>
    <cellStyle name="Millares [0] 3 8 2 2 3" xfId="2255" xr:uid="{B35F172D-983D-4E59-827C-7122BD8DD8A9}"/>
    <cellStyle name="Millares [0] 3 8 2 2 3 2" xfId="4621" xr:uid="{96687BAB-CCBF-4337-AD22-DE13BD5A359C}"/>
    <cellStyle name="Millares [0] 3 8 2 2 4" xfId="3438" xr:uid="{F6A80FD6-3498-4C3F-AEE8-B8C69822585F}"/>
    <cellStyle name="Millares [0] 3 8 2 3" xfId="1280" xr:uid="{ED0547A5-F014-4433-8DB7-33C827421E27}"/>
    <cellStyle name="Millares [0] 3 8 2 3 2" xfId="2464" xr:uid="{8005C2DD-A683-456E-8032-CE1CBCCBAEED}"/>
    <cellStyle name="Millares [0] 3 8 2 3 2 2" xfId="4830" xr:uid="{9BC7BDC1-DEEB-4AFC-AFD4-1D4B8D5BDAAD}"/>
    <cellStyle name="Millares [0] 3 8 2 3 3" xfId="3647" xr:uid="{EE18ACBF-713D-4700-BBDB-A58FEA603123}"/>
    <cellStyle name="Millares [0] 3 8 2 4" xfId="1872" xr:uid="{1E2CB7BB-655E-498A-96FE-FB7B86DF2759}"/>
    <cellStyle name="Millares [0] 3 8 2 4 2" xfId="4238" xr:uid="{B89EA18B-8FCF-41E3-ACB9-8905AC9FF130}"/>
    <cellStyle name="Millares [0] 3 8 2 5" xfId="3055" xr:uid="{DB083E31-EDC7-462C-85E4-C1F95DA6D1D7}"/>
    <cellStyle name="Millares [0] 3 8 3" xfId="925" xr:uid="{67C29F71-AA80-48B0-B393-3F14D1136DBB}"/>
    <cellStyle name="Millares [0] 3 8 3 2" xfId="1345" xr:uid="{8F769B94-FCBA-4290-B522-1B9EACF01A82}"/>
    <cellStyle name="Millares [0] 3 8 3 2 2" xfId="2529" xr:uid="{7B939757-59F0-45C2-9D70-52770B839FC1}"/>
    <cellStyle name="Millares [0] 3 8 3 2 2 2" xfId="4895" xr:uid="{9D9D8453-605B-4B63-BAA9-A8766B719EEB}"/>
    <cellStyle name="Millares [0] 3 8 3 2 3" xfId="3712" xr:uid="{8E6CE127-B99D-430F-BE42-8520DDDC9C7A}"/>
    <cellStyle name="Millares [0] 3 8 3 3" xfId="2111" xr:uid="{DFA6D724-DB18-4ADA-9552-C1A993DA034D}"/>
    <cellStyle name="Millares [0] 3 8 3 3 2" xfId="4477" xr:uid="{EF2A133C-5B8D-411F-B52C-9866883D1BB8}"/>
    <cellStyle name="Millares [0] 3 8 3 4" xfId="3294" xr:uid="{BCD945FB-5EE9-4EAA-974E-AC13DF6F25C4}"/>
    <cellStyle name="Millares [0] 3 8 4" xfId="1135" xr:uid="{C0B82FEA-8D8F-40B5-B000-0E5952DB8876}"/>
    <cellStyle name="Millares [0] 3 8 4 2" xfId="2320" xr:uid="{FBD01239-401F-45D3-9D3F-6701B9EA5072}"/>
    <cellStyle name="Millares [0] 3 8 4 2 2" xfId="4686" xr:uid="{50441AFA-3569-48AA-9B8A-A188D2D2BD4E}"/>
    <cellStyle name="Millares [0] 3 8 4 3" xfId="3503" xr:uid="{F354F732-A42E-4A19-83A5-7F1C45E7C593}"/>
    <cellStyle name="Millares [0] 3 8 5" xfId="1728" xr:uid="{B9883F09-F8D8-40D1-AF20-C9AAF6246F4B}"/>
    <cellStyle name="Millares [0] 3 8 5 2" xfId="4094" xr:uid="{4B38DEE5-0199-441F-80A5-D0D6B5209D44}"/>
    <cellStyle name="Millares [0] 3 8 6" xfId="2911" xr:uid="{5A2BB78B-58C9-40AC-B673-920C57B51ABF}"/>
    <cellStyle name="Millares [0] 3 8 7" xfId="5445" xr:uid="{A9B3FC81-BE65-488D-888A-D7C5697E06AF}"/>
    <cellStyle name="Millares [0] 3 9" xfId="227" xr:uid="{50CB471E-2D2B-4C30-BB7B-BE2E96C98810}"/>
    <cellStyle name="Millares [0] 3 9 2" xfId="1029" xr:uid="{7FD8AAAA-C70B-481C-A057-B3FBF92C8D7C}"/>
    <cellStyle name="Millares [0] 3 9 2 2" xfId="1449" xr:uid="{562AB48F-264D-4D0E-BFD1-A7995119C2AE}"/>
    <cellStyle name="Millares [0] 3 9 2 2 2" xfId="2633" xr:uid="{FF94647B-67A7-49AD-92EB-A3567EFC93CF}"/>
    <cellStyle name="Millares [0] 3 9 2 2 2 2" xfId="4999" xr:uid="{699E46D8-53F0-4BF1-A011-64362E7CC8FF}"/>
    <cellStyle name="Millares [0] 3 9 2 2 3" xfId="3816" xr:uid="{7D0B8FA8-34ED-4A4C-B403-B43C089ED8D2}"/>
    <cellStyle name="Millares [0] 3 9 2 3" xfId="2215" xr:uid="{B092B88E-3AA4-45DA-B986-8FB288C61867}"/>
    <cellStyle name="Millares [0] 3 9 2 3 2" xfId="4581" xr:uid="{AE240ED1-96DB-48A2-BF15-E9FCF805FC39}"/>
    <cellStyle name="Millares [0] 3 9 2 4" xfId="3398" xr:uid="{BD72D22F-E2A4-4F75-ABAE-69BAE91B1D15}"/>
    <cellStyle name="Millares [0] 3 9 3" xfId="1239" xr:uid="{7537D578-F5AC-4327-9230-6E0F66BFC763}"/>
    <cellStyle name="Millares [0] 3 9 3 2" xfId="2424" xr:uid="{D13D9A5A-B420-44DD-9BE0-96DF2DDCC89B}"/>
    <cellStyle name="Millares [0] 3 9 3 2 2" xfId="4790" xr:uid="{5213F1BD-9EDB-4F17-830F-2AD7F3BC2CF4}"/>
    <cellStyle name="Millares [0] 3 9 3 3" xfId="3607" xr:uid="{C4A892BD-3683-420B-BC0E-BEDF221FBC54}"/>
    <cellStyle name="Millares [0] 3 9 4" xfId="1832" xr:uid="{19F7C7B2-FC60-4688-A354-A5E1DB66A353}"/>
    <cellStyle name="Millares [0] 3 9 4 2" xfId="4198" xr:uid="{6BB5579E-4260-46E0-8E70-64D0C83AF16C}"/>
    <cellStyle name="Millares [0] 3 9 5" xfId="3015" xr:uid="{048C5A03-7604-4F4A-8FD8-728C69657491}"/>
    <cellStyle name="Millares [0] 3 9 6" xfId="5471" xr:uid="{728FFA71-D547-4BEB-9FAE-E3713B67B1DA}"/>
    <cellStyle name="Millares [0] 30" xfId="5523" xr:uid="{32337B1D-5D72-4E28-A99D-626E849F082F}"/>
    <cellStyle name="Millares [0] 31" xfId="5525" xr:uid="{3F4F14C2-C4B3-4018-BDC8-C7520ECF586F}"/>
    <cellStyle name="Millares [0] 4" xfId="117" xr:uid="{EEB70B32-37D0-4A5F-8270-B5779EC67934}"/>
    <cellStyle name="Millares [0] 4 10" xfId="1155" xr:uid="{B881B0D7-664C-433E-9008-F64ED1F1E557}"/>
    <cellStyle name="Millares [0] 4 10 2" xfId="2340" xr:uid="{CCDCF7B2-E306-4693-9CF5-5B7F60BF2000}"/>
    <cellStyle name="Millares [0] 4 10 2 2" xfId="4706" xr:uid="{AAF3FAB4-BE92-42A9-B399-D704242BAD20}"/>
    <cellStyle name="Millares [0] 4 10 3" xfId="3523" xr:uid="{CAF4FCC6-CD12-4B22-BE18-F609BDD38489}"/>
    <cellStyle name="Millares [0] 4 11" xfId="1748" xr:uid="{4D46D345-9782-4ABF-8EDE-9334A8BEB87D}"/>
    <cellStyle name="Millares [0] 4 11 2" xfId="4114" xr:uid="{24D6F63A-91E4-43DE-AED7-274811BE8793}"/>
    <cellStyle name="Millares [0] 4 12" xfId="2931" xr:uid="{520DD67D-83D8-482B-80C8-7E5AE5195971}"/>
    <cellStyle name="Millares [0] 4 13" xfId="5288" xr:uid="{BBB94952-2FEC-42EA-B56E-9009C0C85096}"/>
    <cellStyle name="Millares [0] 4 2" xfId="212" xr:uid="{011F4C49-F916-484B-BF49-B5F019D88CA7}"/>
    <cellStyle name="Millares [0] 4 2 10" xfId="5311" xr:uid="{3A0A5435-16DB-4A7B-A2BD-7469745BFDA4}"/>
    <cellStyle name="Millares [0] 4 2 2" xfId="545" xr:uid="{343B7F3F-25EC-4FE2-9F7B-5FBF8DDD5805}"/>
    <cellStyle name="Millares [0] 4 2 2 2" xfId="1078" xr:uid="{02A2B313-C3BC-478D-B419-5DD9372186F6}"/>
    <cellStyle name="Millares [0] 4 2 2 2 2" xfId="1498" xr:uid="{F1FF70CD-CCA7-4F3E-BC22-22DEC55617A8}"/>
    <cellStyle name="Millares [0] 4 2 2 2 2 2" xfId="2681" xr:uid="{7FE564B4-61A1-4EEF-B239-6CE5066926E3}"/>
    <cellStyle name="Millares [0] 4 2 2 2 2 2 2" xfId="5047" xr:uid="{59A59E02-9AC1-4009-B367-120C02714D5F}"/>
    <cellStyle name="Millares [0] 4 2 2 2 2 3" xfId="3864" xr:uid="{97E72B17-0075-44F8-8F28-D65F96864376}"/>
    <cellStyle name="Millares [0] 4 2 2 2 3" xfId="2263" xr:uid="{3A46F3B5-725C-4658-8F7E-96ED5F6814D1}"/>
    <cellStyle name="Millares [0] 4 2 2 2 3 2" xfId="4629" xr:uid="{DBB172A8-160C-41C4-B92A-F9245D5E81C4}"/>
    <cellStyle name="Millares [0] 4 2 2 2 4" xfId="3446" xr:uid="{463EAA2B-F726-470A-875D-51303D6C35FB}"/>
    <cellStyle name="Millares [0] 4 2 2 3" xfId="1288" xr:uid="{0F28CBC5-92CE-448C-9F97-79B06AE251D7}"/>
    <cellStyle name="Millares [0] 4 2 2 3 2" xfId="2472" xr:uid="{2A6E9B90-B75E-4F01-99BD-B84EFDE6312E}"/>
    <cellStyle name="Millares [0] 4 2 2 3 2 2" xfId="4838" xr:uid="{D71EAD30-82D1-41B9-9A9B-8EBFCA9BDDFC}"/>
    <cellStyle name="Millares [0] 4 2 2 3 3" xfId="3655" xr:uid="{3F7B2494-9A84-4D21-9B8E-DCBFC15649D0}"/>
    <cellStyle name="Millares [0] 4 2 2 4" xfId="1880" xr:uid="{D1850441-C75A-4A37-B6BF-B4177977523D}"/>
    <cellStyle name="Millares [0] 4 2 2 4 2" xfId="4246" xr:uid="{1C4DE3A2-5AB4-4FCF-AB77-0693CF7C2C51}"/>
    <cellStyle name="Millares [0] 4 2 2 5" xfId="3063" xr:uid="{0EABDB9A-A941-402F-9BE4-E5CE191AEC78}"/>
    <cellStyle name="Millares [0] 4 2 2 6" xfId="5337" xr:uid="{5EEE434B-A26F-4F31-A735-BBD73A231923}"/>
    <cellStyle name="Millares [0] 4 2 3" xfId="298" xr:uid="{DC3D5262-3FC0-47EF-BD97-7D9071C22216}"/>
    <cellStyle name="Millares [0] 4 2 3 2" xfId="1043" xr:uid="{5B7F85B6-27F3-479D-A48C-DC0BA20BC75F}"/>
    <cellStyle name="Millares [0] 4 2 3 2 2" xfId="1463" xr:uid="{510D3BB6-3B4B-4751-B44E-15BF5DFB6891}"/>
    <cellStyle name="Millares [0] 4 2 3 2 2 2" xfId="2646" xr:uid="{8CB64DA0-E58E-41CF-9E0A-BE68D0C3F373}"/>
    <cellStyle name="Millares [0] 4 2 3 2 2 2 2" xfId="5012" xr:uid="{9DFD3CDF-6B97-4FE7-85DB-883836AE7132}"/>
    <cellStyle name="Millares [0] 4 2 3 2 2 3" xfId="3829" xr:uid="{7224321A-47D4-4F11-B38E-8C0AD5357DBB}"/>
    <cellStyle name="Millares [0] 4 2 3 2 3" xfId="2228" xr:uid="{5BCBF23C-6241-4D23-8672-C86EEB211827}"/>
    <cellStyle name="Millares [0] 4 2 3 2 3 2" xfId="4594" xr:uid="{96E3960B-692E-4A60-81AC-89DD5FB90B94}"/>
    <cellStyle name="Millares [0] 4 2 3 2 4" xfId="3411" xr:uid="{C7621014-8BA9-41C3-9399-89EFDD2C0EE3}"/>
    <cellStyle name="Millares [0] 4 2 3 3" xfId="1253" xr:uid="{DEE13D39-BE20-4732-B520-D3F013D025A9}"/>
    <cellStyle name="Millares [0] 4 2 3 3 2" xfId="2437" xr:uid="{F7298FBF-96B3-409D-A2D6-2D5C3F284DCB}"/>
    <cellStyle name="Millares [0] 4 2 3 3 2 2" xfId="4803" xr:uid="{A58AC9FC-DB0E-450A-AEE9-329B552095BD}"/>
    <cellStyle name="Millares [0] 4 2 3 3 3" xfId="3620" xr:uid="{8FD5DE92-3216-4D42-9B63-89F1DF8D8245}"/>
    <cellStyle name="Millares [0] 4 2 3 4" xfId="1845" xr:uid="{0D04456C-6D00-40D9-9B12-B00F5F048B80}"/>
    <cellStyle name="Millares [0] 4 2 3 4 2" xfId="4211" xr:uid="{5B6839F6-C358-4ABE-8D98-7715ACDE173E}"/>
    <cellStyle name="Millares [0] 4 2 3 5" xfId="3028" xr:uid="{ACF8BD7C-6032-4333-9F7A-11CD0CF2A8A6}"/>
    <cellStyle name="Millares [0] 4 2 3 6" xfId="5361" xr:uid="{E7765923-86E8-43FD-8360-564C737385FF}"/>
    <cellStyle name="Millares [0] 4 2 4" xfId="749" xr:uid="{12118241-61FC-4D32-9F24-70BE5CDDF733}"/>
    <cellStyle name="Millares [0] 4 2 4 2" xfId="1553" xr:uid="{9B4934DF-0C90-49DC-8D73-976FA8FE3887}"/>
    <cellStyle name="Millares [0] 4 2 4 2 2" xfId="2736" xr:uid="{9CDF8189-9AD4-445A-AA53-4A0A4FC7E34B}"/>
    <cellStyle name="Millares [0] 4 2 4 2 2 2" xfId="5102" xr:uid="{16500E51-5433-4509-BB6D-E51BF3F941C5}"/>
    <cellStyle name="Millares [0] 4 2 4 2 3" xfId="3919" xr:uid="{48B94FEE-FA3A-425A-A2D7-BDD84D626B16}"/>
    <cellStyle name="Millares [0] 4 2 4 3" xfId="1935" xr:uid="{DBE5FA17-BB03-4797-97EB-7EFF111864CC}"/>
    <cellStyle name="Millares [0] 4 2 4 3 2" xfId="4301" xr:uid="{2306B07A-32B6-4333-AA8A-497759E330B8}"/>
    <cellStyle name="Millares [0] 4 2 4 4" xfId="3118" xr:uid="{4330E92F-F947-4096-8A87-11A6A126B68E}"/>
    <cellStyle name="Millares [0] 4 2 4 5" xfId="5386" xr:uid="{FC23CD88-936B-4C17-B336-4D97D8181C47}"/>
    <cellStyle name="Millares [0] 4 2 5" xfId="804" xr:uid="{543C8DE8-BC3A-440C-827B-6E26102BBDF7}"/>
    <cellStyle name="Millares [0] 4 2 5 2" xfId="1608" xr:uid="{E5855FD8-5B00-4A63-BE56-B5592CC81EA5}"/>
    <cellStyle name="Millares [0] 4 2 5 2 2" xfId="2791" xr:uid="{5BCCC2FF-29BD-409A-A8C1-BC429FF597A6}"/>
    <cellStyle name="Millares [0] 4 2 5 2 2 2" xfId="5157" xr:uid="{D3CDB1E1-CB43-4C63-9487-02260C463257}"/>
    <cellStyle name="Millares [0] 4 2 5 2 3" xfId="3974" xr:uid="{D6FA25F1-F159-437A-804F-C6241F583D2D}"/>
    <cellStyle name="Millares [0] 4 2 5 3" xfId="1990" xr:uid="{785B31F3-D194-4FB7-8AB8-3F67460EA9CB}"/>
    <cellStyle name="Millares [0] 4 2 5 3 2" xfId="4356" xr:uid="{760BA2DE-9356-4722-8C6D-17CAB50A94C9}"/>
    <cellStyle name="Millares [0] 4 2 5 4" xfId="3173" xr:uid="{EE969191-DE1D-4591-AEDF-45CDC8CD5B47}"/>
    <cellStyle name="Millares [0] 4 2 5 5" xfId="5411" xr:uid="{7F4442B3-4784-457B-BC22-E9A25DC9BE49}"/>
    <cellStyle name="Millares [0] 4 2 6" xfId="1014" xr:uid="{F99F9952-3DD0-4E7E-85FD-887C475EB832}"/>
    <cellStyle name="Millares [0] 4 2 6 2" xfId="1434" xr:uid="{DD3166B6-5A8B-4886-87D9-57E7CEC2C3ED}"/>
    <cellStyle name="Millares [0] 4 2 6 2 2" xfId="2618" xr:uid="{688D4F42-BBD3-419E-9AAE-EB0242440F01}"/>
    <cellStyle name="Millares [0] 4 2 6 2 2 2" xfId="4984" xr:uid="{8C7167F8-B6D0-4AEB-BEB2-14C4D509EB28}"/>
    <cellStyle name="Millares [0] 4 2 6 2 3" xfId="3801" xr:uid="{1896FB25-C763-467A-BC54-A17D85647079}"/>
    <cellStyle name="Millares [0] 4 2 6 3" xfId="2200" xr:uid="{6D52AFCC-9BEC-4F59-ABAE-9F6A529AF4B1}"/>
    <cellStyle name="Millares [0] 4 2 6 3 2" xfId="4566" xr:uid="{0D7B983C-6E2D-41A4-9681-699920DEF009}"/>
    <cellStyle name="Millares [0] 4 2 6 4" xfId="3383" xr:uid="{4F9CC117-A7A2-41F6-83A2-A480E9FF8DE3}"/>
    <cellStyle name="Millares [0] 4 2 6 5" xfId="5436" xr:uid="{AE9E40B9-A0B1-478D-8ACF-B0B713A2F7BB}"/>
    <cellStyle name="Millares [0] 4 2 7" xfId="1224" xr:uid="{62324750-03AB-4535-9084-FA98DEA2E629}"/>
    <cellStyle name="Millares [0] 4 2 7 2" xfId="2409" xr:uid="{BB8071D6-6894-40D1-8327-F93F4364F195}"/>
    <cellStyle name="Millares [0] 4 2 7 2 2" xfId="4775" xr:uid="{5E447A5D-722F-4F03-A8EA-D5F6B063A8C6}"/>
    <cellStyle name="Millares [0] 4 2 7 3" xfId="3592" xr:uid="{6C9D9200-A18F-42AC-98FC-29A7A1D9679A}"/>
    <cellStyle name="Millares [0] 4 2 7 4" xfId="5462" xr:uid="{94A9695C-AAC0-48CE-92CA-59C8163C87A1}"/>
    <cellStyle name="Millares [0] 4 2 8" xfId="1817" xr:uid="{F31B20B8-8C6E-441A-B0B8-3BFDF7FF2C50}"/>
    <cellStyle name="Millares [0] 4 2 8 2" xfId="4183" xr:uid="{2E74397B-69D8-4D37-8066-6EE4763D4DFD}"/>
    <cellStyle name="Millares [0] 4 2 8 3" xfId="5488" xr:uid="{89923897-A859-47BB-9AE4-203411350D5B}"/>
    <cellStyle name="Millares [0] 4 2 9" xfId="3000" xr:uid="{50CC99ED-D24D-45AB-B0CC-E39EA0D8D37B}"/>
    <cellStyle name="Millares [0] 4 3" xfId="191" xr:uid="{905DD5C1-FC26-4433-A941-3421FEE4C6D6}"/>
    <cellStyle name="Millares [0] 4 3 10" xfId="5321" xr:uid="{F25BBB23-360C-415E-9A02-869522927C42}"/>
    <cellStyle name="Millares [0] 4 3 2" xfId="574" xr:uid="{56B473FB-A7C2-43BA-85D2-F3AF5F7D7909}"/>
    <cellStyle name="Millares [0] 4 3 2 2" xfId="1084" xr:uid="{1A6AB00C-F3B1-4864-B5B7-654E9899E6A9}"/>
    <cellStyle name="Millares [0] 4 3 2 2 2" xfId="1504" xr:uid="{DD2D734E-4B4F-4C2B-A3CB-9CC11FB30BB0}"/>
    <cellStyle name="Millares [0] 4 3 2 2 2 2" xfId="2687" xr:uid="{6304B5E4-C2C6-43D9-B812-3FE76C126CC5}"/>
    <cellStyle name="Millares [0] 4 3 2 2 2 2 2" xfId="5053" xr:uid="{30275891-7D81-456F-ACEC-2C7618F34557}"/>
    <cellStyle name="Millares [0] 4 3 2 2 2 3" xfId="3870" xr:uid="{015C21BE-88F7-4CA1-98BA-B0AF39F5AF29}"/>
    <cellStyle name="Millares [0] 4 3 2 2 3" xfId="2269" xr:uid="{F551B6FB-8294-482B-91B6-8640EE10E6C8}"/>
    <cellStyle name="Millares [0] 4 3 2 2 3 2" xfId="4635" xr:uid="{BCA5A08E-59B6-4F12-8375-510C6A3954DD}"/>
    <cellStyle name="Millares [0] 4 3 2 2 4" xfId="3452" xr:uid="{4A7804D8-CD41-474B-9309-853066F5A762}"/>
    <cellStyle name="Millares [0] 4 3 2 3" xfId="1294" xr:uid="{1CC4A646-5DEA-48DF-B718-34CDF5869BE2}"/>
    <cellStyle name="Millares [0] 4 3 2 3 2" xfId="2478" xr:uid="{C741A426-2458-4529-9281-413A426F867B}"/>
    <cellStyle name="Millares [0] 4 3 2 3 2 2" xfId="4844" xr:uid="{60CC62D9-A60C-4BE9-9BCF-23C734ED8437}"/>
    <cellStyle name="Millares [0] 4 3 2 3 3" xfId="3661" xr:uid="{653FB865-2CD4-444E-A850-667E17714B9D}"/>
    <cellStyle name="Millares [0] 4 3 2 4" xfId="1886" xr:uid="{709F8E78-5D85-4561-8326-A5064DAD0FC0}"/>
    <cellStyle name="Millares [0] 4 3 2 4 2" xfId="4252" xr:uid="{87B9FEEC-5FF2-4A76-ADEC-DD2A68CEA339}"/>
    <cellStyle name="Millares [0] 4 3 2 5" xfId="3069" xr:uid="{6DEE8FA0-610E-4AC3-82D5-23225EECD846}"/>
    <cellStyle name="Millares [0] 4 3 3" xfId="325" xr:uid="{E3C0467E-12B8-4B77-961F-06F1D69DB7A1}"/>
    <cellStyle name="Millares [0] 4 3 3 2" xfId="1049" xr:uid="{3B8200EB-C0E4-4A75-AF28-D91976D89B2F}"/>
    <cellStyle name="Millares [0] 4 3 3 2 2" xfId="1469" xr:uid="{627B5B8F-C846-47B1-855D-1691106DE7C9}"/>
    <cellStyle name="Millares [0] 4 3 3 2 2 2" xfId="2652" xr:uid="{3A3731A0-AF22-4387-A590-48569B58BAC8}"/>
    <cellStyle name="Millares [0] 4 3 3 2 2 2 2" xfId="5018" xr:uid="{FDB2BE19-B0E9-4C51-9C7B-8F49C291993D}"/>
    <cellStyle name="Millares [0] 4 3 3 2 2 3" xfId="3835" xr:uid="{2F1C37C8-3AEC-446E-82CD-C3C387219793}"/>
    <cellStyle name="Millares [0] 4 3 3 2 3" xfId="2234" xr:uid="{06619059-0803-4EBF-A2CE-C0CBC35AFC04}"/>
    <cellStyle name="Millares [0] 4 3 3 2 3 2" xfId="4600" xr:uid="{0E8C6AC4-13FD-431C-B11A-86C705696BB9}"/>
    <cellStyle name="Millares [0] 4 3 3 2 4" xfId="3417" xr:uid="{37CC4B37-841E-4F61-9B2E-730CF1A257C4}"/>
    <cellStyle name="Millares [0] 4 3 3 3" xfId="1259" xr:uid="{17AADF81-E888-4918-9287-D417674D85B0}"/>
    <cellStyle name="Millares [0] 4 3 3 3 2" xfId="2443" xr:uid="{F3A089D5-335A-49A7-AB06-B19A2976D4D8}"/>
    <cellStyle name="Millares [0] 4 3 3 3 2 2" xfId="4809" xr:uid="{1C8F4A8B-6F89-4413-8FB0-5615E0328BB8}"/>
    <cellStyle name="Millares [0] 4 3 3 3 3" xfId="3626" xr:uid="{3625D6ED-73AE-4455-983D-55B5C7BB46B8}"/>
    <cellStyle name="Millares [0] 4 3 3 4" xfId="1851" xr:uid="{7B882078-942F-4A0D-8AA7-1E4306468972}"/>
    <cellStyle name="Millares [0] 4 3 3 4 2" xfId="4217" xr:uid="{0F29695B-288D-4FCA-9B59-DB9ACEE1AD41}"/>
    <cellStyle name="Millares [0] 4 3 3 5" xfId="3034" xr:uid="{C76B9568-29B5-402B-B5F5-B74E1D00FE9E}"/>
    <cellStyle name="Millares [0] 4 3 4" xfId="755" xr:uid="{D56ABCE5-83AE-4E09-A2A9-12D96FF6B48E}"/>
    <cellStyle name="Millares [0] 4 3 4 2" xfId="1559" xr:uid="{4AF96E2D-93F1-47A7-BFD0-813ADED210DB}"/>
    <cellStyle name="Millares [0] 4 3 4 2 2" xfId="2742" xr:uid="{8FB73236-C9BF-4DF6-8F28-E83BE9EF19EC}"/>
    <cellStyle name="Millares [0] 4 3 4 2 2 2" xfId="5108" xr:uid="{86FD8AB1-FCBC-486B-B537-1C5FBFA2A1CB}"/>
    <cellStyle name="Millares [0] 4 3 4 2 3" xfId="3925" xr:uid="{EF6CAC5A-0EA4-452A-887E-A50B827F8F6D}"/>
    <cellStyle name="Millares [0] 4 3 4 3" xfId="1941" xr:uid="{19838CA7-DBEF-433A-B62E-83C95B7F430D}"/>
    <cellStyle name="Millares [0] 4 3 4 3 2" xfId="4307" xr:uid="{608CDD22-1314-4E2A-A2F5-71A2FA15F5EE}"/>
    <cellStyle name="Millares [0] 4 3 4 4" xfId="3124" xr:uid="{F0D39949-2297-4DA0-8866-D2135EBF56D6}"/>
    <cellStyle name="Millares [0] 4 3 5" xfId="832" xr:uid="{76941B41-C2DC-45B1-81F4-E2C22810FE87}"/>
    <cellStyle name="Millares [0] 4 3 5 2" xfId="1636" xr:uid="{074F2A94-EB4C-4A3B-BD13-91E10812D65B}"/>
    <cellStyle name="Millares [0] 4 3 5 2 2" xfId="2819" xr:uid="{18D66F3B-0E9B-4A50-BF0F-8C2A48AFD214}"/>
    <cellStyle name="Millares [0] 4 3 5 2 2 2" xfId="5185" xr:uid="{19CCAF8B-53A1-4E5C-9A6C-75B909630ADC}"/>
    <cellStyle name="Millares [0] 4 3 5 2 3" xfId="4002" xr:uid="{E049E2BD-D65C-4CDF-9B97-FBCF414E1780}"/>
    <cellStyle name="Millares [0] 4 3 5 3" xfId="2018" xr:uid="{F6E7BED5-3078-47D9-B1FE-24C354E1DB2D}"/>
    <cellStyle name="Millares [0] 4 3 5 3 2" xfId="4384" xr:uid="{E6C0FE4B-551A-4315-BBB2-E823984BE501}"/>
    <cellStyle name="Millares [0] 4 3 5 4" xfId="3201" xr:uid="{11BB62F6-DE35-4D80-A079-03BF96B80B91}"/>
    <cellStyle name="Millares [0] 4 3 6" xfId="997" xr:uid="{85C1F8C2-ED21-4BCA-8700-9C650BC91078}"/>
    <cellStyle name="Millares [0] 4 3 6 2" xfId="1417" xr:uid="{75A11575-2494-41E9-B51C-61258BECB053}"/>
    <cellStyle name="Millares [0] 4 3 6 2 2" xfId="2601" xr:uid="{3D4BE632-7B45-44E5-8B67-2AA1B7A5EF71}"/>
    <cellStyle name="Millares [0] 4 3 6 2 2 2" xfId="4967" xr:uid="{238A4B17-DE41-4956-A3F6-679904E23E27}"/>
    <cellStyle name="Millares [0] 4 3 6 2 3" xfId="3784" xr:uid="{2F12FA16-6FF6-4A39-9D92-8643291A98E1}"/>
    <cellStyle name="Millares [0] 4 3 6 3" xfId="2183" xr:uid="{90BCE3C9-51DE-4958-B7E1-BB1F23991394}"/>
    <cellStyle name="Millares [0] 4 3 6 3 2" xfId="4549" xr:uid="{8E4C3178-DB6D-4E47-9DB2-E7EBD62E5F1D}"/>
    <cellStyle name="Millares [0] 4 3 6 4" xfId="3366" xr:uid="{965EDB12-58FF-439A-B57B-B8C7E1268C48}"/>
    <cellStyle name="Millares [0] 4 3 7" xfId="1207" xr:uid="{68F0D09F-4D9B-4254-9977-285AE1EF2CCC}"/>
    <cellStyle name="Millares [0] 4 3 7 2" xfId="2392" xr:uid="{426FE5D5-D6AF-45D9-89C8-5C581599C4B2}"/>
    <cellStyle name="Millares [0] 4 3 7 2 2" xfId="4758" xr:uid="{0EC26688-8402-4289-9739-E386A264CBFA}"/>
    <cellStyle name="Millares [0] 4 3 7 3" xfId="3575" xr:uid="{DDCCDE71-FAA7-4C73-B902-C7CAF11C8070}"/>
    <cellStyle name="Millares [0] 4 3 8" xfId="1800" xr:uid="{D76A91E3-CE53-4BC0-B01A-E445E8C2933B}"/>
    <cellStyle name="Millares [0] 4 3 8 2" xfId="4166" xr:uid="{AFAEE2AD-AD37-41D6-A021-BCD456252018}"/>
    <cellStyle name="Millares [0] 4 3 9" xfId="2983" xr:uid="{53C8CB20-B2EE-4E95-90F8-078537619B74}"/>
    <cellStyle name="Millares [0] 4 4" xfId="165" xr:uid="{42B1FD4F-112F-4319-B161-DDEEF9B090B3}"/>
    <cellStyle name="Millares [0] 4 4 10" xfId="5347" xr:uid="{C28E0319-D32E-403C-A1AF-917EEC20E4E7}"/>
    <cellStyle name="Millares [0] 4 4 2" xfId="678" xr:uid="{F962422C-338A-40C9-99D7-DA77E91B79DE}"/>
    <cellStyle name="Millares [0] 4 4 2 2" xfId="1098" xr:uid="{6EF8FB3A-49CD-4EB1-92A4-861717C4CE30}"/>
    <cellStyle name="Millares [0] 4 4 2 2 2" xfId="1518" xr:uid="{4CF93E9B-2DC1-4A7F-B5D8-71C4E668AC9B}"/>
    <cellStyle name="Millares [0] 4 4 2 2 2 2" xfId="2701" xr:uid="{35B4DE68-1ACF-4731-B445-81BB7383D559}"/>
    <cellStyle name="Millares [0] 4 4 2 2 2 2 2" xfId="5067" xr:uid="{57C8C88E-2064-4EE3-B6B1-1B7E2EDDE333}"/>
    <cellStyle name="Millares [0] 4 4 2 2 2 3" xfId="3884" xr:uid="{D92634F2-B0A9-48C3-903F-8C876CE17B72}"/>
    <cellStyle name="Millares [0] 4 4 2 2 3" xfId="2283" xr:uid="{2055968D-DF45-4AFD-B807-AB0301277E97}"/>
    <cellStyle name="Millares [0] 4 4 2 2 3 2" xfId="4649" xr:uid="{6D77F556-AA53-4587-8732-318D79A2BBB5}"/>
    <cellStyle name="Millares [0] 4 4 2 2 4" xfId="3466" xr:uid="{1E25E5C4-BAD5-4CF8-BD75-AE9E6251B89D}"/>
    <cellStyle name="Millares [0] 4 4 2 3" xfId="1308" xr:uid="{7EFAA345-AE5E-465E-9BA5-5F4EE202468D}"/>
    <cellStyle name="Millares [0] 4 4 2 3 2" xfId="2492" xr:uid="{87DDD527-F8A6-4EDD-BC8C-727F780C4426}"/>
    <cellStyle name="Millares [0] 4 4 2 3 2 2" xfId="4858" xr:uid="{703BA359-B0D5-4EA3-A090-B37F53D10C8C}"/>
    <cellStyle name="Millares [0] 4 4 2 3 3" xfId="3675" xr:uid="{9D8E57AA-FFD5-4243-98FD-9214893F236F}"/>
    <cellStyle name="Millares [0] 4 4 2 4" xfId="1900" xr:uid="{72C84D4F-EAFC-4186-A84C-F5BCE453D079}"/>
    <cellStyle name="Millares [0] 4 4 2 4 2" xfId="4266" xr:uid="{9C3FD78D-DCC7-4A3D-8298-018C9F89E94F}"/>
    <cellStyle name="Millares [0] 4 4 2 5" xfId="3083" xr:uid="{B5E9B16A-D22A-4895-A9BA-064FB359732B}"/>
    <cellStyle name="Millares [0] 4 4 3" xfId="431" xr:uid="{B36BFADF-4042-4CE8-8F86-79BC045EDDCC}"/>
    <cellStyle name="Millares [0] 4 4 3 2" xfId="1063" xr:uid="{42F025A1-12AC-44D9-B53E-3DA7A4C3219F}"/>
    <cellStyle name="Millares [0] 4 4 3 2 2" xfId="1483" xr:uid="{596A305D-9E5B-40B8-8809-ECAE7C6A1974}"/>
    <cellStyle name="Millares [0] 4 4 3 2 2 2" xfId="2666" xr:uid="{6FFA862D-C528-4E17-AF99-BB1A6ACE354C}"/>
    <cellStyle name="Millares [0] 4 4 3 2 2 2 2" xfId="5032" xr:uid="{F5BB22E7-4D70-4482-B6DC-284F197D8302}"/>
    <cellStyle name="Millares [0] 4 4 3 2 2 3" xfId="3849" xr:uid="{85779E75-485C-4CDC-9BE2-7C6AC2BC6094}"/>
    <cellStyle name="Millares [0] 4 4 3 2 3" xfId="2248" xr:uid="{BD536799-FF57-44B0-B8EE-583AD7A6E1EA}"/>
    <cellStyle name="Millares [0] 4 4 3 2 3 2" xfId="4614" xr:uid="{EE6C0646-DCC1-42D9-A3D9-AF646BE88F03}"/>
    <cellStyle name="Millares [0] 4 4 3 2 4" xfId="3431" xr:uid="{A1AA0096-E2CF-4DA4-8D7C-9D4083CD2BE5}"/>
    <cellStyle name="Millares [0] 4 4 3 3" xfId="1273" xr:uid="{40BEAEA2-9CF1-41FE-A240-1180BBA32FC8}"/>
    <cellStyle name="Millares [0] 4 4 3 3 2" xfId="2457" xr:uid="{C24DA932-FCDF-4855-91EF-05875A0C026A}"/>
    <cellStyle name="Millares [0] 4 4 3 3 2 2" xfId="4823" xr:uid="{BBCBF536-81D3-47D9-8C5E-9CAAE04631A8}"/>
    <cellStyle name="Millares [0] 4 4 3 3 3" xfId="3640" xr:uid="{97C9FF20-DCA7-4A25-9F5D-18158E24CD0E}"/>
    <cellStyle name="Millares [0] 4 4 3 4" xfId="1865" xr:uid="{B986AB2F-59B1-4FEA-ADB7-34AFFB986234}"/>
    <cellStyle name="Millares [0] 4 4 3 4 2" xfId="4231" xr:uid="{FB44D836-7528-4AF3-92BD-9EB6C0402DFE}"/>
    <cellStyle name="Millares [0] 4 4 3 5" xfId="3048" xr:uid="{CFEA94AB-DC96-4521-AE59-58B4D6CD650E}"/>
    <cellStyle name="Millares [0] 4 4 4" xfId="769" xr:uid="{18CF9E62-FB56-4E96-9660-21EC1ADB4E8F}"/>
    <cellStyle name="Millares [0] 4 4 4 2" xfId="1573" xr:uid="{D6594597-F914-4125-9363-8A6819BD4FF8}"/>
    <cellStyle name="Millares [0] 4 4 4 2 2" xfId="2756" xr:uid="{8EF1E41A-41E6-486D-B5C0-675AB616500F}"/>
    <cellStyle name="Millares [0] 4 4 4 2 2 2" xfId="5122" xr:uid="{96EB630C-810C-4CD0-A5A6-47ECD21271FB}"/>
    <cellStyle name="Millares [0] 4 4 4 2 3" xfId="3939" xr:uid="{58CFFDD0-72F1-4254-B00F-6F2EEC2F1DF2}"/>
    <cellStyle name="Millares [0] 4 4 4 3" xfId="1955" xr:uid="{0634F849-6880-48F0-97E3-5A61908DD2FB}"/>
    <cellStyle name="Millares [0] 4 4 4 3 2" xfId="4321" xr:uid="{508637FE-BDE0-4E74-B062-A0B3A92C1854}"/>
    <cellStyle name="Millares [0] 4 4 4 4" xfId="3138" xr:uid="{02F15C0A-1939-4972-B1BF-AD75CC7249FE}"/>
    <cellStyle name="Millares [0] 4 4 5" xfId="860" xr:uid="{F57B00AB-2BA8-4978-BD63-730826C68A09}"/>
    <cellStyle name="Millares [0] 4 4 5 2" xfId="1664" xr:uid="{247479B3-A4B7-44C9-BF13-5051308C1B05}"/>
    <cellStyle name="Millares [0] 4 4 5 2 2" xfId="2847" xr:uid="{C54208BF-7991-4785-8433-1AAE035D56F2}"/>
    <cellStyle name="Millares [0] 4 4 5 2 2 2" xfId="5213" xr:uid="{3D71D945-704A-44AA-B678-F6229889DC8F}"/>
    <cellStyle name="Millares [0] 4 4 5 2 3" xfId="4030" xr:uid="{4C7C6F1D-DDE2-425D-819C-8A8489D54489}"/>
    <cellStyle name="Millares [0] 4 4 5 3" xfId="2046" xr:uid="{AB098291-38B2-408C-9B32-82653287EB9B}"/>
    <cellStyle name="Millares [0] 4 4 5 3 2" xfId="4412" xr:uid="{5130FAE8-97E0-4074-8C82-5A5862F18F95}"/>
    <cellStyle name="Millares [0] 4 4 5 4" xfId="3229" xr:uid="{C6791AC2-3401-4E2E-896C-669EAFD3B649}"/>
    <cellStyle name="Millares [0] 4 4 6" xfId="972" xr:uid="{834CC950-67EC-49B5-A4B2-BBF8B9EE87AC}"/>
    <cellStyle name="Millares [0] 4 4 6 2" xfId="1392" xr:uid="{A70F241E-B3F0-4123-A7E9-66D330A28C8D}"/>
    <cellStyle name="Millares [0] 4 4 6 2 2" xfId="2576" xr:uid="{4F67CF1B-3421-4DBF-B398-399CF4204A6E}"/>
    <cellStyle name="Millares [0] 4 4 6 2 2 2" xfId="4942" xr:uid="{D750AF99-35D9-408D-A096-5199DA812AFE}"/>
    <cellStyle name="Millares [0] 4 4 6 2 3" xfId="3759" xr:uid="{04324075-CB82-4A57-92E3-422C47290A37}"/>
    <cellStyle name="Millares [0] 4 4 6 3" xfId="2158" xr:uid="{D9BBCACA-73DB-400C-A13A-125076CD65E3}"/>
    <cellStyle name="Millares [0] 4 4 6 3 2" xfId="4524" xr:uid="{A76D2FC4-A493-44D8-8ED4-0E02F63DC79E}"/>
    <cellStyle name="Millares [0] 4 4 6 4" xfId="3341" xr:uid="{9EBAD34F-C425-488B-A730-8E82DE80B28E}"/>
    <cellStyle name="Millares [0] 4 4 7" xfId="1182" xr:uid="{1614B1E1-9D06-4435-BEB8-DE87530A5501}"/>
    <cellStyle name="Millares [0] 4 4 7 2" xfId="2367" xr:uid="{76917F46-0F17-4FF3-B947-ACD88310A76B}"/>
    <cellStyle name="Millares [0] 4 4 7 2 2" xfId="4733" xr:uid="{E623B9EC-3EA7-4E09-8CA1-97734DEB4D72}"/>
    <cellStyle name="Millares [0] 4 4 7 3" xfId="3550" xr:uid="{F5379C8F-7B27-419A-A1D5-0FF2B59F1E57}"/>
    <cellStyle name="Millares [0] 4 4 8" xfId="1775" xr:uid="{7B33C7A9-CC4F-402A-A6CC-211594951FF9}"/>
    <cellStyle name="Millares [0] 4 4 8 2" xfId="4141" xr:uid="{D491E9B5-07FD-4CC6-B50F-7DD235559595}"/>
    <cellStyle name="Millares [0] 4 4 9" xfId="2958" xr:uid="{7D6858EE-7E1F-41FA-9E6E-1CB382F291BA}"/>
    <cellStyle name="Millares [0] 4 5" xfId="490" xr:uid="{D5D17010-B740-4243-AEE5-497609622790}"/>
    <cellStyle name="Millares [0] 4 5 2" xfId="888" xr:uid="{F3222BB2-BD1E-4598-90AD-611F842CF70D}"/>
    <cellStyle name="Millares [0] 4 5 2 2" xfId="1692" xr:uid="{700FC18F-D6B7-44E9-8A30-9EB009304BD9}"/>
    <cellStyle name="Millares [0] 4 5 2 2 2" xfId="2875" xr:uid="{57BE4803-0219-4793-AA58-6A3FA4B9BF5F}"/>
    <cellStyle name="Millares [0] 4 5 2 2 2 2" xfId="5241" xr:uid="{BD31617B-DC98-4EF7-B010-B4DFF63F912F}"/>
    <cellStyle name="Millares [0] 4 5 2 2 3" xfId="4058" xr:uid="{D53AAB01-1EB9-48F0-9200-F0C1783CBA77}"/>
    <cellStyle name="Millares [0] 4 5 2 3" xfId="2074" xr:uid="{E41B6647-DE0C-4080-A776-5BC992939A6D}"/>
    <cellStyle name="Millares [0] 4 5 2 3 2" xfId="4440" xr:uid="{40850034-C45B-49D2-9CBC-B9F64CBDB925}"/>
    <cellStyle name="Millares [0] 4 5 2 4" xfId="3257" xr:uid="{77C14834-763C-45C4-9658-6C1F6834C254}"/>
    <cellStyle name="Millares [0] 4 5 3" xfId="1068" xr:uid="{CCA43C5B-489F-473D-8262-DC7B46AE02E4}"/>
    <cellStyle name="Millares [0] 4 5 3 2" xfId="1488" xr:uid="{BACA2E9F-37B2-4285-8572-2664338E288B}"/>
    <cellStyle name="Millares [0] 4 5 3 2 2" xfId="2671" xr:uid="{C5E52AAD-809C-4A28-8C81-08A657EE3966}"/>
    <cellStyle name="Millares [0] 4 5 3 2 2 2" xfId="5037" xr:uid="{93CAC0C4-8BA8-4E73-8A42-2F029151F4D4}"/>
    <cellStyle name="Millares [0] 4 5 3 2 3" xfId="3854" xr:uid="{409743EB-0618-4FF6-BD54-03DE860ED7D5}"/>
    <cellStyle name="Millares [0] 4 5 3 3" xfId="2253" xr:uid="{F95047E3-359D-4A66-9D54-1EC96E88B3BC}"/>
    <cellStyle name="Millares [0] 4 5 3 3 2" xfId="4619" xr:uid="{236AE350-3617-47C9-B219-84338695BECC}"/>
    <cellStyle name="Millares [0] 4 5 3 4" xfId="3436" xr:uid="{8B8D9982-6394-4B59-85DD-0718ADE6CD7B}"/>
    <cellStyle name="Millares [0] 4 5 4" xfId="1278" xr:uid="{C054D402-C6E3-47AE-BDB8-C44E9FAD1E45}"/>
    <cellStyle name="Millares [0] 4 5 4 2" xfId="2462" xr:uid="{AC72677A-4AAC-455D-9970-73A2533E92EE}"/>
    <cellStyle name="Millares [0] 4 5 4 2 2" xfId="4828" xr:uid="{1570981A-20D4-4A79-B410-1127DF4EFCB1}"/>
    <cellStyle name="Millares [0] 4 5 4 3" xfId="3645" xr:uid="{3059869C-75F4-47E1-AAC3-B32BAA65728A}"/>
    <cellStyle name="Millares [0] 4 5 5" xfId="1870" xr:uid="{61DAF994-0F91-45F4-B876-C7F303DC5422}"/>
    <cellStyle name="Millares [0] 4 5 5 2" xfId="4236" xr:uid="{61C83A33-BDBE-4B41-9BFC-140BDA4ACDD4}"/>
    <cellStyle name="Millares [0] 4 5 6" xfId="3053" xr:uid="{2F2F792E-30D6-4A88-A70E-A433A8311672}"/>
    <cellStyle name="Millares [0] 4 5 7" xfId="5370" xr:uid="{396829C0-CDB0-4638-9F47-E0A7907CA452}"/>
    <cellStyle name="Millares [0] 4 6" xfId="242" xr:uid="{0ADF4389-AF42-4082-85AC-1D2721839EA5}"/>
    <cellStyle name="Millares [0] 4 6 2" xfId="1033" xr:uid="{E5EF51C8-5A95-4F36-BBED-030BABE8C2C3}"/>
    <cellStyle name="Millares [0] 4 6 2 2" xfId="1453" xr:uid="{F06D249A-A7B7-4ECC-80D8-37B43B4EAE50}"/>
    <cellStyle name="Millares [0] 4 6 2 2 2" xfId="2636" xr:uid="{8DE41986-1737-4876-ACF8-901D93FDE75A}"/>
    <cellStyle name="Millares [0] 4 6 2 2 2 2" xfId="5002" xr:uid="{E939BB8E-74BB-4AD3-BDEA-7A2C58E8E476}"/>
    <cellStyle name="Millares [0] 4 6 2 2 3" xfId="3819" xr:uid="{0F71D721-E835-4A98-952B-A78D9F7491E7}"/>
    <cellStyle name="Millares [0] 4 6 2 3" xfId="2218" xr:uid="{6FFE5555-6102-44E9-AE75-8618989BAE35}"/>
    <cellStyle name="Millares [0] 4 6 2 3 2" xfId="4584" xr:uid="{988934BE-BBE1-4CBF-9CDE-2289BF5CD6DC}"/>
    <cellStyle name="Millares [0] 4 6 2 4" xfId="3401" xr:uid="{C3CD86DE-5112-4A91-805C-42BC9435B70B}"/>
    <cellStyle name="Millares [0] 4 6 3" xfId="1243" xr:uid="{B3E8AF30-83EC-41D3-9056-A9B931A0EE8E}"/>
    <cellStyle name="Millares [0] 4 6 3 2" xfId="2427" xr:uid="{7E3C31D2-0AA0-4CF2-948B-E39CF09FD711}"/>
    <cellStyle name="Millares [0] 4 6 3 2 2" xfId="4793" xr:uid="{C0531B83-E25D-474C-B0BF-12D1FE5F1540}"/>
    <cellStyle name="Millares [0] 4 6 3 3" xfId="3610" xr:uid="{3473F24C-E7FE-4792-8B42-94083AF240D3}"/>
    <cellStyle name="Millares [0] 4 6 4" xfId="1835" xr:uid="{698EF75C-99C2-44B1-8EEE-3D8FA33430E5}"/>
    <cellStyle name="Millares [0] 4 6 4 2" xfId="4201" xr:uid="{BE93F1D0-3011-49DB-8AB5-A075B63657B0}"/>
    <cellStyle name="Millares [0] 4 6 5" xfId="3018" xr:uid="{7E3C71A0-3A21-49B3-A3E7-0F75B13C46D4}"/>
    <cellStyle name="Millares [0] 4 6 6" xfId="5395" xr:uid="{73C7AC38-87B8-4A30-8AE7-064A884EE651}"/>
    <cellStyle name="Millares [0] 4 7" xfId="740" xr:uid="{4FBE9D08-F620-4972-87B0-F084972F98E1}"/>
    <cellStyle name="Millares [0] 4 7 2" xfId="1544" xr:uid="{BD5E930C-3921-49BF-B288-1C485C38F749}"/>
    <cellStyle name="Millares [0] 4 7 2 2" xfId="2727" xr:uid="{4EF90CD8-9E31-4947-B967-B8FB09645938}"/>
    <cellStyle name="Millares [0] 4 7 2 2 2" xfId="5093" xr:uid="{052060B0-C3BB-4824-A8D6-7F10CCF1007D}"/>
    <cellStyle name="Millares [0] 4 7 2 3" xfId="3910" xr:uid="{C45F744F-2D4C-465C-B6D0-208F6670224F}"/>
    <cellStyle name="Millares [0] 4 7 3" xfId="1926" xr:uid="{8AF55DF5-709C-4220-A335-ED12204CBF95}"/>
    <cellStyle name="Millares [0] 4 7 3 2" xfId="4292" xr:uid="{142B4A7A-ED87-4F1A-AAAC-2F018FAB1E15}"/>
    <cellStyle name="Millares [0] 4 7 4" xfId="3109" xr:uid="{D00333E3-0AC5-47D2-80AA-9218351292A3}"/>
    <cellStyle name="Millares [0] 4 7 5" xfId="5420" xr:uid="{E8D05D35-93AC-4E3C-A2B3-C5744E48808A}"/>
    <cellStyle name="Millares [0] 4 8" xfId="776" xr:uid="{F24633E6-124A-4381-A0BA-240A8748A849}"/>
    <cellStyle name="Millares [0] 4 8 2" xfId="1580" xr:uid="{71541428-C58E-487E-9CB6-01B33A9EE493}"/>
    <cellStyle name="Millares [0] 4 8 2 2" xfId="2763" xr:uid="{BD638B1C-D42F-4C08-9B7F-C2365540C176}"/>
    <cellStyle name="Millares [0] 4 8 2 2 2" xfId="5129" xr:uid="{FF25EBF8-F6E2-42D1-8B8B-69B6878DB379}"/>
    <cellStyle name="Millares [0] 4 8 2 3" xfId="3946" xr:uid="{B580024B-8897-4E3A-BC52-851136418034}"/>
    <cellStyle name="Millares [0] 4 8 3" xfId="1962" xr:uid="{753BEDE1-58AC-439F-B6C3-0B80473D2764}"/>
    <cellStyle name="Millares [0] 4 8 3 2" xfId="4328" xr:uid="{8632ECB7-EDC5-465F-B0AD-8639D8E999A6}"/>
    <cellStyle name="Millares [0] 4 8 4" xfId="3145" xr:uid="{6FAADEA3-B55C-4245-9262-7A6582C2F3B3}"/>
    <cellStyle name="Millares [0] 4 8 5" xfId="5446" xr:uid="{C2DCA675-BF34-4E77-88C4-4CEE077DC9A4}"/>
    <cellStyle name="Millares [0] 4 9" xfId="945" xr:uid="{E5D0112E-ACC6-4191-BC52-BBF05EE67040}"/>
    <cellStyle name="Millares [0] 4 9 2" xfId="1365" xr:uid="{CB7D8F0B-B710-40AB-9E0E-9A3092E8CF39}"/>
    <cellStyle name="Millares [0] 4 9 2 2" xfId="2549" xr:uid="{3C6D6B94-A551-412C-B12B-1D88E81056A7}"/>
    <cellStyle name="Millares [0] 4 9 2 2 2" xfId="4915" xr:uid="{2047AE97-A25E-4621-949F-4AA34A948DDB}"/>
    <cellStyle name="Millares [0] 4 9 2 3" xfId="3732" xr:uid="{C05B105C-AC5A-4BC4-8B0E-6721E46F6192}"/>
    <cellStyle name="Millares [0] 4 9 3" xfId="2131" xr:uid="{C4C0512A-55EE-471A-AEA0-7A31F294F255}"/>
    <cellStyle name="Millares [0] 4 9 3 2" xfId="4497" xr:uid="{9F388ED4-6640-4E88-A335-AB28E45CD1F3}"/>
    <cellStyle name="Millares [0] 4 9 4" xfId="3314" xr:uid="{13E3C251-9332-428A-9EA6-3B7408CEE29F}"/>
    <cellStyle name="Millares [0] 4 9 5" xfId="5472" xr:uid="{3525C4D3-4486-46FE-8E5F-E504B3A61A4D}"/>
    <cellStyle name="Millares [0] 5" xfId="127" xr:uid="{00C47553-A5C1-4973-97F8-6490CBF3D58C}"/>
    <cellStyle name="Millares [0] 5 10" xfId="2936" xr:uid="{1CAEC3DD-6226-40D3-AF51-3EE04C667B88}"/>
    <cellStyle name="Millares [0] 5 11" xfId="5293" xr:uid="{7CD6F1C9-90FF-4508-9195-5E1BA3BA3C52}"/>
    <cellStyle name="Millares [0] 5 2" xfId="217" xr:uid="{7DE254B1-E8C6-4B3C-8020-5B97A1124BC4}"/>
    <cellStyle name="Millares [0] 5 2 2" xfId="494" xr:uid="{2725577D-DC95-4BB3-A2F8-5801C25ABC2B}"/>
    <cellStyle name="Millares [0] 5 2 2 2" xfId="1071" xr:uid="{EA52A65A-BA9D-445B-A74F-7D73A5D40637}"/>
    <cellStyle name="Millares [0] 5 2 2 2 2" xfId="1491" xr:uid="{884251BD-8F38-4456-BD5C-4F5AD122964A}"/>
    <cellStyle name="Millares [0] 5 2 2 2 2 2" xfId="2674" xr:uid="{308B0BF2-EEEC-4BE8-8D8B-DFB0A4635217}"/>
    <cellStyle name="Millares [0] 5 2 2 2 2 2 2" xfId="5040" xr:uid="{1420FC62-32C6-4A85-9C19-FBEC5DBB3444}"/>
    <cellStyle name="Millares [0] 5 2 2 2 2 3" xfId="3857" xr:uid="{8358E3AB-77F5-4338-9055-C08843B44DDD}"/>
    <cellStyle name="Millares [0] 5 2 2 2 3" xfId="2256" xr:uid="{3D835AE5-B5A5-4238-9905-FC704E8F82C9}"/>
    <cellStyle name="Millares [0] 5 2 2 2 3 2" xfId="4622" xr:uid="{38A636CD-A0B8-4EF2-ABAC-043F1123FB6C}"/>
    <cellStyle name="Millares [0] 5 2 2 2 4" xfId="3439" xr:uid="{5828ADB9-BD24-44ED-913B-2B20140EFB4C}"/>
    <cellStyle name="Millares [0] 5 2 2 3" xfId="1281" xr:uid="{89777590-DFD4-4BC2-A9AC-5D05C3206D4D}"/>
    <cellStyle name="Millares [0] 5 2 2 3 2" xfId="2465" xr:uid="{994EBAC4-9118-4AF3-A249-F9C462F9E83A}"/>
    <cellStyle name="Millares [0] 5 2 2 3 2 2" xfId="4831" xr:uid="{BDF89597-E325-484E-A175-9C7158400AC1}"/>
    <cellStyle name="Millares [0] 5 2 2 3 3" xfId="3648" xr:uid="{07C5B6F6-504A-4D50-B814-BBBA7326DFFC}"/>
    <cellStyle name="Millares [0] 5 2 2 4" xfId="1873" xr:uid="{133D02D4-BAEE-4E90-B0C2-A903149F8929}"/>
    <cellStyle name="Millares [0] 5 2 2 4 2" xfId="4239" xr:uid="{46B592B2-81FB-4BA5-9ADF-DE6D8A036AEC}"/>
    <cellStyle name="Millares [0] 5 2 2 5" xfId="3056" xr:uid="{6F2695C6-AB9A-4C22-8E89-8913CD878715}"/>
    <cellStyle name="Millares [0] 5 2 2 6" xfId="5338" xr:uid="{55E0FF61-B9C4-4966-BDEA-91188DA65592}"/>
    <cellStyle name="Millares [0] 5 2 3" xfId="806" xr:uid="{38015958-0BCF-43E1-B782-C7E0CD4EFC0C}"/>
    <cellStyle name="Millares [0] 5 2 3 2" xfId="1610" xr:uid="{9DDC3086-632E-45C6-B4B5-485ABB32C479}"/>
    <cellStyle name="Millares [0] 5 2 3 2 2" xfId="2793" xr:uid="{0238AA3B-2DAE-479F-8D93-AB14B5562158}"/>
    <cellStyle name="Millares [0] 5 2 3 2 2 2" xfId="5159" xr:uid="{42C0890D-B4A8-407A-8F9A-B645E8AD9428}"/>
    <cellStyle name="Millares [0] 5 2 3 2 3" xfId="3976" xr:uid="{24E7AD9E-11FC-415B-8C38-9C5154F4A334}"/>
    <cellStyle name="Millares [0] 5 2 3 3" xfId="1992" xr:uid="{75E41D86-4A41-4069-AC57-E910B7519650}"/>
    <cellStyle name="Millares [0] 5 2 3 3 2" xfId="4358" xr:uid="{211D1294-C4E2-4D55-AC47-A2AC09844379}"/>
    <cellStyle name="Millares [0] 5 2 3 4" xfId="3175" xr:uid="{00EBD62F-EA2C-4182-BF5E-9F4BA43D8F69}"/>
    <cellStyle name="Millares [0] 5 2 3 5" xfId="5362" xr:uid="{73F13BDC-F6B6-485A-8C1C-F8A8DB5C07DF}"/>
    <cellStyle name="Millares [0] 5 2 4" xfId="1019" xr:uid="{D3BB98A8-22FB-4884-A7E0-BE707504B187}"/>
    <cellStyle name="Millares [0] 5 2 4 2" xfId="1439" xr:uid="{261EFAB4-DC17-4DC3-A9DE-C9885DA99F81}"/>
    <cellStyle name="Millares [0] 5 2 4 2 2" xfId="2623" xr:uid="{1C5012AA-AAD5-4A77-BC3C-DBEBBEF514FC}"/>
    <cellStyle name="Millares [0] 5 2 4 2 2 2" xfId="4989" xr:uid="{6BCCE316-BA67-4E38-BC5C-5D431A419D50}"/>
    <cellStyle name="Millares [0] 5 2 4 2 3" xfId="3806" xr:uid="{29E7233E-4EF5-48A7-B8EC-E496D58AF9EE}"/>
    <cellStyle name="Millares [0] 5 2 4 3" xfId="2205" xr:uid="{701D8989-4300-443F-BDAA-44EBAA3DD412}"/>
    <cellStyle name="Millares [0] 5 2 4 3 2" xfId="4571" xr:uid="{8958DDDB-6647-48C1-84F4-30521C36D956}"/>
    <cellStyle name="Millares [0] 5 2 4 4" xfId="3388" xr:uid="{8219C513-E51C-4224-9BBD-2E8F484C0F4E}"/>
    <cellStyle name="Millares [0] 5 2 4 5" xfId="5387" xr:uid="{146A90E4-BD71-481D-A60D-9338F3604089}"/>
    <cellStyle name="Millares [0] 5 2 5" xfId="1229" xr:uid="{78DAF2BF-346C-45F2-B16C-B64F97367196}"/>
    <cellStyle name="Millares [0] 5 2 5 2" xfId="2414" xr:uid="{EAE7F42E-D420-43DF-9BDB-E6B9C293A2E6}"/>
    <cellStyle name="Millares [0] 5 2 5 2 2" xfId="4780" xr:uid="{3754C7ED-7BCB-49FE-B1FF-D237BA0BFE36}"/>
    <cellStyle name="Millares [0] 5 2 5 3" xfId="3597" xr:uid="{37760B72-CA6E-43AC-AA34-EA7E497540A4}"/>
    <cellStyle name="Millares [0] 5 2 5 4" xfId="5412" xr:uid="{D1D25293-5C13-4C35-B594-A609847F1A2C}"/>
    <cellStyle name="Millares [0] 5 2 6" xfId="1822" xr:uid="{0349F08F-9114-401C-8AB0-D9FAF3A2A637}"/>
    <cellStyle name="Millares [0] 5 2 6 2" xfId="4188" xr:uid="{D05D59A3-FE7C-4DD2-9DE9-560D2F54E21D}"/>
    <cellStyle name="Millares [0] 5 2 6 3" xfId="5437" xr:uid="{0FE11380-EC96-4D9B-920C-08E0A0BE1555}"/>
    <cellStyle name="Millares [0] 5 2 7" xfId="3005" xr:uid="{5BC28521-80F9-423C-AD38-5BCAAA8A802A}"/>
    <cellStyle name="Millares [0] 5 2 7 2" xfId="5463" xr:uid="{47B75F06-F9F3-4D1C-AFF0-AC3CF0940ADF}"/>
    <cellStyle name="Millares [0] 5 2 8" xfId="5489" xr:uid="{93738BC1-9D72-4AB5-9A75-9D0E027475DF}"/>
    <cellStyle name="Millares [0] 5 2 9" xfId="5312" xr:uid="{C056B23D-487A-4189-BDD9-A7C13FB232A0}"/>
    <cellStyle name="Millares [0] 5 3" xfId="179" xr:uid="{96B38845-845C-4C2B-8027-1868C769204E}"/>
    <cellStyle name="Millares [0] 5 3 2" xfId="834" xr:uid="{FEC1ABBC-831A-4BDE-9B60-308E8D4F9A04}"/>
    <cellStyle name="Millares [0] 5 3 2 2" xfId="1638" xr:uid="{6752F21A-7F20-430C-BDE5-7FE6B3CF1292}"/>
    <cellStyle name="Millares [0] 5 3 2 2 2" xfId="2821" xr:uid="{D5DA84FF-2657-4B0D-A509-7598C44BDEE7}"/>
    <cellStyle name="Millares [0] 5 3 2 2 2 2" xfId="5187" xr:uid="{576FA57D-C742-43B8-BB4E-C1CB7F7D6EEB}"/>
    <cellStyle name="Millares [0] 5 3 2 2 3" xfId="4004" xr:uid="{D50C518A-CBF5-48F7-BBEC-69D479C8C958}"/>
    <cellStyle name="Millares [0] 5 3 2 3" xfId="2020" xr:uid="{2E3CBFF6-A45A-4B2C-97C1-F83C1806B9E6}"/>
    <cellStyle name="Millares [0] 5 3 2 3 2" xfId="4386" xr:uid="{7842A3A8-E64A-4C1C-AC22-5606C64084C3}"/>
    <cellStyle name="Millares [0] 5 3 2 4" xfId="3203" xr:uid="{036E4442-B5A5-4678-B587-082FFFD1D8BF}"/>
    <cellStyle name="Millares [0] 5 3 3" xfId="986" xr:uid="{33DFD641-5AA1-4FD2-9AE7-EDDCC6AAA17A}"/>
    <cellStyle name="Millares [0] 5 3 3 2" xfId="1406" xr:uid="{DEB49328-00B4-42F3-9F8E-597457E2DA9F}"/>
    <cellStyle name="Millares [0] 5 3 3 2 2" xfId="2590" xr:uid="{41B3A4DC-BA2F-4A4F-BE6D-207512BC5122}"/>
    <cellStyle name="Millares [0] 5 3 3 2 2 2" xfId="4956" xr:uid="{57D27A73-6C42-4B6B-8C09-D349DE661599}"/>
    <cellStyle name="Millares [0] 5 3 3 2 3" xfId="3773" xr:uid="{16F96144-61BB-4486-B175-4DF3A76CA801}"/>
    <cellStyle name="Millares [0] 5 3 3 3" xfId="2172" xr:uid="{46972098-8BCA-4949-A9C5-94F81CA991C7}"/>
    <cellStyle name="Millares [0] 5 3 3 3 2" xfId="4538" xr:uid="{636D3F1A-24F7-4468-B08A-A36EEC00DEF6}"/>
    <cellStyle name="Millares [0] 5 3 3 4" xfId="3355" xr:uid="{DC10B9F5-FFCB-4646-857E-8240682A0224}"/>
    <cellStyle name="Millares [0] 5 3 4" xfId="1196" xr:uid="{0B728CDF-FAB8-4817-B883-4A841AA3BF9B}"/>
    <cellStyle name="Millares [0] 5 3 4 2" xfId="2381" xr:uid="{1F04DFDC-CCE4-4520-870D-DB8857209165}"/>
    <cellStyle name="Millares [0] 5 3 4 2 2" xfId="4747" xr:uid="{9E2CDD7C-A304-45BC-BBE3-CE52095897CC}"/>
    <cellStyle name="Millares [0] 5 3 4 3" xfId="3564" xr:uid="{B8207CF4-075E-469E-B22A-92A66FEB2B4E}"/>
    <cellStyle name="Millares [0] 5 3 5" xfId="1789" xr:uid="{BB7E8C0A-3B8B-41B4-8319-E07433FDA162}"/>
    <cellStyle name="Millares [0] 5 3 5 2" xfId="4155" xr:uid="{2E65CD3C-3A56-4B29-8893-29405DD24A23}"/>
    <cellStyle name="Millares [0] 5 3 6" xfId="2972" xr:uid="{599B2AE7-6484-4161-8015-70E6332E250F}"/>
    <cellStyle name="Millares [0] 5 3 7" xfId="5323" xr:uid="{9C38CB2B-044C-4D01-ADFC-5D3E17A4E918}"/>
    <cellStyle name="Millares [0] 5 4" xfId="171" xr:uid="{56D6A743-D87D-4EAF-864B-80EB3EEB3F8C}"/>
    <cellStyle name="Millares [0] 5 4 2" xfId="862" xr:uid="{ADE88B59-8C67-495F-9DA2-D1406465B233}"/>
    <cellStyle name="Millares [0] 5 4 2 2" xfId="1666" xr:uid="{A35E0A66-EB66-451C-B610-09814BAA9347}"/>
    <cellStyle name="Millares [0] 5 4 2 2 2" xfId="2849" xr:uid="{19C1F6E2-B16E-4309-ACC7-1048275C0071}"/>
    <cellStyle name="Millares [0] 5 4 2 2 2 2" xfId="5215" xr:uid="{CCCD1C21-1090-4087-BD0B-2693145113E9}"/>
    <cellStyle name="Millares [0] 5 4 2 2 3" xfId="4032" xr:uid="{EDEEBF58-BD54-4E1C-91F6-2F1C3CCFD666}"/>
    <cellStyle name="Millares [0] 5 4 2 3" xfId="2048" xr:uid="{F7E129C4-4625-457C-8019-7ABB1CB6A488}"/>
    <cellStyle name="Millares [0] 5 4 2 3 2" xfId="4414" xr:uid="{EBD26ECB-024F-455A-AE47-6CBB6CD0E24C}"/>
    <cellStyle name="Millares [0] 5 4 2 4" xfId="3231" xr:uid="{D00287D1-C517-48A3-A4E8-01A64B3399D2}"/>
    <cellStyle name="Millares [0] 5 4 3" xfId="978" xr:uid="{F24714B8-9004-4AE7-AFE7-0AC36E8F2FA2}"/>
    <cellStyle name="Millares [0] 5 4 3 2" xfId="1398" xr:uid="{77C8C0FF-0AEC-468E-B879-6E4D54673753}"/>
    <cellStyle name="Millares [0] 5 4 3 2 2" xfId="2582" xr:uid="{BDDAF589-330C-4D31-87E9-43DFB59D90E6}"/>
    <cellStyle name="Millares [0] 5 4 3 2 2 2" xfId="4948" xr:uid="{F7968FCF-2F09-4B80-8DBA-1F54762DB6EB}"/>
    <cellStyle name="Millares [0] 5 4 3 2 3" xfId="3765" xr:uid="{F4EFDD63-4847-4A48-B853-6AB1E81DD738}"/>
    <cellStyle name="Millares [0] 5 4 3 3" xfId="2164" xr:uid="{90F925C7-D688-4C0C-A40F-24A69E41847C}"/>
    <cellStyle name="Millares [0] 5 4 3 3 2" xfId="4530" xr:uid="{8182638F-6707-47F1-AB72-DAF11A2DEB4D}"/>
    <cellStyle name="Millares [0] 5 4 3 4" xfId="3347" xr:uid="{A16F521A-E14B-448A-ABAF-7670A15CBBE0}"/>
    <cellStyle name="Millares [0] 5 4 4" xfId="1188" xr:uid="{59E343A2-55E6-4FE9-A3B7-5CF793DE28A6}"/>
    <cellStyle name="Millares [0] 5 4 4 2" xfId="2373" xr:uid="{8C496AD6-81E9-44F7-B8F3-12800380B466}"/>
    <cellStyle name="Millares [0] 5 4 4 2 2" xfId="4739" xr:uid="{4F524EC1-BAAE-48C5-848B-7040A40526A5}"/>
    <cellStyle name="Millares [0] 5 4 4 3" xfId="3556" xr:uid="{7F13F403-0618-450A-946B-C570588CB16A}"/>
    <cellStyle name="Millares [0] 5 4 5" xfId="1781" xr:uid="{F60A6C45-A6CF-48D9-A8A8-5C68DE2F7363}"/>
    <cellStyle name="Millares [0] 5 4 5 2" xfId="4147" xr:uid="{576349F9-4164-48E6-808D-8476251B8063}"/>
    <cellStyle name="Millares [0] 5 4 6" xfId="2964" xr:uid="{FCDBAB02-5A0A-4097-8C8C-D8A44A4ABFEC}"/>
    <cellStyle name="Millares [0] 5 4 7" xfId="5348" xr:uid="{03D7B958-58E1-4E53-B302-B128C2F10856}"/>
    <cellStyle name="Millares [0] 5 5" xfId="890" xr:uid="{05417115-9C45-46DE-B73E-DAB64CF18A16}"/>
    <cellStyle name="Millares [0] 5 5 2" xfId="1694" xr:uid="{19550391-761E-48EA-8A5B-A3C17500D81D}"/>
    <cellStyle name="Millares [0] 5 5 2 2" xfId="2877" xr:uid="{907EEDBD-9A2C-4ADC-AC24-1C29B230CA13}"/>
    <cellStyle name="Millares [0] 5 5 2 2 2" xfId="5243" xr:uid="{C3F83763-0468-4FCE-987D-D86C35FA3BDA}"/>
    <cellStyle name="Millares [0] 5 5 2 3" xfId="4060" xr:uid="{BE8AED9A-8565-46B9-B80C-77B4CE93F96D}"/>
    <cellStyle name="Millares [0] 5 5 3" xfId="2076" xr:uid="{20AD0F1A-CFB0-4D2D-B184-285AB23BBB14}"/>
    <cellStyle name="Millares [0] 5 5 3 2" xfId="4442" xr:uid="{E2A324CA-155B-4B64-B8D2-9C2CFD2FB28A}"/>
    <cellStyle name="Millares [0] 5 5 4" xfId="3259" xr:uid="{C8E2D89C-2AA9-493F-A012-D63B1D6217A1}"/>
    <cellStyle name="Millares [0] 5 5 5" xfId="5372" xr:uid="{3C706970-9234-4F44-99BD-12063313B164}"/>
    <cellStyle name="Millares [0] 5 6" xfId="778" xr:uid="{8DD78B08-7513-4F43-8ADB-BF2AD0096AC5}"/>
    <cellStyle name="Millares [0] 5 6 2" xfId="1582" xr:uid="{A97B5941-09F7-433A-B21E-13BCD0654D3B}"/>
    <cellStyle name="Millares [0] 5 6 2 2" xfId="2765" xr:uid="{78348263-108F-4B8B-A527-C06C8E5E676A}"/>
    <cellStyle name="Millares [0] 5 6 2 2 2" xfId="5131" xr:uid="{221D3F7F-3214-4225-ADC4-1266F430D8A7}"/>
    <cellStyle name="Millares [0] 5 6 2 3" xfId="3948" xr:uid="{2A1AF287-36A5-4E9D-9846-5CD7A1B0A4DB}"/>
    <cellStyle name="Millares [0] 5 6 3" xfId="1964" xr:uid="{BC3E8A9C-9070-4812-AEDC-645425DD993E}"/>
    <cellStyle name="Millares [0] 5 6 3 2" xfId="4330" xr:uid="{E3BCEB10-F613-450C-BE83-36A9129799A9}"/>
    <cellStyle name="Millares [0] 5 6 4" xfId="3147" xr:uid="{DE4D7548-C951-4771-989D-44D0E547785B}"/>
    <cellStyle name="Millares [0] 5 6 5" xfId="5397" xr:uid="{8082151D-F7C4-46B5-BB63-B6251E43030C}"/>
    <cellStyle name="Millares [0] 5 7" xfId="950" xr:uid="{92102C09-3F27-4729-892E-83F13B144E96}"/>
    <cellStyle name="Millares [0] 5 7 2" xfId="1370" xr:uid="{4730B90B-78BA-46A5-ACB7-72DEC1B8AD03}"/>
    <cellStyle name="Millares [0] 5 7 2 2" xfId="2554" xr:uid="{E7D6E235-5632-4D42-9B3F-D038C1647065}"/>
    <cellStyle name="Millares [0] 5 7 2 2 2" xfId="4920" xr:uid="{E07B75F2-73C9-4108-9618-FF370F8A1F63}"/>
    <cellStyle name="Millares [0] 5 7 2 3" xfId="3737" xr:uid="{222C6E72-4325-48E5-BC6B-76699403490A}"/>
    <cellStyle name="Millares [0] 5 7 3" xfId="2136" xr:uid="{07E71665-B322-4F5E-B98B-8D5BA89044AE}"/>
    <cellStyle name="Millares [0] 5 7 3 2" xfId="4502" xr:uid="{30429393-229E-4187-97AA-2866A331E9D2}"/>
    <cellStyle name="Millares [0] 5 7 4" xfId="3319" xr:uid="{B63ACA7E-6EE9-4423-81D8-3094D7A75A4E}"/>
    <cellStyle name="Millares [0] 5 7 5" xfId="5422" xr:uid="{464AF3AD-9C9A-478E-BD05-2520176FBBD9}"/>
    <cellStyle name="Millares [0] 5 8" xfId="1160" xr:uid="{0F1D4AA3-CA74-4E60-BD93-2D11CBDC2E97}"/>
    <cellStyle name="Millares [0] 5 8 2" xfId="2345" xr:uid="{5D004CB3-0962-4FC7-B484-CCA1147DB24B}"/>
    <cellStyle name="Millares [0] 5 8 2 2" xfId="4711" xr:uid="{05E460EC-300D-405A-96D8-44014EA414A2}"/>
    <cellStyle name="Millares [0] 5 8 3" xfId="3528" xr:uid="{1F33E49A-C79C-46B8-AD62-54535731125D}"/>
    <cellStyle name="Millares [0] 5 8 4" xfId="5448" xr:uid="{255EF972-AF46-4A76-AAF5-DAB0B93F1880}"/>
    <cellStyle name="Millares [0] 5 9" xfId="1753" xr:uid="{7C4181B4-E07A-4BC3-8FED-85FDC0FC28EF}"/>
    <cellStyle name="Millares [0] 5 9 2" xfId="4119" xr:uid="{4CE5128D-7524-46A0-8075-FB8258FF6B6B}"/>
    <cellStyle name="Millares [0] 5 9 3" xfId="5474" xr:uid="{2C50ED58-37A3-47A0-A0FB-2A73DDA6FCEA}"/>
    <cellStyle name="Millares [0] 6" xfId="140" xr:uid="{C71346D5-8A9E-4E5A-B318-400A299949EA}"/>
    <cellStyle name="Millares [0] 6 10" xfId="1758" xr:uid="{135C0AE7-D93A-4506-8CD9-28C398C771D1}"/>
    <cellStyle name="Millares [0] 6 10 2" xfId="4124" xr:uid="{E38AC773-8B92-461D-87A2-9EDA9CFF875C}"/>
    <cellStyle name="Millares [0] 6 11" xfId="2941" xr:uid="{BD972870-2827-4387-9C34-7005DB9CBD53}"/>
    <cellStyle name="Millares [0] 6 12" xfId="5304" xr:uid="{9BC0B400-8BAA-4742-A151-EDAFE30B24C8}"/>
    <cellStyle name="Millares [0] 6 2" xfId="222" xr:uid="{FE99CC80-3DEE-4C42-9179-03177617D921}"/>
    <cellStyle name="Millares [0] 6 2 2" xfId="499" xr:uid="{1BB8C702-1DBF-48DE-9B4F-DD1211DBD157}"/>
    <cellStyle name="Millares [0] 6 2 2 2" xfId="1072" xr:uid="{247B2CC6-554E-4D95-A994-E0E0D205D4A4}"/>
    <cellStyle name="Millares [0] 6 2 2 2 2" xfId="1492" xr:uid="{5E99E86D-A0DC-4555-A079-B671CE534FDF}"/>
    <cellStyle name="Millares [0] 6 2 2 2 2 2" xfId="2675" xr:uid="{11881AA5-F619-4059-BD4C-BD23F4984BD3}"/>
    <cellStyle name="Millares [0] 6 2 2 2 2 2 2" xfId="5041" xr:uid="{F340296D-78A2-4DF4-A9B6-796C745FB74F}"/>
    <cellStyle name="Millares [0] 6 2 2 2 2 3" xfId="3858" xr:uid="{441C26FF-A5C7-4688-B106-DDBBB89C0A38}"/>
    <cellStyle name="Millares [0] 6 2 2 2 3" xfId="2257" xr:uid="{AAF4CC81-3536-4F18-9496-25C3D2DC45B6}"/>
    <cellStyle name="Millares [0] 6 2 2 2 3 2" xfId="4623" xr:uid="{D141CD20-5061-4902-85FB-3DFC31EAEBA0}"/>
    <cellStyle name="Millares [0] 6 2 2 2 4" xfId="3440" xr:uid="{AC47A056-EDB6-4673-AA26-A2A701F3AC0D}"/>
    <cellStyle name="Millares [0] 6 2 2 3" xfId="1282" xr:uid="{F9400072-F42B-4B61-8BF5-AD11637B900E}"/>
    <cellStyle name="Millares [0] 6 2 2 3 2" xfId="2466" xr:uid="{1C93F89A-7668-44CB-9C07-D2CF7946AB78}"/>
    <cellStyle name="Millares [0] 6 2 2 3 2 2" xfId="4832" xr:uid="{B49B05FC-3DE4-4EA9-808F-1B19B021FBC2}"/>
    <cellStyle name="Millares [0] 6 2 2 3 3" xfId="3649" xr:uid="{56C243BE-BC79-4A02-A858-31B49BA4DFD9}"/>
    <cellStyle name="Millares [0] 6 2 2 4" xfId="1874" xr:uid="{10745639-45FD-4896-992E-6D7B92E37C34}"/>
    <cellStyle name="Millares [0] 6 2 2 4 2" xfId="4240" xr:uid="{1BA6C910-FAA3-4DFE-A3E0-C78F555C2FFB}"/>
    <cellStyle name="Millares [0] 6 2 2 5" xfId="3057" xr:uid="{BC86F8FC-F2E0-4514-A3D0-AA744A2E1C26}"/>
    <cellStyle name="Millares [0] 6 2 3" xfId="809" xr:uid="{D67330D3-EB31-45BB-BAFB-A683745D375B}"/>
    <cellStyle name="Millares [0] 6 2 3 2" xfId="1613" xr:uid="{1453C8C6-0E48-474A-818D-C3EE1E8828BF}"/>
    <cellStyle name="Millares [0] 6 2 3 2 2" xfId="2796" xr:uid="{4323C041-ADA6-483F-A86E-B827C1AC3C87}"/>
    <cellStyle name="Millares [0] 6 2 3 2 2 2" xfId="5162" xr:uid="{9AA454C7-AB77-45A5-ACE4-66916DA451FA}"/>
    <cellStyle name="Millares [0] 6 2 3 2 3" xfId="3979" xr:uid="{C38E8691-413A-405A-B09A-EC2852AF59AF}"/>
    <cellStyle name="Millares [0] 6 2 3 3" xfId="1995" xr:uid="{B45606AF-93AD-4296-93DB-B17BBCD66B04}"/>
    <cellStyle name="Millares [0] 6 2 3 3 2" xfId="4361" xr:uid="{4A08EB6A-7F13-4386-A71C-CD1DB7BDB2AF}"/>
    <cellStyle name="Millares [0] 6 2 3 4" xfId="3178" xr:uid="{CDB7C8DD-5056-4550-BFCF-2BEBAF43F632}"/>
    <cellStyle name="Millares [0] 6 2 4" xfId="1024" xr:uid="{88A082CF-3CA4-4F16-B9CF-D20058088E0B}"/>
    <cellStyle name="Millares [0] 6 2 4 2" xfId="1444" xr:uid="{6461781D-4225-42F4-B725-8ABABC87FF88}"/>
    <cellStyle name="Millares [0] 6 2 4 2 2" xfId="2628" xr:uid="{082942E3-E948-4EFC-9F6D-2033C81F81A2}"/>
    <cellStyle name="Millares [0] 6 2 4 2 2 2" xfId="4994" xr:uid="{138925F7-8C22-459D-806F-5A941729079D}"/>
    <cellStyle name="Millares [0] 6 2 4 2 3" xfId="3811" xr:uid="{A3D338D8-7D2C-49A0-B759-35BF93AE85C5}"/>
    <cellStyle name="Millares [0] 6 2 4 3" xfId="2210" xr:uid="{277CFA0A-2EA9-4F05-AC7D-CFCDFB33677D}"/>
    <cellStyle name="Millares [0] 6 2 4 3 2" xfId="4576" xr:uid="{990F3D29-EABD-45D7-BF93-33C4FF2DF0EF}"/>
    <cellStyle name="Millares [0] 6 2 4 4" xfId="3393" xr:uid="{5EF69F3C-2189-490F-8910-3B6EEF23DC88}"/>
    <cellStyle name="Millares [0] 6 2 5" xfId="1234" xr:uid="{FB7A4AF7-348A-43F4-915B-C61CB87063B9}"/>
    <cellStyle name="Millares [0] 6 2 5 2" xfId="2419" xr:uid="{83DCCA6B-64F8-4DBB-8962-7A1301CF59F9}"/>
    <cellStyle name="Millares [0] 6 2 5 2 2" xfId="4785" xr:uid="{85CEFB1A-2CB6-4C95-A386-5F03E575B768}"/>
    <cellStyle name="Millares [0] 6 2 5 3" xfId="3602" xr:uid="{80598621-3CC9-44C4-BF53-695C49D1507A}"/>
    <cellStyle name="Millares [0] 6 2 6" xfId="1827" xr:uid="{D16D5E54-84FA-422C-86C8-BD3EE0AA1A79}"/>
    <cellStyle name="Millares [0] 6 2 6 2" xfId="4193" xr:uid="{199CB892-AD57-492F-A0FE-1077620B37A6}"/>
    <cellStyle name="Millares [0] 6 2 7" xfId="3010" xr:uid="{E71AA883-7261-40BE-8947-9FE883D8D550}"/>
    <cellStyle name="Millares [0] 6 2 8" xfId="5330" xr:uid="{12F3FF57-5D14-4ED4-B201-B0CAB918738A}"/>
    <cellStyle name="Millares [0] 6 3" xfId="192" xr:uid="{1F229CF4-03E5-4898-9869-B985E4137869}"/>
    <cellStyle name="Millares [0] 6 3 2" xfId="837" xr:uid="{59BB8964-550D-4C20-BB20-4D3639959140}"/>
    <cellStyle name="Millares [0] 6 3 2 2" xfId="1641" xr:uid="{7DFAD8CE-34EB-4431-BC47-9CBB93D7107D}"/>
    <cellStyle name="Millares [0] 6 3 2 2 2" xfId="2824" xr:uid="{212808D5-5AA6-4B7C-8CB6-61818FB62EFA}"/>
    <cellStyle name="Millares [0] 6 3 2 2 2 2" xfId="5190" xr:uid="{C4CE4AB1-AA58-4604-B89A-185ABE8C9CB5}"/>
    <cellStyle name="Millares [0] 6 3 2 2 3" xfId="4007" xr:uid="{ED923F8B-3394-40F3-8E98-9F66DA5537BE}"/>
    <cellStyle name="Millares [0] 6 3 2 3" xfId="2023" xr:uid="{E21B7085-D2BB-4D35-8070-9B6DCF70C618}"/>
    <cellStyle name="Millares [0] 6 3 2 3 2" xfId="4389" xr:uid="{2EDE503D-7A55-4A3F-B9EE-2E825CAA5785}"/>
    <cellStyle name="Millares [0] 6 3 2 4" xfId="3206" xr:uid="{210A5864-A0A3-4F39-B83A-075291C98187}"/>
    <cellStyle name="Millares [0] 6 3 3" xfId="998" xr:uid="{285AD06B-B5F9-458D-AF96-64E610C5D91E}"/>
    <cellStyle name="Millares [0] 6 3 3 2" xfId="1418" xr:uid="{83E87481-E862-4BE5-97D8-E16088153A65}"/>
    <cellStyle name="Millares [0] 6 3 3 2 2" xfId="2602" xr:uid="{AB309893-5195-4805-ABF0-ACBB1232126B}"/>
    <cellStyle name="Millares [0] 6 3 3 2 2 2" xfId="4968" xr:uid="{3D5F8C05-FBBE-4194-9DE0-55DFE8AB12B1}"/>
    <cellStyle name="Millares [0] 6 3 3 2 3" xfId="3785" xr:uid="{7CE0069F-506D-4D24-9205-E8732C732A51}"/>
    <cellStyle name="Millares [0] 6 3 3 3" xfId="2184" xr:uid="{8608CB05-15CE-4A30-9274-C5E90604BEB6}"/>
    <cellStyle name="Millares [0] 6 3 3 3 2" xfId="4550" xr:uid="{2F06C145-9A4E-48D2-8D3A-620926B622FF}"/>
    <cellStyle name="Millares [0] 6 3 3 4" xfId="3367" xr:uid="{AB75E1DE-EB1A-4A3E-8876-F471809F5EEE}"/>
    <cellStyle name="Millares [0] 6 3 4" xfId="1208" xr:uid="{75C11C1F-8DDF-4B73-908A-4ABB13C16291}"/>
    <cellStyle name="Millares [0] 6 3 4 2" xfId="2393" xr:uid="{5F2B8636-E81D-45B3-A909-D901B573CF8F}"/>
    <cellStyle name="Millares [0] 6 3 4 2 2" xfId="4759" xr:uid="{022481B9-7B88-4B73-9312-C8CD2313884D}"/>
    <cellStyle name="Millares [0] 6 3 4 3" xfId="3576" xr:uid="{C38AE3C9-F125-488A-9D25-C688DDA84561}"/>
    <cellStyle name="Millares [0] 6 3 5" xfId="1801" xr:uid="{F72A1B64-93B9-47C0-B10C-F612748939DF}"/>
    <cellStyle name="Millares [0] 6 3 5 2" xfId="4167" xr:uid="{E0523ED5-CD61-4D80-B5A9-0936830687ED}"/>
    <cellStyle name="Millares [0] 6 3 6" xfId="2984" xr:uid="{B594BB2D-74DD-436E-A827-BFBE6235E01F}"/>
    <cellStyle name="Millares [0] 6 3 7" xfId="5355" xr:uid="{611D505A-F9D5-4A5A-B8FB-C89DF35843FA}"/>
    <cellStyle name="Millares [0] 6 4" xfId="176" xr:uid="{045E468C-100F-4482-B8AF-86317EEFA101}"/>
    <cellStyle name="Millares [0] 6 4 2" xfId="865" xr:uid="{5D54AF0D-C98D-480A-84E8-BB80284A9EB9}"/>
    <cellStyle name="Millares [0] 6 4 2 2" xfId="1669" xr:uid="{A779509F-744B-4E31-AB47-14B21CA554B7}"/>
    <cellStyle name="Millares [0] 6 4 2 2 2" xfId="2852" xr:uid="{4C3E7730-198F-4EE5-B508-15A742BBA5A0}"/>
    <cellStyle name="Millares [0] 6 4 2 2 2 2" xfId="5218" xr:uid="{5F9E00DA-2072-47CF-80C9-9092BAC6CFE1}"/>
    <cellStyle name="Millares [0] 6 4 2 2 3" xfId="4035" xr:uid="{A6BE414A-E7A7-4A12-970C-C81DF0AE79F3}"/>
    <cellStyle name="Millares [0] 6 4 2 3" xfId="2051" xr:uid="{ECEAD4BD-A030-4350-AD34-93069F47B83C}"/>
    <cellStyle name="Millares [0] 6 4 2 3 2" xfId="4417" xr:uid="{85E18DE6-E3CD-4351-85BC-F1B2B97B5328}"/>
    <cellStyle name="Millares [0] 6 4 2 4" xfId="3234" xr:uid="{6BBEE88A-C7E3-4B77-AE2C-DEE77D846232}"/>
    <cellStyle name="Millares [0] 6 4 3" xfId="983" xr:uid="{84B6C1AB-B954-42DD-858D-361046B3DBEA}"/>
    <cellStyle name="Millares [0] 6 4 3 2" xfId="1403" xr:uid="{7900B8F1-1614-493C-B63F-D477174C3CF7}"/>
    <cellStyle name="Millares [0] 6 4 3 2 2" xfId="2587" xr:uid="{15AED964-D391-4437-A659-AECB0A77EACA}"/>
    <cellStyle name="Millares [0] 6 4 3 2 2 2" xfId="4953" xr:uid="{D713ACA9-E0B6-4865-96B1-2CFC211C7DAB}"/>
    <cellStyle name="Millares [0] 6 4 3 2 3" xfId="3770" xr:uid="{B7367932-CCA3-4806-BEF1-3BC8BBA5BDC8}"/>
    <cellStyle name="Millares [0] 6 4 3 3" xfId="2169" xr:uid="{6D468A1B-FAA0-4F94-B0DA-FA7CA5E7BB6C}"/>
    <cellStyle name="Millares [0] 6 4 3 3 2" xfId="4535" xr:uid="{D91AE6A7-17E1-4634-A65F-759348766FB6}"/>
    <cellStyle name="Millares [0] 6 4 3 4" xfId="3352" xr:uid="{7C0B0735-E2A5-4ADC-ABC2-3B43CB9CA95A}"/>
    <cellStyle name="Millares [0] 6 4 4" xfId="1193" xr:uid="{E157C9E9-A391-44A3-BBC2-146C4BAFA175}"/>
    <cellStyle name="Millares [0] 6 4 4 2" xfId="2378" xr:uid="{58DDB138-2EA8-40DB-BE1D-2A192C01964F}"/>
    <cellStyle name="Millares [0] 6 4 4 2 2" xfId="4744" xr:uid="{4B19F6ED-5B20-46AC-95DE-FA7B8B0B5D0D}"/>
    <cellStyle name="Millares [0] 6 4 4 3" xfId="3561" xr:uid="{86B77C77-362C-4CDD-A443-C19F65BBB941}"/>
    <cellStyle name="Millares [0] 6 4 5" xfId="1786" xr:uid="{18F81AAE-58A4-4473-90E3-6B4EDC9D038B}"/>
    <cellStyle name="Millares [0] 6 4 5 2" xfId="4152" xr:uid="{ABAA93AA-CB7D-459B-B2BF-BCE5F01ABC89}"/>
    <cellStyle name="Millares [0] 6 4 6" xfId="2969" xr:uid="{0362932A-FADA-4636-9035-A523C1A2B8D8}"/>
    <cellStyle name="Millares [0] 6 4 7" xfId="5380" xr:uid="{AC7611E8-E6FF-4B51-A6DB-E61EF078CEB1}"/>
    <cellStyle name="Millares [0] 6 5" xfId="252" xr:uid="{2F1CF69E-D04A-4169-9FC1-79E1D896FA29}"/>
    <cellStyle name="Millares [0] 6 5 2" xfId="893" xr:uid="{8F77486C-EC4F-4485-96E9-FA889B4D5A0D}"/>
    <cellStyle name="Millares [0] 6 5 2 2" xfId="1697" xr:uid="{16DD67E0-FBA5-4B54-BC2D-9A0629D945F9}"/>
    <cellStyle name="Millares [0] 6 5 2 2 2" xfId="2880" xr:uid="{C990C6C2-1383-463F-8A07-761B0C291E07}"/>
    <cellStyle name="Millares [0] 6 5 2 2 2 2" xfId="5246" xr:uid="{3B544DA6-A100-4BC1-A6FC-4E32D3A0F576}"/>
    <cellStyle name="Millares [0] 6 5 2 2 3" xfId="4063" xr:uid="{BA79F63F-4C61-4F22-B349-E5F3A7831722}"/>
    <cellStyle name="Millares [0] 6 5 2 3" xfId="2079" xr:uid="{8AC161B3-032C-47A8-A4FF-8B3ACBFB4578}"/>
    <cellStyle name="Millares [0] 6 5 2 3 2" xfId="4445" xr:uid="{7945D8E6-36DA-4D1B-B7FD-CC4058EB4036}"/>
    <cellStyle name="Millares [0] 6 5 2 4" xfId="3262" xr:uid="{9F06AD58-D05E-4ABA-9D67-83EFC5898C90}"/>
    <cellStyle name="Millares [0] 6 5 3" xfId="1037" xr:uid="{14E0C52E-5D72-425B-BD7D-68C5177BD22B}"/>
    <cellStyle name="Millares [0] 6 5 3 2" xfId="1457" xr:uid="{FFEF794C-D09F-4CC4-AA27-B3165706BB5D}"/>
    <cellStyle name="Millares [0] 6 5 3 2 2" xfId="2640" xr:uid="{4C8FC74A-9CB0-4A9A-9BD4-9205771C8FE4}"/>
    <cellStyle name="Millares [0] 6 5 3 2 2 2" xfId="5006" xr:uid="{89F47D2D-0D87-455D-99E6-C4646D4CED7B}"/>
    <cellStyle name="Millares [0] 6 5 3 2 3" xfId="3823" xr:uid="{2EDB0BFB-920B-4821-ABC9-0BC0FC96350A}"/>
    <cellStyle name="Millares [0] 6 5 3 3" xfId="2222" xr:uid="{68C53D7F-A78D-49A5-B6A8-6FFED7838ED2}"/>
    <cellStyle name="Millares [0] 6 5 3 3 2" xfId="4588" xr:uid="{A4DF08D9-0DCC-4013-8CD1-C066B3A2E316}"/>
    <cellStyle name="Millares [0] 6 5 3 4" xfId="3405" xr:uid="{DA2A11FF-EA5C-4D84-89CF-0948676FB7EA}"/>
    <cellStyle name="Millares [0] 6 5 4" xfId="1247" xr:uid="{FF1D9DB5-F6F1-4E7F-BE00-614B0261C21F}"/>
    <cellStyle name="Millares [0] 6 5 4 2" xfId="2431" xr:uid="{6AC3A506-BCD2-45CA-9BF3-CDE83334467D}"/>
    <cellStyle name="Millares [0] 6 5 4 2 2" xfId="4797" xr:uid="{23630BBC-E190-42E5-B33E-83F113B47807}"/>
    <cellStyle name="Millares [0] 6 5 4 3" xfId="3614" xr:uid="{95BB2E46-4C19-441C-BF34-D5258C9A9C75}"/>
    <cellStyle name="Millares [0] 6 5 5" xfId="1839" xr:uid="{A0248DC8-1178-4781-A0FE-3E113939F628}"/>
    <cellStyle name="Millares [0] 6 5 5 2" xfId="4205" xr:uid="{7FF5B2E5-D28B-444F-A914-5BF9C9EE4B2C}"/>
    <cellStyle name="Millares [0] 6 5 6" xfId="3022" xr:uid="{84DC95D4-41E1-478E-9706-B2DDC4C2E298}"/>
    <cellStyle name="Millares [0] 6 5 7" xfId="5405" xr:uid="{CE75ADB2-5CD3-409C-B72A-C1B20CD2BE9B}"/>
    <cellStyle name="Millares [0] 6 6" xfId="743" xr:uid="{F9ED24B7-0D11-4A82-BAC2-9EE0DC0AC45A}"/>
    <cellStyle name="Millares [0] 6 6 2" xfId="1547" xr:uid="{E5D62BEE-9985-4D05-9825-0F25C16B595D}"/>
    <cellStyle name="Millares [0] 6 6 2 2" xfId="2730" xr:uid="{760C0EE8-99E1-459C-9C14-977F590720A9}"/>
    <cellStyle name="Millares [0] 6 6 2 2 2" xfId="5096" xr:uid="{644A730D-5A3B-42C5-B4B5-2BA2E5C09241}"/>
    <cellStyle name="Millares [0] 6 6 2 3" xfId="3913" xr:uid="{551F2F8F-0FEF-4085-925C-85944B31CC49}"/>
    <cellStyle name="Millares [0] 6 6 3" xfId="1929" xr:uid="{35D582E0-A176-49EE-B29B-7974DE32533D}"/>
    <cellStyle name="Millares [0] 6 6 3 2" xfId="4295" xr:uid="{ABC8133D-1E25-401A-BAFD-535EA47A3E99}"/>
    <cellStyle name="Millares [0] 6 6 4" xfId="3112" xr:uid="{53AB92F6-EA31-4FE6-A4D2-3EF0512463ED}"/>
    <cellStyle name="Millares [0] 6 6 5" xfId="5430" xr:uid="{4A7C8829-503E-49D7-955D-ED367210ED93}"/>
    <cellStyle name="Millares [0] 6 7" xfId="781" xr:uid="{EF5E6E2F-23E6-4F96-AAD9-1EA03F3C634C}"/>
    <cellStyle name="Millares [0] 6 7 2" xfId="1585" xr:uid="{43CFFC35-667E-4748-A062-2CA7D9AFB0CD}"/>
    <cellStyle name="Millares [0] 6 7 2 2" xfId="2768" xr:uid="{00470225-294F-476E-9229-0ACB2FC37D14}"/>
    <cellStyle name="Millares [0] 6 7 2 2 2" xfId="5134" xr:uid="{CD42BFD5-484B-42E7-9A3E-BC90F1E0E72B}"/>
    <cellStyle name="Millares [0] 6 7 2 3" xfId="3951" xr:uid="{D4EA1332-6FB3-483C-8EB0-20911E99BCB8}"/>
    <cellStyle name="Millares [0] 6 7 3" xfId="1967" xr:uid="{0A167E45-D7F9-4A18-984C-26721C97EC01}"/>
    <cellStyle name="Millares [0] 6 7 3 2" xfId="4333" xr:uid="{D413DE43-8A9C-4012-95C8-B5FB9C9DD51F}"/>
    <cellStyle name="Millares [0] 6 7 4" xfId="3150" xr:uid="{7684DCFE-3039-4910-A8A5-B9B29FB4C183}"/>
    <cellStyle name="Millares [0] 6 7 5" xfId="5456" xr:uid="{80E69F14-DD58-4DEA-B452-858ABE9F22FA}"/>
    <cellStyle name="Millares [0] 6 8" xfId="955" xr:uid="{FFAF7EFE-9F3C-4E16-A927-0930458B3923}"/>
    <cellStyle name="Millares [0] 6 8 2" xfId="1375" xr:uid="{06E49ADE-291C-4C4F-9590-179A2BB3E9B9}"/>
    <cellStyle name="Millares [0] 6 8 2 2" xfId="2559" xr:uid="{C1235A38-B2E8-4E3B-AD92-EE2C9A52F16E}"/>
    <cellStyle name="Millares [0] 6 8 2 2 2" xfId="4925" xr:uid="{C42EC9BA-B1C6-4BF4-928A-D1B1778AE779}"/>
    <cellStyle name="Millares [0] 6 8 2 3" xfId="3742" xr:uid="{395FE0DB-02EE-4348-8DA4-E2F4C0FFD3A1}"/>
    <cellStyle name="Millares [0] 6 8 3" xfId="2141" xr:uid="{5736A3D0-6A0B-4E1C-9BDE-C15C7F92D34E}"/>
    <cellStyle name="Millares [0] 6 8 3 2" xfId="4507" xr:uid="{E7962F40-FC42-4C29-8EC9-2EC7BA0F5DAB}"/>
    <cellStyle name="Millares [0] 6 8 4" xfId="3324" xr:uid="{421E7BC8-62AA-4D37-A5B0-4E376C002C80}"/>
    <cellStyle name="Millares [0] 6 8 5" xfId="5482" xr:uid="{F9E4B564-A064-4B51-81D7-2D8AF4178514}"/>
    <cellStyle name="Millares [0] 6 9" xfId="1165" xr:uid="{EC7E4EF9-67B6-46F9-A401-71223A15909D}"/>
    <cellStyle name="Millares [0] 6 9 2" xfId="2350" xr:uid="{0CBD11A5-8243-4EDC-BEDC-EB79AA87A523}"/>
    <cellStyle name="Millares [0] 6 9 2 2" xfId="4716" xr:uid="{84AAA384-3924-4E22-A4C5-FBC80BECF9A8}"/>
    <cellStyle name="Millares [0] 6 9 3" xfId="3533" xr:uid="{A50F8E64-AE27-4C3A-9507-32CCFB35D2EA}"/>
    <cellStyle name="Millares [0] 7" xfId="126" xr:uid="{863A199F-E28E-49CB-BE99-6AB098309454}"/>
    <cellStyle name="Millares [0] 7 2" xfId="523" xr:uid="{0280B259-0EDD-486F-BF4E-264D2077CC33}"/>
    <cellStyle name="Millares [0] 7 2 2" xfId="811" xr:uid="{F17696D7-F18D-460F-BECA-BEC10AB526A6}"/>
    <cellStyle name="Millares [0] 7 2 2 2" xfId="1615" xr:uid="{42687067-3AB6-41C0-9BD3-6D77400A2797}"/>
    <cellStyle name="Millares [0] 7 2 2 2 2" xfId="2798" xr:uid="{04036735-A46B-4B45-9851-5DB3D67372EE}"/>
    <cellStyle name="Millares [0] 7 2 2 2 2 2" xfId="5164" xr:uid="{3B28C63B-45AE-4AA8-B874-12A62F8476BF}"/>
    <cellStyle name="Millares [0] 7 2 2 2 3" xfId="3981" xr:uid="{BD15A963-FD84-4978-8C42-B4F4FE0132DF}"/>
    <cellStyle name="Millares [0] 7 2 2 3" xfId="1997" xr:uid="{30322411-1389-4833-B967-227D28FB44B1}"/>
    <cellStyle name="Millares [0] 7 2 2 3 2" xfId="4363" xr:uid="{BBA8E270-1217-42A0-9391-FDB505F7CDA5}"/>
    <cellStyle name="Millares [0] 7 2 2 4" xfId="3180" xr:uid="{3C032A66-5B11-4EED-983E-A785262B1481}"/>
    <cellStyle name="Millares [0] 7 2 3" xfId="1075" xr:uid="{8B1687BB-49EA-40DA-92E1-B03F50DB5FBF}"/>
    <cellStyle name="Millares [0] 7 2 3 2" xfId="1495" xr:uid="{CE74FE2B-193E-4F68-AA9A-44305F27F74E}"/>
    <cellStyle name="Millares [0] 7 2 3 2 2" xfId="2678" xr:uid="{BC735D1D-DF88-46DE-83C1-B77441B578E5}"/>
    <cellStyle name="Millares [0] 7 2 3 2 2 2" xfId="5044" xr:uid="{BBEAE9A4-8917-4165-81A1-046E59D5A15E}"/>
    <cellStyle name="Millares [0] 7 2 3 2 3" xfId="3861" xr:uid="{F75B381E-76AE-4B01-AEE1-02BF151FA05A}"/>
    <cellStyle name="Millares [0] 7 2 3 3" xfId="2260" xr:uid="{F4515A75-CF5C-4F80-B26C-706B0C6FC448}"/>
    <cellStyle name="Millares [0] 7 2 3 3 2" xfId="4626" xr:uid="{2DDC5780-9FA6-4BDC-99C9-A7068F49FC8F}"/>
    <cellStyle name="Millares [0] 7 2 3 4" xfId="3443" xr:uid="{725139B9-3387-4056-BDC7-11B178708F0A}"/>
    <cellStyle name="Millares [0] 7 2 4" xfId="1285" xr:uid="{FB64D3CD-851A-44E2-9AE6-4C9990335992}"/>
    <cellStyle name="Millares [0] 7 2 4 2" xfId="2469" xr:uid="{0DE71CA6-7017-423E-901B-E17D36A49D74}"/>
    <cellStyle name="Millares [0] 7 2 4 2 2" xfId="4835" xr:uid="{F63BAA38-C219-4AAC-8C1F-B507CFA4E627}"/>
    <cellStyle name="Millares [0] 7 2 4 3" xfId="3652" xr:uid="{AEDA92D5-2754-4C10-8A76-F6A4D4C3139A}"/>
    <cellStyle name="Millares [0] 7 2 5" xfId="1877" xr:uid="{AD256645-6321-47C1-B18A-28DB017F8E3A}"/>
    <cellStyle name="Millares [0] 7 2 5 2" xfId="4243" xr:uid="{404D9CDB-0A1C-4BFB-8EBB-32CF33BF1939}"/>
    <cellStyle name="Millares [0] 7 2 6" xfId="3060" xr:uid="{3773DC39-3A4A-433E-AA70-01988ADF4F13}"/>
    <cellStyle name="Millares [0] 7 3" xfId="276" xr:uid="{AC8419C3-6D0E-4E9E-9E09-E513B1B5AB54}"/>
    <cellStyle name="Millares [0] 7 3 2" xfId="839" xr:uid="{FC45E395-8493-4CE4-8D1E-5A2A6CBB356D}"/>
    <cellStyle name="Millares [0] 7 3 2 2" xfId="1643" xr:uid="{8003D592-7C41-4E6D-9AA1-26780750E6C9}"/>
    <cellStyle name="Millares [0] 7 3 2 2 2" xfId="2826" xr:uid="{22FD05D0-25B0-4622-9597-01346206B68A}"/>
    <cellStyle name="Millares [0] 7 3 2 2 2 2" xfId="5192" xr:uid="{EB0B6187-32FB-4989-ADD0-2E4236E982E1}"/>
    <cellStyle name="Millares [0] 7 3 2 2 3" xfId="4009" xr:uid="{02E159AC-A84C-47B9-92F7-7699F86F1132}"/>
    <cellStyle name="Millares [0] 7 3 2 3" xfId="2025" xr:uid="{48145D4C-7CC4-47FD-A0AF-35D67EAE2E5A}"/>
    <cellStyle name="Millares [0] 7 3 2 3 2" xfId="4391" xr:uid="{C50443B5-CDAE-4380-80F7-971635119D82}"/>
    <cellStyle name="Millares [0] 7 3 2 4" xfId="3208" xr:uid="{DDF7584E-104B-4340-9B3A-E0ADAF3BDF03}"/>
    <cellStyle name="Millares [0] 7 3 3" xfId="1040" xr:uid="{427BD831-F451-41E9-B4E6-0D4123512BC5}"/>
    <cellStyle name="Millares [0] 7 3 3 2" xfId="1460" xr:uid="{F1DEABA7-B0FD-4108-8DD9-737B8A226679}"/>
    <cellStyle name="Millares [0] 7 3 3 2 2" xfId="2643" xr:uid="{C85E9369-76DF-43A5-A065-45ACA8451E71}"/>
    <cellStyle name="Millares [0] 7 3 3 2 2 2" xfId="5009" xr:uid="{04959BC5-45BF-44EA-830E-08A2AFC01934}"/>
    <cellStyle name="Millares [0] 7 3 3 2 3" xfId="3826" xr:uid="{995CEB1C-DEC5-4DBC-9CE3-09DDBBF795CA}"/>
    <cellStyle name="Millares [0] 7 3 3 3" xfId="2225" xr:uid="{A732016C-4696-4C12-AC38-CE858CCD0377}"/>
    <cellStyle name="Millares [0] 7 3 3 3 2" xfId="4591" xr:uid="{8266DD8A-C910-4CBD-B24E-7016FC0C2FBE}"/>
    <cellStyle name="Millares [0] 7 3 3 4" xfId="3408" xr:uid="{A0529E29-509A-4948-B7C6-6C5A759BB9A2}"/>
    <cellStyle name="Millares [0] 7 3 4" xfId="1250" xr:uid="{58BFBD55-E12A-4D85-AE5C-C9440E9DA6DE}"/>
    <cellStyle name="Millares [0] 7 3 4 2" xfId="2434" xr:uid="{7B86F538-11EE-4839-A42D-7FEA7FCB3F6B}"/>
    <cellStyle name="Millares [0] 7 3 4 2 2" xfId="4800" xr:uid="{D1B5E002-1754-410E-873B-F1707A0CDABD}"/>
    <cellStyle name="Millares [0] 7 3 4 3" xfId="3617" xr:uid="{E2BFCA04-08B2-4D0F-93F6-1A2D15302D02}"/>
    <cellStyle name="Millares [0] 7 3 5" xfId="1842" xr:uid="{C3F1DFFD-CA59-4E50-932A-0C4C1348BCC7}"/>
    <cellStyle name="Millares [0] 7 3 5 2" xfId="4208" xr:uid="{46F0FF7B-96C9-4036-92AE-742D66012CD7}"/>
    <cellStyle name="Millares [0] 7 3 6" xfId="3025" xr:uid="{70323922-73EA-4933-90EC-CF392433999B}"/>
    <cellStyle name="Millares [0] 7 4" xfId="746" xr:uid="{D6440652-E0FF-4FAA-96D8-01C46D2B15EF}"/>
    <cellStyle name="Millares [0] 7 4 2" xfId="867" xr:uid="{9BA69ABB-C2B1-4805-939E-525F70628C89}"/>
    <cellStyle name="Millares [0] 7 4 2 2" xfId="1671" xr:uid="{31ADDC40-284B-4ED3-8270-A47A8393C55F}"/>
    <cellStyle name="Millares [0] 7 4 2 2 2" xfId="2854" xr:uid="{8FE0BBE9-0A13-4464-83B7-1A55EF5E6810}"/>
    <cellStyle name="Millares [0] 7 4 2 2 2 2" xfId="5220" xr:uid="{F48ECD6F-A5C7-4308-9759-7BF82A64F1D0}"/>
    <cellStyle name="Millares [0] 7 4 2 2 3" xfId="4037" xr:uid="{1B34D5D3-99D5-46FC-AA15-EA821F22EF1F}"/>
    <cellStyle name="Millares [0] 7 4 2 3" xfId="2053" xr:uid="{05984402-76B1-4FB4-A65E-AC98A831CFA5}"/>
    <cellStyle name="Millares [0] 7 4 2 3 2" xfId="4419" xr:uid="{E615E793-FAE3-4BE2-BC44-370D350A10BC}"/>
    <cellStyle name="Millares [0] 7 4 2 4" xfId="3236" xr:uid="{2AC07227-72DF-47E6-950B-41011AFAAD8B}"/>
    <cellStyle name="Millares [0] 7 4 3" xfId="1550" xr:uid="{245C5843-327F-4E0C-981E-F713E5D051DB}"/>
    <cellStyle name="Millares [0] 7 4 3 2" xfId="2733" xr:uid="{A13EFD24-A443-4E45-BC67-BE9C018C9679}"/>
    <cellStyle name="Millares [0] 7 4 3 2 2" xfId="5099" xr:uid="{5057FA22-A68F-4DA6-A849-E0F12F93B6E8}"/>
    <cellStyle name="Millares [0] 7 4 3 3" xfId="3916" xr:uid="{18841919-0853-45C8-83AA-D4193F256DFD}"/>
    <cellStyle name="Millares [0] 7 4 4" xfId="1932" xr:uid="{CAA5E9E5-6C69-477A-81B5-D0B9AA68A7B4}"/>
    <cellStyle name="Millares [0] 7 4 4 2" xfId="4298" xr:uid="{40F7080F-3266-46FA-99B6-F708FCCE582A}"/>
    <cellStyle name="Millares [0] 7 4 5" xfId="3115" xr:uid="{3BB1A8CE-1FE2-4C89-8EAB-386426FD53B9}"/>
    <cellStyle name="Millares [0] 7 5" xfId="895" xr:uid="{A3436656-51F7-4738-8C26-31EB639B50DF}"/>
    <cellStyle name="Millares [0] 7 5 2" xfId="1699" xr:uid="{953EC98B-F3F3-46AE-B374-72E32901EC5F}"/>
    <cellStyle name="Millares [0] 7 5 2 2" xfId="2882" xr:uid="{A51103A6-F7D5-43DA-9FAB-1CF85E4AD3E0}"/>
    <cellStyle name="Millares [0] 7 5 2 2 2" xfId="5248" xr:uid="{264E3868-DFE5-4537-B4D6-CF90C8B29534}"/>
    <cellStyle name="Millares [0] 7 5 2 3" xfId="4065" xr:uid="{63A9294E-DFFC-4AAA-A45D-E1DCFBBB1CF1}"/>
    <cellStyle name="Millares [0] 7 5 3" xfId="2081" xr:uid="{013FBACE-22CA-4DE3-BB4B-225E2EA9CF05}"/>
    <cellStyle name="Millares [0] 7 5 3 2" xfId="4447" xr:uid="{105D993C-D6E2-4FDE-AB47-EDF87D556175}"/>
    <cellStyle name="Millares [0] 7 5 4" xfId="3264" xr:uid="{58535198-42F8-40E9-A4DE-88DA20EBE876}"/>
    <cellStyle name="Millares [0] 7 6" xfId="783" xr:uid="{A35A119C-C491-4EC9-BE46-9EF86E67C8A3}"/>
    <cellStyle name="Millares [0] 7 6 2" xfId="1587" xr:uid="{2CA25BA3-4371-4B5D-BD9D-73982129F3C1}"/>
    <cellStyle name="Millares [0] 7 6 2 2" xfId="2770" xr:uid="{BA79B659-6371-4A23-8378-57A4C6327782}"/>
    <cellStyle name="Millares [0] 7 6 2 2 2" xfId="5136" xr:uid="{B60C435A-33A8-4502-8EAC-9C2F7044C04C}"/>
    <cellStyle name="Millares [0] 7 6 2 3" xfId="3953" xr:uid="{8A7827A5-3E1A-4EBE-9FE2-68A2D432237B}"/>
    <cellStyle name="Millares [0] 7 6 3" xfId="1969" xr:uid="{E65208D0-D06E-4B15-9558-E26FD541519E}"/>
    <cellStyle name="Millares [0] 7 6 3 2" xfId="4335" xr:uid="{1864CAF4-6CA4-4EFC-BD2F-DD4E20B112B4}"/>
    <cellStyle name="Millares [0] 7 6 4" xfId="3152" xr:uid="{01F583A1-923D-4004-BC7C-FBA3A621FE6B}"/>
    <cellStyle name="Millares [0] 7 7" xfId="5279" xr:uid="{819F1023-6169-48D5-81BA-04C8AF115241}"/>
    <cellStyle name="Millares [0] 8" xfId="198" xr:uid="{E073E802-4471-4B7A-9602-ED5949E0391E}"/>
    <cellStyle name="Millares [0] 8 10" xfId="2989" xr:uid="{9A692E6A-5DEF-40D8-91F4-297E3F29F4C1}"/>
    <cellStyle name="Millares [0] 8 11" xfId="5315" xr:uid="{A095A845-A124-475F-9921-B4E1E9D5D8F3}"/>
    <cellStyle name="Millares [0] 8 2" xfId="551" xr:uid="{65DFE99A-B288-4172-B0E2-24732A141296}"/>
    <cellStyle name="Millares [0] 8 2 2" xfId="815" xr:uid="{FEA34F98-27CE-4A4B-B48C-5B1B75F40335}"/>
    <cellStyle name="Millares [0] 8 2 2 2" xfId="1619" xr:uid="{69E7B383-1BF4-4794-8F30-7FAC1F24A793}"/>
    <cellStyle name="Millares [0] 8 2 2 2 2" xfId="2802" xr:uid="{92243BBE-FD2C-441F-B346-64B174B45BD3}"/>
    <cellStyle name="Millares [0] 8 2 2 2 2 2" xfId="5168" xr:uid="{B0CF1AB5-3A7F-4C23-9C0E-74C19FCC7D1C}"/>
    <cellStyle name="Millares [0] 8 2 2 2 3" xfId="3985" xr:uid="{EA097083-E44C-489A-92C3-C1DAC0ED3721}"/>
    <cellStyle name="Millares [0] 8 2 2 3" xfId="2001" xr:uid="{52D405E6-F875-4C43-808D-B5DE38F2EA62}"/>
    <cellStyle name="Millares [0] 8 2 2 3 2" xfId="4367" xr:uid="{DE613FA6-BC41-4381-BF9C-E9DFB50E8555}"/>
    <cellStyle name="Millares [0] 8 2 2 4" xfId="3184" xr:uid="{88702D83-F370-407F-AC8C-C2AFA47037C4}"/>
    <cellStyle name="Millares [0] 8 2 3" xfId="1081" xr:uid="{C40AEE9F-D952-48AC-8C07-258958E85DEC}"/>
    <cellStyle name="Millares [0] 8 2 3 2" xfId="1501" xr:uid="{E942BFF5-180F-4959-ABA9-41867B7DEC3D}"/>
    <cellStyle name="Millares [0] 8 2 3 2 2" xfId="2684" xr:uid="{43C64792-4122-4A0E-994A-B42B63684044}"/>
    <cellStyle name="Millares [0] 8 2 3 2 2 2" xfId="5050" xr:uid="{8FAC4D1F-7DA1-4D20-9AD9-EC04CBE45B46}"/>
    <cellStyle name="Millares [0] 8 2 3 2 3" xfId="3867" xr:uid="{577CC696-380F-4621-B52C-B1892087FF02}"/>
    <cellStyle name="Millares [0] 8 2 3 3" xfId="2266" xr:uid="{6E0A0AD8-81D8-4C85-B8F9-56E3129466A8}"/>
    <cellStyle name="Millares [0] 8 2 3 3 2" xfId="4632" xr:uid="{6C196B8E-3341-4B81-8B7D-F429AB83AEB6}"/>
    <cellStyle name="Millares [0] 8 2 3 4" xfId="3449" xr:uid="{C95B2F6B-F0C9-4756-9B12-126278DB082D}"/>
    <cellStyle name="Millares [0] 8 2 4" xfId="1291" xr:uid="{B1A6A5E5-69FF-4F89-B947-5E024AFB8B3A}"/>
    <cellStyle name="Millares [0] 8 2 4 2" xfId="2475" xr:uid="{AEE9ED77-3335-4C1C-AF8D-592587985A64}"/>
    <cellStyle name="Millares [0] 8 2 4 2 2" xfId="4841" xr:uid="{D64094ED-9F19-4137-A49A-98EBFBF47BC4}"/>
    <cellStyle name="Millares [0] 8 2 4 3" xfId="3658" xr:uid="{D11D05FE-D5BB-42DD-8C3D-76D54946ED34}"/>
    <cellStyle name="Millares [0] 8 2 5" xfId="1883" xr:uid="{BE59AD01-23C9-400E-907C-D807B914AD2E}"/>
    <cellStyle name="Millares [0] 8 2 5 2" xfId="4249" xr:uid="{BEA7C5F9-1BD6-4744-B96F-5F6BFA3303BE}"/>
    <cellStyle name="Millares [0] 8 2 6" xfId="3066" xr:uid="{C23FB715-31DE-41DE-9468-C415728DF526}"/>
    <cellStyle name="Millares [0] 8 3" xfId="303" xr:uid="{01F7E2DD-8718-4BAE-A5DA-AAB7DF0541BF}"/>
    <cellStyle name="Millares [0] 8 3 2" xfId="843" xr:uid="{2400DC8D-8B4B-40AE-AFC4-CD91591350D9}"/>
    <cellStyle name="Millares [0] 8 3 2 2" xfId="1647" xr:uid="{3B9D147C-6678-493E-BFDB-8655389E2065}"/>
    <cellStyle name="Millares [0] 8 3 2 2 2" xfId="2830" xr:uid="{5B4316CB-ED07-47FC-A0FC-1CA0F1FA5335}"/>
    <cellStyle name="Millares [0] 8 3 2 2 2 2" xfId="5196" xr:uid="{3063933D-8F75-42EB-93F1-A499063D6AC5}"/>
    <cellStyle name="Millares [0] 8 3 2 2 3" xfId="4013" xr:uid="{84DD37A7-595A-49D1-A080-162F26A0BF99}"/>
    <cellStyle name="Millares [0] 8 3 2 3" xfId="2029" xr:uid="{22215B36-9531-4D34-9082-BD40324EBDB5}"/>
    <cellStyle name="Millares [0] 8 3 2 3 2" xfId="4395" xr:uid="{E8DCF626-37FF-4521-88A3-DC0032FA04B1}"/>
    <cellStyle name="Millares [0] 8 3 2 4" xfId="3212" xr:uid="{FF35B7F7-C859-4290-9BD2-2AAEC1924F51}"/>
    <cellStyle name="Millares [0] 8 3 3" xfId="1046" xr:uid="{DF1FAF26-06CC-4425-96F1-C8740F412A83}"/>
    <cellStyle name="Millares [0] 8 3 3 2" xfId="1466" xr:uid="{FA02CBB4-2837-4888-BEF9-52D784BC6754}"/>
    <cellStyle name="Millares [0] 8 3 3 2 2" xfId="2649" xr:uid="{D46A9780-91C9-4D4E-BC1A-71944CE69561}"/>
    <cellStyle name="Millares [0] 8 3 3 2 2 2" xfId="5015" xr:uid="{DE9FB04A-96D5-459D-B300-3AA366E51EB8}"/>
    <cellStyle name="Millares [0] 8 3 3 2 3" xfId="3832" xr:uid="{2662A8A3-15B8-4570-B711-168102EB8292}"/>
    <cellStyle name="Millares [0] 8 3 3 3" xfId="2231" xr:uid="{987F172F-4900-4A66-8A34-1809ED3EA277}"/>
    <cellStyle name="Millares [0] 8 3 3 3 2" xfId="4597" xr:uid="{1DFFDE12-C270-4797-84A3-006150FF273C}"/>
    <cellStyle name="Millares [0] 8 3 3 4" xfId="3414" xr:uid="{E7044103-7C40-4E10-98BB-738EB23C9D5C}"/>
    <cellStyle name="Millares [0] 8 3 4" xfId="1256" xr:uid="{32F5A95D-E501-4F13-8C2F-F13334AEB4DA}"/>
    <cellStyle name="Millares [0] 8 3 4 2" xfId="2440" xr:uid="{4D27F017-F250-483F-AA85-C3829127CB34}"/>
    <cellStyle name="Millares [0] 8 3 4 2 2" xfId="4806" xr:uid="{EA7587D7-8DE7-472B-A7CB-6CA447478D80}"/>
    <cellStyle name="Millares [0] 8 3 4 3" xfId="3623" xr:uid="{2836FB12-994B-4C52-B138-B782551C206E}"/>
    <cellStyle name="Millares [0] 8 3 5" xfId="1848" xr:uid="{48314279-32A2-4063-8DB3-C7A74D132BD3}"/>
    <cellStyle name="Millares [0] 8 3 5 2" xfId="4214" xr:uid="{6AE4B610-B26C-4901-B6A1-9379E5B9B9A7}"/>
    <cellStyle name="Millares [0] 8 3 6" xfId="3031" xr:uid="{55109D9B-266E-4B8D-8CBC-1462F2479C53}"/>
    <cellStyle name="Millares [0] 8 4" xfId="752" xr:uid="{08BC6295-6E3C-445A-95DB-A724F1F46DF7}"/>
    <cellStyle name="Millares [0] 8 4 2" xfId="871" xr:uid="{90B41DD8-3B04-487E-9BA8-566B54D944D4}"/>
    <cellStyle name="Millares [0] 8 4 2 2" xfId="1675" xr:uid="{836C1517-F103-4754-AA2B-F0312751D287}"/>
    <cellStyle name="Millares [0] 8 4 2 2 2" xfId="2858" xr:uid="{40815D1B-9257-483B-A940-3611A9C3BDE5}"/>
    <cellStyle name="Millares [0] 8 4 2 2 2 2" xfId="5224" xr:uid="{727935AD-39D3-4813-B016-2CCAA3B2859A}"/>
    <cellStyle name="Millares [0] 8 4 2 2 3" xfId="4041" xr:uid="{45419F06-9013-47C9-BA1B-63536D0FF881}"/>
    <cellStyle name="Millares [0] 8 4 2 3" xfId="2057" xr:uid="{096913F5-0CE9-483F-AF43-0F647DBC02D4}"/>
    <cellStyle name="Millares [0] 8 4 2 3 2" xfId="4423" xr:uid="{07B6833E-4BBB-4A67-9D74-18A21E4C3B19}"/>
    <cellStyle name="Millares [0] 8 4 2 4" xfId="3240" xr:uid="{892406AC-896A-4855-8B65-17DCBB1A91C6}"/>
    <cellStyle name="Millares [0] 8 4 3" xfId="1556" xr:uid="{D47CA45E-9A6B-4AE8-8BE6-EB4CA525E6F9}"/>
    <cellStyle name="Millares [0] 8 4 3 2" xfId="2739" xr:uid="{4AD2A833-DBA1-4A16-9ED4-07A9DB18213B}"/>
    <cellStyle name="Millares [0] 8 4 3 2 2" xfId="5105" xr:uid="{9157BD23-A134-47B7-B417-E693A8730C0E}"/>
    <cellStyle name="Millares [0] 8 4 3 3" xfId="3922" xr:uid="{30AB58C1-BE58-4B50-AD54-44210803BC70}"/>
    <cellStyle name="Millares [0] 8 4 4" xfId="1938" xr:uid="{4D73B62E-7C93-441D-BC24-71F4996E4622}"/>
    <cellStyle name="Millares [0] 8 4 4 2" xfId="4304" xr:uid="{53D3E33C-9785-4445-9266-BB5EE232631B}"/>
    <cellStyle name="Millares [0] 8 4 5" xfId="3121" xr:uid="{7256849C-90FD-441B-A1D7-8CC7B752AFB1}"/>
    <cellStyle name="Millares [0] 8 5" xfId="899" xr:uid="{335F4F23-15C5-4742-989D-1DE696A70EA0}"/>
    <cellStyle name="Millares [0] 8 5 2" xfId="1703" xr:uid="{3EFF552B-083B-434D-AED0-B052475FE5D8}"/>
    <cellStyle name="Millares [0] 8 5 2 2" xfId="2886" xr:uid="{2492E8AC-5766-40BE-A505-C48FDB82DF03}"/>
    <cellStyle name="Millares [0] 8 5 2 2 2" xfId="5252" xr:uid="{2AB14860-C7A4-4784-8F6E-F0A7EE21BB5B}"/>
    <cellStyle name="Millares [0] 8 5 2 3" xfId="4069" xr:uid="{AA12342A-5F98-4CD6-A05D-59678E1E7A68}"/>
    <cellStyle name="Millares [0] 8 5 3" xfId="2085" xr:uid="{AEDC918C-125F-4061-B4A3-5DFBE853EE87}"/>
    <cellStyle name="Millares [0] 8 5 3 2" xfId="4451" xr:uid="{8577E944-1807-491C-B5AD-D8B2EB38F572}"/>
    <cellStyle name="Millares [0] 8 5 4" xfId="3268" xr:uid="{4F92AA68-6754-4F0F-B973-C25D75EEF881}"/>
    <cellStyle name="Millares [0] 8 6" xfId="787" xr:uid="{7FB1C34C-9D9D-4611-84FA-A6DC4B6AF55B}"/>
    <cellStyle name="Millares [0] 8 6 2" xfId="1591" xr:uid="{8E29618F-A928-42D9-8EE8-4827343E3B4B}"/>
    <cellStyle name="Millares [0] 8 6 2 2" xfId="2774" xr:uid="{813847DC-2D27-4576-8340-D46182DECA13}"/>
    <cellStyle name="Millares [0] 8 6 2 2 2" xfId="5140" xr:uid="{D800CB62-EEE0-45B1-B2AC-88A08F5C4E00}"/>
    <cellStyle name="Millares [0] 8 6 2 3" xfId="3957" xr:uid="{3118D908-98C1-4A10-9624-EF3181646658}"/>
    <cellStyle name="Millares [0] 8 6 3" xfId="1973" xr:uid="{5D764700-0276-4133-8366-07F664DD6003}"/>
    <cellStyle name="Millares [0] 8 6 3 2" xfId="4339" xr:uid="{240FD4CA-9116-40B5-B04D-631997828EAA}"/>
    <cellStyle name="Millares [0] 8 6 4" xfId="3156" xr:uid="{5E37E707-7ADB-45FE-8FE2-CFD7F1F7A34B}"/>
    <cellStyle name="Millares [0] 8 7" xfId="1003" xr:uid="{D24F4D8D-7FF8-4632-A455-70927F17A4FD}"/>
    <cellStyle name="Millares [0] 8 7 2" xfId="1423" xr:uid="{A141B480-E2F9-428D-B8D3-7A1E38D0A273}"/>
    <cellStyle name="Millares [0] 8 7 2 2" xfId="2607" xr:uid="{746426FB-0A06-4874-BE99-5235670C8BF6}"/>
    <cellStyle name="Millares [0] 8 7 2 2 2" xfId="4973" xr:uid="{66C1A8C9-4BF3-47A9-A51D-7C7301B9016C}"/>
    <cellStyle name="Millares [0] 8 7 2 3" xfId="3790" xr:uid="{84893AE9-8704-4FA3-8288-78D18A38EDA6}"/>
    <cellStyle name="Millares [0] 8 7 3" xfId="2189" xr:uid="{A9C08E86-DBCE-4BE4-84F4-DD60E4CCC9D8}"/>
    <cellStyle name="Millares [0] 8 7 3 2" xfId="4555" xr:uid="{3B983A8D-22E6-4FEC-B024-273FD9527543}"/>
    <cellStyle name="Millares [0] 8 7 4" xfId="3372" xr:uid="{A7FFB408-7041-482B-9776-E53D9F364C6E}"/>
    <cellStyle name="Millares [0] 8 8" xfId="1213" xr:uid="{83965D06-200D-4686-872B-317077FE1817}"/>
    <cellStyle name="Millares [0] 8 8 2" xfId="2398" xr:uid="{CA308887-A761-4C39-9666-9A01F8D0BCE2}"/>
    <cellStyle name="Millares [0] 8 8 2 2" xfId="4764" xr:uid="{C688B2F2-2B08-49E7-A940-21C6903EB2AB}"/>
    <cellStyle name="Millares [0] 8 8 3" xfId="3581" xr:uid="{7804E029-F1AD-4A65-81C6-0C4695234BFC}"/>
    <cellStyle name="Millares [0] 8 9" xfId="1806" xr:uid="{6032AFF2-5797-4251-9B59-53F2BB154053}"/>
    <cellStyle name="Millares [0] 8 9 2" xfId="4172" xr:uid="{C3099159-7D84-40D5-A848-9E0C143CCBEE}"/>
    <cellStyle name="Millares [0] 9" xfId="154" xr:uid="{64FB11A1-55D4-4CE5-9DCB-5551E88679B4}"/>
    <cellStyle name="Millares [0] 9 10" xfId="2947" xr:uid="{1B75C439-0D52-4980-97D9-04081FAF1BE3}"/>
    <cellStyle name="Millares [0] 9 11" xfId="5341" xr:uid="{5A093F0D-23FE-490B-9B5A-609DECAC1847}"/>
    <cellStyle name="Millares [0] 9 2" xfId="579" xr:uid="{830C6004-B92B-4D02-800A-0BCE5FD0F7A5}"/>
    <cellStyle name="Millares [0] 9 2 2" xfId="817" xr:uid="{EEA47F27-4B2B-400E-8749-2DA58CEB53AB}"/>
    <cellStyle name="Millares [0] 9 2 2 2" xfId="1621" xr:uid="{615E5306-A13C-4427-94F2-D08A07046671}"/>
    <cellStyle name="Millares [0] 9 2 2 2 2" xfId="2804" xr:uid="{FB828EBC-6C47-46A3-827E-A83FED37D0C6}"/>
    <cellStyle name="Millares [0] 9 2 2 2 2 2" xfId="5170" xr:uid="{EC515831-430E-44B0-A3DB-9C41E2E50423}"/>
    <cellStyle name="Millares [0] 9 2 2 2 3" xfId="3987" xr:uid="{B3B116A6-A2FE-4C4D-9A36-ABD1670695D1}"/>
    <cellStyle name="Millares [0] 9 2 2 3" xfId="2003" xr:uid="{D90A4E0E-1570-4DB8-B200-BB022D4FB7DA}"/>
    <cellStyle name="Millares [0] 9 2 2 3 2" xfId="4369" xr:uid="{D2695AB8-D046-4F97-9AFF-571BB0507760}"/>
    <cellStyle name="Millares [0] 9 2 2 4" xfId="3186" xr:uid="{D3213BBA-754D-4B13-9661-68D101D70CE0}"/>
    <cellStyle name="Millares [0] 9 2 3" xfId="1087" xr:uid="{441098ED-75F9-4E49-A8E8-462AFE533BF2}"/>
    <cellStyle name="Millares [0] 9 2 3 2" xfId="1507" xr:uid="{4517BAD9-6C2E-4411-BB43-D0EC0B807694}"/>
    <cellStyle name="Millares [0] 9 2 3 2 2" xfId="2690" xr:uid="{72959C2D-EEEA-4ECA-8609-FE02C0B5528C}"/>
    <cellStyle name="Millares [0] 9 2 3 2 2 2" xfId="5056" xr:uid="{CE8888E3-A901-450B-90F8-F92B7CF37CDB}"/>
    <cellStyle name="Millares [0] 9 2 3 2 3" xfId="3873" xr:uid="{14E87EAB-18D7-41ED-8AA9-692390815FFC}"/>
    <cellStyle name="Millares [0] 9 2 3 3" xfId="2272" xr:uid="{DF2E8374-B14E-48A5-8D2A-0EE27822E1D0}"/>
    <cellStyle name="Millares [0] 9 2 3 3 2" xfId="4638" xr:uid="{0430A639-B1FA-48B1-A66A-32C9789DB24E}"/>
    <cellStyle name="Millares [0] 9 2 3 4" xfId="3455" xr:uid="{8103852E-EF9B-4D4D-A8D6-664CD0E6203C}"/>
    <cellStyle name="Millares [0] 9 2 4" xfId="1297" xr:uid="{4C1137B6-B18A-45D5-9B9A-9F7ECF21512B}"/>
    <cellStyle name="Millares [0] 9 2 4 2" xfId="2481" xr:uid="{BCB909B2-35AA-4133-9EAA-D674EF5B8952}"/>
    <cellStyle name="Millares [0] 9 2 4 2 2" xfId="4847" xr:uid="{16BE39CB-A0B5-4387-843D-1EFB1710F6BE}"/>
    <cellStyle name="Millares [0] 9 2 4 3" xfId="3664" xr:uid="{20991EE2-09D6-4C0F-9F0D-F86D98688F96}"/>
    <cellStyle name="Millares [0] 9 2 5" xfId="1889" xr:uid="{B8AB2982-12B1-4686-9647-00CCAD9E30FF}"/>
    <cellStyle name="Millares [0] 9 2 5 2" xfId="4255" xr:uid="{C12027EC-D01D-4782-9880-1BA3A915A670}"/>
    <cellStyle name="Millares [0] 9 2 6" xfId="3072" xr:uid="{CA721BC7-B63B-456F-94D7-743545EF8E91}"/>
    <cellStyle name="Millares [0] 9 3" xfId="330" xr:uid="{0471E3DF-9BE1-4FC5-BE35-A63D23A4AA4E}"/>
    <cellStyle name="Millares [0] 9 3 2" xfId="845" xr:uid="{4ABD9AE8-C732-4375-8FD4-E56CC19CAA9A}"/>
    <cellStyle name="Millares [0] 9 3 2 2" xfId="1649" xr:uid="{22D21B7B-6CDA-4A75-8958-0E0D3C20C6F6}"/>
    <cellStyle name="Millares [0] 9 3 2 2 2" xfId="2832" xr:uid="{7FFF4726-0C7A-45F7-9EA1-EB294BE45D6D}"/>
    <cellStyle name="Millares [0] 9 3 2 2 2 2" xfId="5198" xr:uid="{97A4971C-5078-43F8-A538-E351D644F89E}"/>
    <cellStyle name="Millares [0] 9 3 2 2 3" xfId="4015" xr:uid="{AA498909-8E9D-46B7-B730-FB427324A96E}"/>
    <cellStyle name="Millares [0] 9 3 2 3" xfId="2031" xr:uid="{52D4D2A3-AE2C-408C-BEDF-EFC6D675F578}"/>
    <cellStyle name="Millares [0] 9 3 2 3 2" xfId="4397" xr:uid="{EC1C4158-FF18-4642-8FA1-04A96000EEDA}"/>
    <cellStyle name="Millares [0] 9 3 2 4" xfId="3214" xr:uid="{7D7392F6-3528-45D4-B1B2-41ACF121AB8B}"/>
    <cellStyle name="Millares [0] 9 3 3" xfId="1052" xr:uid="{D259D3DC-7806-4813-9D2E-D86174671DEE}"/>
    <cellStyle name="Millares [0] 9 3 3 2" xfId="1472" xr:uid="{A9004CAF-53F9-4824-88C5-DE612052F4A4}"/>
    <cellStyle name="Millares [0] 9 3 3 2 2" xfId="2655" xr:uid="{87F14BAE-8F7B-4280-8FC5-5BD85BE642F5}"/>
    <cellStyle name="Millares [0] 9 3 3 2 2 2" xfId="5021" xr:uid="{84A6822D-E37D-4EFD-AB21-CF8FF6744B3E}"/>
    <cellStyle name="Millares [0] 9 3 3 2 3" xfId="3838" xr:uid="{B5BCCC6E-F536-45BB-B0E9-5C144E7EF50B}"/>
    <cellStyle name="Millares [0] 9 3 3 3" xfId="2237" xr:uid="{BD82F7B3-7AD3-4E74-B30E-9CEB6F42933E}"/>
    <cellStyle name="Millares [0] 9 3 3 3 2" xfId="4603" xr:uid="{39CA2082-C8A1-4E13-B6F9-274294FD2B0A}"/>
    <cellStyle name="Millares [0] 9 3 3 4" xfId="3420" xr:uid="{BE10E3CA-A19F-4B10-B58F-E419DB436CDF}"/>
    <cellStyle name="Millares [0] 9 3 4" xfId="1262" xr:uid="{00EE2297-E558-4114-919C-70B41AC87074}"/>
    <cellStyle name="Millares [0] 9 3 4 2" xfId="2446" xr:uid="{A2780FDF-5FC5-41F7-BC65-B45D3ACFF615}"/>
    <cellStyle name="Millares [0] 9 3 4 2 2" xfId="4812" xr:uid="{0BEDADB9-4F9C-4317-942E-FEAC21264C68}"/>
    <cellStyle name="Millares [0] 9 3 4 3" xfId="3629" xr:uid="{4B6BCB98-164D-4EF1-9774-574E7F9C4E56}"/>
    <cellStyle name="Millares [0] 9 3 5" xfId="1854" xr:uid="{DFCE678B-D823-44EC-B9C6-9DD33254F2EE}"/>
    <cellStyle name="Millares [0] 9 3 5 2" xfId="4220" xr:uid="{C2A41B54-699E-442E-A0C5-3FD4186251A4}"/>
    <cellStyle name="Millares [0] 9 3 6" xfId="3037" xr:uid="{12CC8038-361F-4C4B-BEF1-52870BB00C6A}"/>
    <cellStyle name="Millares [0] 9 4" xfId="758" xr:uid="{F56D6190-4966-4002-882E-C70AC06E0052}"/>
    <cellStyle name="Millares [0] 9 4 2" xfId="873" xr:uid="{768A8553-E5BC-4D2E-BF93-4FA499625FE6}"/>
    <cellStyle name="Millares [0] 9 4 2 2" xfId="1677" xr:uid="{7D586827-5B1A-41E4-BCFF-B67006AD017C}"/>
    <cellStyle name="Millares [0] 9 4 2 2 2" xfId="2860" xr:uid="{ECB01D9C-CA1E-49FA-AFE4-56809A8CC253}"/>
    <cellStyle name="Millares [0] 9 4 2 2 2 2" xfId="5226" xr:uid="{640B29B3-3E3C-41D1-B525-3C47789B79AA}"/>
    <cellStyle name="Millares [0] 9 4 2 2 3" xfId="4043" xr:uid="{7F780442-F077-4395-82C6-2E82471BA9AE}"/>
    <cellStyle name="Millares [0] 9 4 2 3" xfId="2059" xr:uid="{A561723A-2C83-4BE6-A199-7FC41540583A}"/>
    <cellStyle name="Millares [0] 9 4 2 3 2" xfId="4425" xr:uid="{13FFC0FA-2A68-4F19-A358-D20042AE896B}"/>
    <cellStyle name="Millares [0] 9 4 2 4" xfId="3242" xr:uid="{27337DC8-72B6-47A4-9EA0-E5A03169C753}"/>
    <cellStyle name="Millares [0] 9 4 3" xfId="1562" xr:uid="{98EE2A34-1D6E-499A-AE2A-581868F9D598}"/>
    <cellStyle name="Millares [0] 9 4 3 2" xfId="2745" xr:uid="{7527B1F6-E3DF-4E7C-A964-B491D01274B0}"/>
    <cellStyle name="Millares [0] 9 4 3 2 2" xfId="5111" xr:uid="{26486B92-AAE8-4827-A9BC-7C6BFF517895}"/>
    <cellStyle name="Millares [0] 9 4 3 3" xfId="3928" xr:uid="{8DABA12C-8F49-40B2-B424-0251FEE1CF32}"/>
    <cellStyle name="Millares [0] 9 4 4" xfId="1944" xr:uid="{F021916B-FCD5-4A70-B7EB-BE0322BA621F}"/>
    <cellStyle name="Millares [0] 9 4 4 2" xfId="4310" xr:uid="{7BD5A174-5DC8-4ABB-AD6C-96091D6136DD}"/>
    <cellStyle name="Millares [0] 9 4 5" xfId="3127" xr:uid="{D3681739-C6F2-4BDD-B37E-D6EE321E0A42}"/>
    <cellStyle name="Millares [0] 9 5" xfId="901" xr:uid="{BEEBB31F-1AE5-4B6C-BDF3-CC6F9891FDAD}"/>
    <cellStyle name="Millares [0] 9 5 2" xfId="1705" xr:uid="{2154B80E-FDDE-44A4-8A41-04FA9ECB2C6D}"/>
    <cellStyle name="Millares [0] 9 5 2 2" xfId="2888" xr:uid="{CBA9AC6D-B153-4FC8-A0C2-79B13D6B41F0}"/>
    <cellStyle name="Millares [0] 9 5 2 2 2" xfId="5254" xr:uid="{E0258E5F-1A03-4499-8ACB-4DB235B84E1F}"/>
    <cellStyle name="Millares [0] 9 5 2 3" xfId="4071" xr:uid="{F60B83A7-6225-4FE3-A129-CBF49D921DA7}"/>
    <cellStyle name="Millares [0] 9 5 3" xfId="2087" xr:uid="{7B4A7826-BF82-4DD1-902F-DB5E9293ABDF}"/>
    <cellStyle name="Millares [0] 9 5 3 2" xfId="4453" xr:uid="{22997AA5-055A-4A92-948C-40AF551E7C7B}"/>
    <cellStyle name="Millares [0] 9 5 4" xfId="3270" xr:uid="{68F63158-2461-4B56-8520-CD5E38EA5E34}"/>
    <cellStyle name="Millares [0] 9 6" xfId="789" xr:uid="{D4A362FD-F97D-42D7-8C8F-383DA8DA7D20}"/>
    <cellStyle name="Millares [0] 9 6 2" xfId="1593" xr:uid="{1099112C-4BC1-40B8-8923-6FCFAC03F5A2}"/>
    <cellStyle name="Millares [0] 9 6 2 2" xfId="2776" xr:uid="{A7CDC5EE-7042-47BE-AC64-80BFFA8742FA}"/>
    <cellStyle name="Millares [0] 9 6 2 2 2" xfId="5142" xr:uid="{235DC14F-9E68-4E44-AA7F-D95D50675FA3}"/>
    <cellStyle name="Millares [0] 9 6 2 3" xfId="3959" xr:uid="{151B152B-A2B2-46D4-B14A-3A3301C25860}"/>
    <cellStyle name="Millares [0] 9 6 3" xfId="1975" xr:uid="{C43B407C-4BCF-45BE-A6B6-E1560050DB95}"/>
    <cellStyle name="Millares [0] 9 6 3 2" xfId="4341" xr:uid="{B58FE1B6-FB98-4FCB-BFD9-033A2CB9D504}"/>
    <cellStyle name="Millares [0] 9 6 4" xfId="3158" xr:uid="{833D7415-5045-4181-897E-0647420C7469}"/>
    <cellStyle name="Millares [0] 9 7" xfId="961" xr:uid="{31959A30-8645-4EF8-B651-1E6ADDF77C6E}"/>
    <cellStyle name="Millares [0] 9 7 2" xfId="1381" xr:uid="{8FEE75D0-F5D4-41DB-9DAD-7F6CA557F2F2}"/>
    <cellStyle name="Millares [0] 9 7 2 2" xfId="2565" xr:uid="{FC7001FC-A928-4E8F-AE4A-1358A73A50D8}"/>
    <cellStyle name="Millares [0] 9 7 2 2 2" xfId="4931" xr:uid="{3E3AB3B4-3524-4550-87C3-0045E35A67F2}"/>
    <cellStyle name="Millares [0] 9 7 2 3" xfId="3748" xr:uid="{F8B0CC04-9838-4536-A638-A59012B43502}"/>
    <cellStyle name="Millares [0] 9 7 3" xfId="2147" xr:uid="{C69E9E2A-9DAB-4047-9FAF-42D20FC585C4}"/>
    <cellStyle name="Millares [0] 9 7 3 2" xfId="4513" xr:uid="{CB599143-3B20-4C29-9004-C44985734B13}"/>
    <cellStyle name="Millares [0] 9 7 4" xfId="3330" xr:uid="{FCA072F0-F219-441C-A87B-12A43F8B077A}"/>
    <cellStyle name="Millares [0] 9 8" xfId="1171" xr:uid="{A9822ECF-2B87-45CC-BD36-C1F515CEDF8D}"/>
    <cellStyle name="Millares [0] 9 8 2" xfId="2356" xr:uid="{EA462F26-1523-4A75-A121-433BDDDD1963}"/>
    <cellStyle name="Millares [0] 9 8 2 2" xfId="4722" xr:uid="{0B3F90A5-7084-4197-AA8D-28FA123CEEEA}"/>
    <cellStyle name="Millares [0] 9 8 3" xfId="3539" xr:uid="{6EE9A5DC-F0BE-46DB-9971-A3A378409F5E}"/>
    <cellStyle name="Millares [0] 9 9" xfId="1764" xr:uid="{074B4369-1269-465C-97B6-55A4D6FD7ED6}"/>
    <cellStyle name="Millares [0] 9 9 2" xfId="4130" xr:uid="{0253BD9B-BB7B-4B0F-B958-F3EBD48B1D45}"/>
    <cellStyle name="Millares 10" xfId="123" xr:uid="{B5C8FB15-81D6-4729-853B-BE6A91C3AE3E}"/>
    <cellStyle name="Millares 10 2" xfId="143" xr:uid="{D27EBD3D-E0E8-41F1-B426-26DDDEBB320D}"/>
    <cellStyle name="Millares 10 2 2" xfId="623" xr:uid="{B6F40729-686B-406F-8D45-6C027135C7B8}"/>
    <cellStyle name="Millares 10 3" xfId="377" xr:uid="{4AB20F39-48D0-44D7-BC73-E9C722718E82}"/>
    <cellStyle name="Millares 10 4" xfId="706" xr:uid="{405FFEDF-012F-4A31-B866-1797D583A916}"/>
    <cellStyle name="Millares 10 4 2" xfId="1101" xr:uid="{AF0B7D7D-4B34-497D-924F-35C50EF0EFA8}"/>
    <cellStyle name="Millares 10 4 2 2" xfId="1521" xr:uid="{3FCC3792-BD90-4E64-BB24-BDAA04434B16}"/>
    <cellStyle name="Millares 10 4 2 2 2" xfId="2704" xr:uid="{B0076C93-236C-4FB0-8ADE-58E7ABF09E76}"/>
    <cellStyle name="Millares 10 4 2 2 2 2" xfId="5070" xr:uid="{88F72999-0F16-4FFF-AE44-4A3FC6BFA10D}"/>
    <cellStyle name="Millares 10 4 2 2 3" xfId="3887" xr:uid="{B10D9968-9136-47DB-9260-DBB8371910C4}"/>
    <cellStyle name="Millares 10 4 2 3" xfId="2286" xr:uid="{64AC419A-365C-4DDC-B441-047DC30A2DF0}"/>
    <cellStyle name="Millares 10 4 2 3 2" xfId="4652" xr:uid="{5414259D-BD26-4A3B-8330-81F4A2F7B972}"/>
    <cellStyle name="Millares 10 4 2 4" xfId="3469" xr:uid="{426A3595-F833-4AAC-A54F-E4041C75BBE3}"/>
    <cellStyle name="Millares 10 4 3" xfId="1311" xr:uid="{F8E8F970-155C-4831-8CF7-A7E4ED1D91D2}"/>
    <cellStyle name="Millares 10 4 3 2" xfId="2495" xr:uid="{1CF84C4E-8AED-4055-8DCF-4A859F0D2331}"/>
    <cellStyle name="Millares 10 4 3 2 2" xfId="4861" xr:uid="{56D9D57D-7F37-4847-8ABA-9ED23F7866F4}"/>
    <cellStyle name="Millares 10 4 3 3" xfId="3678" xr:uid="{A372228E-CC57-4C50-92AC-5E435A44FD77}"/>
    <cellStyle name="Millares 10 4 4" xfId="1903" xr:uid="{B5DA1F9E-54B5-4F27-8164-9FB0DC4ECB81}"/>
    <cellStyle name="Millares 10 4 4 2" xfId="4269" xr:uid="{5087BC17-D037-4596-95EF-1C23AEB6F4C5}"/>
    <cellStyle name="Millares 10 4 5" xfId="3086" xr:uid="{657B77BF-C416-4E48-A1C5-04EDFC20BA5D}"/>
    <cellStyle name="Millares 11" xfId="149" xr:uid="{480CB95B-AB67-4A56-A5C2-D258294178EA}"/>
    <cellStyle name="Millares 11 2" xfId="223" xr:uid="{7EC95D47-2EAB-4B2F-AFBA-E3ED6D0ED457}"/>
    <cellStyle name="Millares 11 2 2" xfId="649" xr:uid="{F4F3AC53-9F2B-4640-AA4E-B9A0BDBD337D}"/>
    <cellStyle name="Millares 11 2 3" xfId="1025" xr:uid="{CC3968D8-B25F-4006-9268-A11B6F709763}"/>
    <cellStyle name="Millares 11 2 3 2" xfId="1445" xr:uid="{DA4D331C-8A10-4F62-B24C-0E299F3699B6}"/>
    <cellStyle name="Millares 11 2 3 2 2" xfId="2629" xr:uid="{DA88F010-A1F8-4A13-AF82-0ED19D684207}"/>
    <cellStyle name="Millares 11 2 3 2 2 2" xfId="4995" xr:uid="{C96046FD-C9D1-44BA-80FC-743F30B676C7}"/>
    <cellStyle name="Millares 11 2 3 2 3" xfId="3812" xr:uid="{D23A19CC-7AF4-4D80-A12F-E9D33CE1AA82}"/>
    <cellStyle name="Millares 11 2 3 3" xfId="2211" xr:uid="{1CD73315-B040-41C3-959D-2520B0A39C70}"/>
    <cellStyle name="Millares 11 2 3 3 2" xfId="4577" xr:uid="{BBC4C94A-FC1E-42FE-9F68-1FD535F64A57}"/>
    <cellStyle name="Millares 11 2 3 4" xfId="3394" xr:uid="{FDA9A4AE-7510-4698-ADE4-9F3DC5FE2F4F}"/>
    <cellStyle name="Millares 11 2 4" xfId="1235" xr:uid="{5B86DB24-C76E-439E-B9A9-BA16B0BE17DF}"/>
    <cellStyle name="Millares 11 2 4 2" xfId="2420" xr:uid="{987A6B0C-EE91-41A6-A22C-6055874E57C3}"/>
    <cellStyle name="Millares 11 2 4 2 2" xfId="4786" xr:uid="{0170F78F-18D9-436E-9256-2A85C881ACB3}"/>
    <cellStyle name="Millares 11 2 4 3" xfId="3603" xr:uid="{8015D4BF-468E-4334-B732-A175077CDEA2}"/>
    <cellStyle name="Millares 11 2 5" xfId="1828" xr:uid="{35B700BA-5F33-419A-BBE3-A896A19D1205}"/>
    <cellStyle name="Millares 11 2 5 2" xfId="4194" xr:uid="{A56F6A3E-E225-4E80-BD9A-520A1E6875B1}"/>
    <cellStyle name="Millares 11 2 6" xfId="3011" xr:uid="{3A0FAEAC-7378-42ED-B35A-87712CA967CC}"/>
    <cellStyle name="Millares 11 3" xfId="177" xr:uid="{411B36E8-AA45-4475-826A-543C5979F40E}"/>
    <cellStyle name="Millares 11 3 2" xfId="984" xr:uid="{B9F043BA-41FE-4123-9232-52E0E80858E4}"/>
    <cellStyle name="Millares 11 3 2 2" xfId="1404" xr:uid="{6A18AD2E-C91C-4FE2-B1BB-4B7C9C13FA0D}"/>
    <cellStyle name="Millares 11 3 2 2 2" xfId="2588" xr:uid="{53614078-DE06-4D60-BAE8-5843083C7E1C}"/>
    <cellStyle name="Millares 11 3 2 2 2 2" xfId="4954" xr:uid="{7EBE35F7-46FA-4EA0-A129-83A3593B7799}"/>
    <cellStyle name="Millares 11 3 2 2 3" xfId="3771" xr:uid="{4109FABE-BFF6-4CA6-9819-11BDD760C0CB}"/>
    <cellStyle name="Millares 11 3 2 3" xfId="2170" xr:uid="{D88B312C-F781-40CD-B35C-093FD400A447}"/>
    <cellStyle name="Millares 11 3 2 3 2" xfId="4536" xr:uid="{684E4874-303E-4033-970E-7501AC47A0E6}"/>
    <cellStyle name="Millares 11 3 2 4" xfId="3353" xr:uid="{378FBE76-87C1-4DE2-88D0-8F7CF6528E99}"/>
    <cellStyle name="Millares 11 3 3" xfId="1194" xr:uid="{FCC3BD36-ABB2-496B-AE81-8BAA74B1B274}"/>
    <cellStyle name="Millares 11 3 3 2" xfId="2379" xr:uid="{0BB2F3C0-7EE8-46C7-884B-A7BA56388773}"/>
    <cellStyle name="Millares 11 3 3 2 2" xfId="4745" xr:uid="{92DA3B3A-1A53-4E37-BA96-A459228B6C8E}"/>
    <cellStyle name="Millares 11 3 3 3" xfId="3562" xr:uid="{EF1C0DC2-7B18-4CF2-94B6-D5A8B343CC5C}"/>
    <cellStyle name="Millares 11 3 4" xfId="1787" xr:uid="{19878CFC-1EF9-4EDF-96CA-DC2255490628}"/>
    <cellStyle name="Millares 11 3 4 2" xfId="4153" xr:uid="{F4FE2775-EFBE-4562-B8D9-96FF36A195EB}"/>
    <cellStyle name="Millares 11 3 5" xfId="2970" xr:uid="{A625583D-C8CE-46A5-A36F-32D5E617D8E4}"/>
    <cellStyle name="Millares 11 4" xfId="402" xr:uid="{C6403BF4-5C9A-4FAA-8AC0-8566A1D5E71E}"/>
    <cellStyle name="Millares 11 5" xfId="714" xr:uid="{6BE5494A-CAB6-473E-A9FD-2681BB217F99}"/>
    <cellStyle name="Millares 11 5 2" xfId="1107" xr:uid="{195C6FF3-C387-4B76-9D94-834837F0D370}"/>
    <cellStyle name="Millares 11 5 2 2" xfId="1527" xr:uid="{5F1C99CE-C1A4-42C5-BECE-488B284AC8FD}"/>
    <cellStyle name="Millares 11 5 2 2 2" xfId="2710" xr:uid="{C8651C1D-C534-471B-B08E-A6BEAF44EEA6}"/>
    <cellStyle name="Millares 11 5 2 2 2 2" xfId="5076" xr:uid="{AF0121C9-168F-4A83-A91F-372AB7049790}"/>
    <cellStyle name="Millares 11 5 2 2 3" xfId="3893" xr:uid="{50A4129F-3F81-4DC1-8A73-F63A13113A3B}"/>
    <cellStyle name="Millares 11 5 2 3" xfId="2292" xr:uid="{95804875-09B5-47E9-AF71-E29365AEDBEB}"/>
    <cellStyle name="Millares 11 5 2 3 2" xfId="4658" xr:uid="{B2DDA220-5C22-4BE3-A909-7298DB795C4F}"/>
    <cellStyle name="Millares 11 5 2 4" xfId="3475" xr:uid="{EC14309C-E510-4FB7-BDCC-59B2264693C1}"/>
    <cellStyle name="Millares 11 5 3" xfId="1317" xr:uid="{AD6B6F5A-C874-40D8-89CA-DBDBCA0A7CE5}"/>
    <cellStyle name="Millares 11 5 3 2" xfId="2501" xr:uid="{790C30A8-50EF-4B41-8A18-CB61D20A7F24}"/>
    <cellStyle name="Millares 11 5 3 2 2" xfId="4867" xr:uid="{B8181E92-7511-4946-8C8C-64C5C2517C8F}"/>
    <cellStyle name="Millares 11 5 3 3" xfId="3684" xr:uid="{9C0BC8DB-E8B1-45B9-9AC2-A1AB2DF865B9}"/>
    <cellStyle name="Millares 11 5 4" xfId="1909" xr:uid="{79048BB8-FC6C-47A1-B4D0-1D96DA336B36}"/>
    <cellStyle name="Millares 11 5 4 2" xfId="4275" xr:uid="{56920548-B7C8-4950-8103-F4A1C2220BF0}"/>
    <cellStyle name="Millares 11 5 5" xfId="3092" xr:uid="{F3DF2758-1CBC-4899-946A-B3D6B4404B7C}"/>
    <cellStyle name="Millares 11 6" xfId="956" xr:uid="{A9766E4E-C59D-4CEA-AE16-29FEEE3D1CC3}"/>
    <cellStyle name="Millares 11 6 2" xfId="1376" xr:uid="{08030878-4CC4-4C9A-B41A-F2BD83F1A582}"/>
    <cellStyle name="Millares 11 6 2 2" xfId="2560" xr:uid="{48F75830-CB79-4F73-84C7-7CEEEE441E07}"/>
    <cellStyle name="Millares 11 6 2 2 2" xfId="4926" xr:uid="{9BC7D088-EB10-4243-BE39-0F2730C0E8DE}"/>
    <cellStyle name="Millares 11 6 2 3" xfId="3743" xr:uid="{98074E3E-6B78-4909-B347-2EE822683F77}"/>
    <cellStyle name="Millares 11 6 3" xfId="2142" xr:uid="{F4E3D985-A854-4DD9-B4F3-19AFCD3D308E}"/>
    <cellStyle name="Millares 11 6 3 2" xfId="4508" xr:uid="{B19D1627-55E7-426A-AD2B-F4122A270E76}"/>
    <cellStyle name="Millares 11 6 4" xfId="3325" xr:uid="{7826724D-0155-4AC1-9C78-2C414670080E}"/>
    <cellStyle name="Millares 11 7" xfId="1166" xr:uid="{4F98B230-D0B1-4DDC-8712-35E1EC27EC24}"/>
    <cellStyle name="Millares 11 7 2" xfId="2351" xr:uid="{624164E3-3E1C-44EE-B756-1010205D3E60}"/>
    <cellStyle name="Millares 11 7 2 2" xfId="4717" xr:uid="{3F7AB302-83D3-4661-BE75-CDAA09C68769}"/>
    <cellStyle name="Millares 11 7 3" xfId="3534" xr:uid="{FB41A061-89C1-4FDE-8C3F-0B577201EFE3}"/>
    <cellStyle name="Millares 11 8" xfId="1759" xr:uid="{A3494A53-89B3-4684-97A2-CB6345DC8E61}"/>
    <cellStyle name="Millares 11 8 2" xfId="4125" xr:uid="{439C89FE-40FA-4A49-8893-12F35F417F0E}"/>
    <cellStyle name="Millares 11 9" xfId="2942" xr:uid="{EF250791-2FC1-4F48-9E66-B9171C93A0FD}"/>
    <cellStyle name="Millares 12" xfId="124" xr:uid="{2ED0BD92-8325-43DB-BC62-D3C40AEC65D5}"/>
    <cellStyle name="Millares 12 2" xfId="652" xr:uid="{0C4A83FD-1C8A-4FCE-A0B1-8EF995FCD959}"/>
    <cellStyle name="Millares 12 3" xfId="405" xr:uid="{0B073FE8-E2CA-4D15-A9D3-B97FD9FD266B}"/>
    <cellStyle name="Millares 12 4" xfId="709" xr:uid="{6A6DC538-64DE-4109-A4D2-53ABC70E4A4C}"/>
    <cellStyle name="Millares 12 4 2" xfId="1103" xr:uid="{AA84CC24-4BA6-4935-800F-75D684C3719A}"/>
    <cellStyle name="Millares 12 4 2 2" xfId="1523" xr:uid="{D85DC229-82C1-499D-945A-760D822F8601}"/>
    <cellStyle name="Millares 12 4 2 2 2" xfId="2706" xr:uid="{F85D926B-B4F6-4110-8AF4-B2874C67C677}"/>
    <cellStyle name="Millares 12 4 2 2 2 2" xfId="5072" xr:uid="{8D1B092A-C9B9-47CA-B3DC-2DBC787B31DB}"/>
    <cellStyle name="Millares 12 4 2 2 3" xfId="3889" xr:uid="{67B7086D-FA64-49AF-914E-721D371A512E}"/>
    <cellStyle name="Millares 12 4 2 3" xfId="2288" xr:uid="{2AC0A62D-04C1-4DC4-AB49-9158DBA042B8}"/>
    <cellStyle name="Millares 12 4 2 3 2" xfId="4654" xr:uid="{39982D9C-74AD-4660-B439-DD03F7F6FCB8}"/>
    <cellStyle name="Millares 12 4 2 4" xfId="3471" xr:uid="{ECE71BFD-2E1B-4CF3-83F0-0ED097F6335C}"/>
    <cellStyle name="Millares 12 4 3" xfId="1313" xr:uid="{CA2CD829-6790-4D2B-AA48-E6CE0C5F0C8A}"/>
    <cellStyle name="Millares 12 4 3 2" xfId="2497" xr:uid="{542A3497-C403-49FB-ACE7-5BE603EB1810}"/>
    <cellStyle name="Millares 12 4 3 2 2" xfId="4863" xr:uid="{BBA1A4BD-7BDC-44CF-BCA0-AA2CC6748DAC}"/>
    <cellStyle name="Millares 12 4 3 3" xfId="3680" xr:uid="{EA07992C-6245-42FF-8673-CFABB12D24B2}"/>
    <cellStyle name="Millares 12 4 4" xfId="1905" xr:uid="{333C484F-27C4-45AA-A378-7685C5B6A9B8}"/>
    <cellStyle name="Millares 12 4 4 2" xfId="4271" xr:uid="{B0BFC829-6CD4-48D4-B9F9-50B539DC5B73}"/>
    <cellStyle name="Millares 12 4 5" xfId="3088" xr:uid="{C88A82FA-B64F-4E5A-ADAA-1F3BEEA9DD5A}"/>
    <cellStyle name="Millares 13" xfId="194" xr:uid="{CB49CCE0-56CF-4270-98C5-090BC947110E}"/>
    <cellStyle name="Millares 13 2" xfId="628" xr:uid="{7F455364-7BDF-4055-884E-DD3129680DF7}"/>
    <cellStyle name="Millares 13 3" xfId="381" xr:uid="{82A372FA-2DF3-422B-ABBE-1B2E795A3BB3}"/>
    <cellStyle name="Millares 13 4" xfId="731" xr:uid="{D1033C59-45A2-4869-87A7-1E56C6817A81}"/>
    <cellStyle name="Millares 13 4 2" xfId="1118" xr:uid="{30C9DE07-E7B8-472C-8766-5C525EED82DE}"/>
    <cellStyle name="Millares 13 4 2 2" xfId="1538" xr:uid="{5491FC84-1FC3-411B-9C17-B993869C1741}"/>
    <cellStyle name="Millares 13 4 2 2 2" xfId="2721" xr:uid="{3C1509AA-C0C7-4F65-AA18-B7EB76CD499C}"/>
    <cellStyle name="Millares 13 4 2 2 2 2" xfId="5087" xr:uid="{146DFC06-FEDA-48EF-B9B7-750FCEDAAB7B}"/>
    <cellStyle name="Millares 13 4 2 2 3" xfId="3904" xr:uid="{D13EC70C-A4BD-4D6E-9CF9-2C4C79BBBC1B}"/>
    <cellStyle name="Millares 13 4 2 3" xfId="2303" xr:uid="{091EC344-9882-44CF-BDFE-F7F44FB34C84}"/>
    <cellStyle name="Millares 13 4 2 3 2" xfId="4669" xr:uid="{27556BF9-9CE2-4263-984E-D48237846458}"/>
    <cellStyle name="Millares 13 4 2 4" xfId="3486" xr:uid="{A6052617-4A5D-41D1-BE91-BD5112D43269}"/>
    <cellStyle name="Millares 13 4 3" xfId="1328" xr:uid="{C98BA301-F819-48AC-B639-EC90412EFEE3}"/>
    <cellStyle name="Millares 13 4 3 2" xfId="2512" xr:uid="{CE0948D3-1254-4EFF-BAD8-1B9C2191A5E9}"/>
    <cellStyle name="Millares 13 4 3 2 2" xfId="4878" xr:uid="{032A61CD-87DD-4133-84C0-327882046BCF}"/>
    <cellStyle name="Millares 13 4 3 3" xfId="3695" xr:uid="{B01A7428-F0F7-4A44-8BBF-2ECF4B611D31}"/>
    <cellStyle name="Millares 13 4 4" xfId="1920" xr:uid="{1C749B97-114A-419C-B07A-C2DE3B9896B2}"/>
    <cellStyle name="Millares 13 4 4 2" xfId="4286" xr:uid="{39EFFC6A-1C7E-4307-95B4-70D03C89E13A}"/>
    <cellStyle name="Millares 13 4 5" xfId="3103" xr:uid="{58F5BB5B-F364-4F80-94AF-74C99CE0BAA5}"/>
    <cellStyle name="Millares 13 5" xfId="999" xr:uid="{B2F1F45B-7B22-4A4A-978C-F81C159EC4C9}"/>
    <cellStyle name="Millares 13 5 2" xfId="1419" xr:uid="{805902F8-3D10-40BE-A756-1608DC71E70D}"/>
    <cellStyle name="Millares 13 5 2 2" xfId="2603" xr:uid="{738BE248-F631-4340-9267-020B75FC7361}"/>
    <cellStyle name="Millares 13 5 2 2 2" xfId="4969" xr:uid="{09658B9C-F25C-4884-AB84-2648A20A32D8}"/>
    <cellStyle name="Millares 13 5 2 3" xfId="3786" xr:uid="{AD323F63-442D-443F-90E5-024B02351700}"/>
    <cellStyle name="Millares 13 5 3" xfId="2185" xr:uid="{EEC4FB58-9018-41DE-A3BE-737D5E68338D}"/>
    <cellStyle name="Millares 13 5 3 2" xfId="4551" xr:uid="{D762E125-294F-4785-812F-CD3221BE0D28}"/>
    <cellStyle name="Millares 13 5 4" xfId="3368" xr:uid="{4C2BAE8A-821C-4490-9F2C-28C52602C102}"/>
    <cellStyle name="Millares 13 6" xfId="1209" xr:uid="{D4336B1E-7CEF-4300-B588-533E7C9D62C1}"/>
    <cellStyle name="Millares 13 6 2" xfId="2394" xr:uid="{43FEF547-BABB-4C1F-8E09-B2163748447E}"/>
    <cellStyle name="Millares 13 6 2 2" xfId="4760" xr:uid="{C23725D5-1DB9-4A33-8112-9E2BAD795A0E}"/>
    <cellStyle name="Millares 13 6 3" xfId="3577" xr:uid="{FFBCCE89-9791-4CB0-9E15-B9FF89F10E04}"/>
    <cellStyle name="Millares 13 7" xfId="1802" xr:uid="{E48DD101-A5DD-4DBD-BD68-5D23181DABC5}"/>
    <cellStyle name="Millares 13 7 2" xfId="4168" xr:uid="{75075F0A-986E-4FC8-BA26-9A5ADE209914}"/>
    <cellStyle name="Millares 13 8" xfId="2985" xr:uid="{8E5194CB-E7BC-41DA-B72F-5ED513C62B3B}"/>
    <cellStyle name="Millares 14" xfId="193" xr:uid="{99C7F1EE-422C-4300-8A2E-C011B7B70F46}"/>
    <cellStyle name="Millares 14 2" xfId="651" xr:uid="{DF07B0A2-0BAE-4039-B563-2D9650F3208D}"/>
    <cellStyle name="Millares 14 3" xfId="404" xr:uid="{BF8742FA-24C5-4AF8-A7F5-5A1224B3BA1F}"/>
    <cellStyle name="Millares 14 4" xfId="725" xr:uid="{6E789EE8-EF77-40B3-9829-171CC72B2FBF}"/>
    <cellStyle name="Millares 14 4 2" xfId="1115" xr:uid="{06D64B44-5949-4966-A189-4395E8B228FF}"/>
    <cellStyle name="Millares 14 4 2 2" xfId="1535" xr:uid="{D050661C-F2CC-4451-B0C7-9D862FEB6945}"/>
    <cellStyle name="Millares 14 4 2 2 2" xfId="2718" xr:uid="{B73A27DB-23C6-4253-A215-8E876E05AB24}"/>
    <cellStyle name="Millares 14 4 2 2 2 2" xfId="5084" xr:uid="{EF8D5FD0-DBA0-4ABB-BB67-7D117FDAF71C}"/>
    <cellStyle name="Millares 14 4 2 2 3" xfId="3901" xr:uid="{86A860F3-DE1E-4AD3-A052-6C137C2B70C8}"/>
    <cellStyle name="Millares 14 4 2 3" xfId="2300" xr:uid="{CBB8F843-FF5B-4047-9AC2-107CC1D6222B}"/>
    <cellStyle name="Millares 14 4 2 3 2" xfId="4666" xr:uid="{FA316EA4-993E-4E3A-ADD2-CDAA2A9E3296}"/>
    <cellStyle name="Millares 14 4 2 4" xfId="3483" xr:uid="{E4C4A1DC-973E-4B0F-9014-1E258E20DAC2}"/>
    <cellStyle name="Millares 14 4 3" xfId="1325" xr:uid="{BDACCE72-F844-4741-8FBE-17C1E7E0FDA8}"/>
    <cellStyle name="Millares 14 4 3 2" xfId="2509" xr:uid="{0069B252-9975-4E23-AB31-0F4F62CE799F}"/>
    <cellStyle name="Millares 14 4 3 2 2" xfId="4875" xr:uid="{67F7D69C-636F-45F2-98DB-9FF6FCD8610A}"/>
    <cellStyle name="Millares 14 4 3 3" xfId="3692" xr:uid="{18D9D839-0438-4856-B3E8-CFDFD9F48733}"/>
    <cellStyle name="Millares 14 4 4" xfId="1917" xr:uid="{3D9514D1-96C6-454F-8039-084F2D9F0842}"/>
    <cellStyle name="Millares 14 4 4 2" xfId="4283" xr:uid="{1E98A352-9DBC-4F91-ACE9-2D395B0830F5}"/>
    <cellStyle name="Millares 14 4 5" xfId="3100" xr:uid="{72CCDD02-E5F6-419F-8B5D-9E34698A1059}"/>
    <cellStyle name="Millares 15" xfId="180" xr:uid="{4A0F333C-8C76-4E3E-89BE-7E7CB4BC7DFC}"/>
    <cellStyle name="Millares 15 2" xfId="677" xr:uid="{68AD128F-19CC-40DE-9C84-70463F61D271}"/>
    <cellStyle name="Millares 15 3" xfId="430" xr:uid="{7ADF77D4-FAC2-4FCB-BA59-7F2BDB905BC2}"/>
    <cellStyle name="Millares 15 4" xfId="727" xr:uid="{1C759826-DC88-49EF-9C18-8A78AEFBAF39}"/>
    <cellStyle name="Millares 15 4 2" xfId="1116" xr:uid="{2F4B13B8-7087-4275-A24C-4710089C60A1}"/>
    <cellStyle name="Millares 15 4 2 2" xfId="1536" xr:uid="{30546999-CB87-4305-9401-FED21A84B9B8}"/>
    <cellStyle name="Millares 15 4 2 2 2" xfId="2719" xr:uid="{88CB5C14-AA24-4050-B47E-1040CEA2046E}"/>
    <cellStyle name="Millares 15 4 2 2 2 2" xfId="5085" xr:uid="{EFE1F0D6-F88B-464A-B7CB-FAC390236875}"/>
    <cellStyle name="Millares 15 4 2 2 3" xfId="3902" xr:uid="{14ABE555-9B7B-4ADC-AFA3-50B06EBA420B}"/>
    <cellStyle name="Millares 15 4 2 3" xfId="2301" xr:uid="{773D7F7E-317B-4D59-ABF7-5BE86DE29E83}"/>
    <cellStyle name="Millares 15 4 2 3 2" xfId="4667" xr:uid="{9C58D56A-CC8E-4822-8527-BE6F96893367}"/>
    <cellStyle name="Millares 15 4 2 4" xfId="3484" xr:uid="{E0A88871-90CC-43F2-9CF0-61B34665FCE3}"/>
    <cellStyle name="Millares 15 4 3" xfId="1326" xr:uid="{A2EBA214-9BC6-4D93-A83F-83B454A27F56}"/>
    <cellStyle name="Millares 15 4 3 2" xfId="2510" xr:uid="{D8922A31-B623-4788-9C4A-1126391E1EC8}"/>
    <cellStyle name="Millares 15 4 3 2 2" xfId="4876" xr:uid="{2E3DFA52-110F-45AF-829C-F6A9A14416FA}"/>
    <cellStyle name="Millares 15 4 3 3" xfId="3693" xr:uid="{E52A7776-DE3B-4B46-8B22-91CED5104036}"/>
    <cellStyle name="Millares 15 4 4" xfId="1918" xr:uid="{9BACF8F8-F687-44D9-A4C9-8CED44393FD9}"/>
    <cellStyle name="Millares 15 4 4 2" xfId="4284" xr:uid="{0E420B2E-8E34-4302-8768-6658E210B25F}"/>
    <cellStyle name="Millares 15 4 5" xfId="3101" xr:uid="{59DC7BB5-C9EE-499D-88F6-360964FBEC88}"/>
    <cellStyle name="Millares 16" xfId="150" xr:uid="{B6A678D4-7441-41BF-876B-9E7297BF91F6}"/>
    <cellStyle name="Millares 16 2" xfId="681" xr:uid="{9A565A4F-73C7-4292-ADCC-52BAFE0711A1}"/>
    <cellStyle name="Millares 16 3" xfId="441" xr:uid="{D86930C1-6E6D-4589-BE43-C2E67F1E3443}"/>
    <cellStyle name="Millares 16 4" xfId="233" xr:uid="{0DFE0DA5-565D-4246-A993-349BA88F2BA0}"/>
    <cellStyle name="Millares 16 4 2" xfId="1032" xr:uid="{62FC49BE-11AE-4A8A-8565-C5F29039A3AE}"/>
    <cellStyle name="Millares 16 4 2 2" xfId="1452" xr:uid="{93D61BFC-B561-4535-B324-29D3D305858B}"/>
    <cellStyle name="Millares 16 4 2 2 2" xfId="2635" xr:uid="{E3F1436A-2EB2-432B-8D44-709362D804AA}"/>
    <cellStyle name="Millares 16 4 2 2 2 2" xfId="5001" xr:uid="{EA12E752-B6C6-4AA4-95D8-6C7147ED7368}"/>
    <cellStyle name="Millares 16 4 2 2 3" xfId="3818" xr:uid="{8A4ECB87-B3EB-4169-A24B-E1371432EB90}"/>
    <cellStyle name="Millares 16 4 2 3" xfId="2217" xr:uid="{C5B6FC04-2FB1-4491-B026-A1F6738783CB}"/>
    <cellStyle name="Millares 16 4 2 3 2" xfId="4583" xr:uid="{F6FD5DF2-289D-49C1-8B70-163108DCB137}"/>
    <cellStyle name="Millares 16 4 2 4" xfId="3400" xr:uid="{CEA6E194-7948-4559-B3A0-44D4D99ECBF5}"/>
    <cellStyle name="Millares 16 4 3" xfId="1242" xr:uid="{87C9A473-8C6C-42F0-854D-40365DDA93CE}"/>
    <cellStyle name="Millares 16 4 3 2" xfId="2426" xr:uid="{10B8DC61-E3C6-43B4-95BA-DAC89D999D2A}"/>
    <cellStyle name="Millares 16 4 3 2 2" xfId="4792" xr:uid="{18222737-34F7-4CE2-AAE5-2218AA0FE18D}"/>
    <cellStyle name="Millares 16 4 3 3" xfId="3609" xr:uid="{D51D14F3-78F6-4D11-9E60-C7E216E2F4A2}"/>
    <cellStyle name="Millares 16 4 4" xfId="1834" xr:uid="{C8D7F8AB-A7BF-4D62-9C4B-9DD486298928}"/>
    <cellStyle name="Millares 16 4 4 2" xfId="4200" xr:uid="{75695F4A-B9F9-48C7-A592-B64AD7E03B7F}"/>
    <cellStyle name="Millares 16 4 5" xfId="3017" xr:uid="{E1623F9B-C1D8-48E6-B9A0-8B583C3E7813}"/>
    <cellStyle name="Millares 16 5" xfId="957" xr:uid="{E4DB6152-C15B-4926-8F91-D2FA937672A2}"/>
    <cellStyle name="Millares 16 5 2" xfId="1377" xr:uid="{F555EC31-B315-4097-8793-E6A5DF15E0FE}"/>
    <cellStyle name="Millares 16 5 2 2" xfId="2561" xr:uid="{A35A0A9D-A03D-41AB-BFC4-737676701B6E}"/>
    <cellStyle name="Millares 16 5 2 2 2" xfId="4927" xr:uid="{8CECA27D-713F-46A5-9DC9-EED9B0F75898}"/>
    <cellStyle name="Millares 16 5 2 3" xfId="3744" xr:uid="{397734D5-38E9-4157-A66F-0F96A88179D9}"/>
    <cellStyle name="Millares 16 5 3" xfId="2143" xr:uid="{E2D7D9F5-9993-4EC4-9465-9CE85690DFA1}"/>
    <cellStyle name="Millares 16 5 3 2" xfId="4509" xr:uid="{D6C662E6-15B5-4A30-A636-B97BF97D8DA8}"/>
    <cellStyle name="Millares 16 5 4" xfId="3326" xr:uid="{1541C88E-5650-47F8-909B-3B8AC2D66C05}"/>
    <cellStyle name="Millares 16 6" xfId="1167" xr:uid="{53C4F68C-419E-482F-9055-264D86F4DFA4}"/>
    <cellStyle name="Millares 16 6 2" xfId="2352" xr:uid="{0225B1BB-6846-474C-B50A-FE7EB580922A}"/>
    <cellStyle name="Millares 16 6 2 2" xfId="4718" xr:uid="{6D0EF88D-A7B2-4641-B667-52BE55A0D6A2}"/>
    <cellStyle name="Millares 16 6 3" xfId="3535" xr:uid="{F0B222AA-D205-4CA5-9A53-CD297313D952}"/>
    <cellStyle name="Millares 16 7" xfId="1760" xr:uid="{96E95362-EB72-401C-B84D-29D3F521E8DE}"/>
    <cellStyle name="Millares 16 7 2" xfId="4126" xr:uid="{DB09E33D-EE3B-438F-A86B-AB16525177F2}"/>
    <cellStyle name="Millares 16 8" xfId="2943" xr:uid="{0054ACE6-303F-4BD5-8F8A-18071F657AB1}"/>
    <cellStyle name="Millares 17" xfId="170" xr:uid="{68B5CC5C-799C-4FCF-A22A-F38D46E72045}"/>
    <cellStyle name="Millares 17 2" xfId="703" xr:uid="{E49AF003-F2EE-46B0-8BCB-7B01B759E4FB}"/>
    <cellStyle name="Millares 17 3" xfId="464" xr:uid="{87087002-4456-4B44-A5A2-175C7A6CAE40}"/>
    <cellStyle name="Millares 17 4" xfId="231" xr:uid="{2521A7EA-BE2A-4FAB-9AED-92A2C2852882}"/>
    <cellStyle name="Millares 17 4 2" xfId="1031" xr:uid="{7CF36F75-1772-4C55-A4CD-AD08F2C280D7}"/>
    <cellStyle name="Millares 17 4 2 2" xfId="1451" xr:uid="{C374F398-1C29-4BDB-9B68-7B5BF26448FB}"/>
    <cellStyle name="Millares 17 4 2 2 2" xfId="2634" xr:uid="{5244CF5E-8F94-431B-BF95-8D5E3EF9F804}"/>
    <cellStyle name="Millares 17 4 2 2 2 2" xfId="5000" xr:uid="{E8843923-74B3-4CCD-8935-A9FE72B10888}"/>
    <cellStyle name="Millares 17 4 2 2 3" xfId="3817" xr:uid="{03B181E2-EFB9-4A70-8059-D8A245C73259}"/>
    <cellStyle name="Millares 17 4 2 3" xfId="2216" xr:uid="{DC5CB176-A966-4D2F-9992-98D4BED94726}"/>
    <cellStyle name="Millares 17 4 2 3 2" xfId="4582" xr:uid="{A63299C0-3FD0-4782-9994-65F1A486E6B0}"/>
    <cellStyle name="Millares 17 4 2 4" xfId="3399" xr:uid="{CB98BEAE-3D59-4F18-B8F8-C7958E3FB60F}"/>
    <cellStyle name="Millares 17 4 3" xfId="1241" xr:uid="{A9204541-5761-4099-899E-51907757666C}"/>
    <cellStyle name="Millares 17 4 3 2" xfId="2425" xr:uid="{AFBC3A03-3974-4F5E-B702-5AD0141A81FF}"/>
    <cellStyle name="Millares 17 4 3 2 2" xfId="4791" xr:uid="{243BAD67-3D5C-47FD-BE62-49EF507B38FD}"/>
    <cellStyle name="Millares 17 4 3 3" xfId="3608" xr:uid="{D16E8788-EC68-4300-8EE9-8A1AE119497F}"/>
    <cellStyle name="Millares 17 4 4" xfId="1833" xr:uid="{FB65C7BA-2C7F-48E8-8D94-89FA7419706B}"/>
    <cellStyle name="Millares 17 4 4 2" xfId="4199" xr:uid="{81A7A295-73EF-4D40-913D-5BDE3671359D}"/>
    <cellStyle name="Millares 17 4 5" xfId="3016" xr:uid="{47A13222-8426-4AB6-9A36-ABE3B0303B40}"/>
    <cellStyle name="Millares 17 5" xfId="977" xr:uid="{B5FD6A05-89F6-4F9F-A565-083B949EE31A}"/>
    <cellStyle name="Millares 17 5 2" xfId="1397" xr:uid="{75B0580C-A088-4E16-AE52-2A6A6CE4E096}"/>
    <cellStyle name="Millares 17 5 2 2" xfId="2581" xr:uid="{5C0E34EF-46F4-4C4B-A229-FA7F5C0A99D3}"/>
    <cellStyle name="Millares 17 5 2 2 2" xfId="4947" xr:uid="{20B59D4F-3321-4143-A89D-41D829CE91C6}"/>
    <cellStyle name="Millares 17 5 2 3" xfId="3764" xr:uid="{186206E7-3220-4927-BD54-F6A5224C1EEB}"/>
    <cellStyle name="Millares 17 5 3" xfId="2163" xr:uid="{5016DB5F-68A8-4C1D-81E5-291F77556196}"/>
    <cellStyle name="Millares 17 5 3 2" xfId="4529" xr:uid="{ADB02148-4F43-4470-AE64-9A47F515C344}"/>
    <cellStyle name="Millares 17 5 4" xfId="3346" xr:uid="{724C244B-2829-4686-87BC-BAEFCA1A6123}"/>
    <cellStyle name="Millares 17 6" xfId="1187" xr:uid="{C8CAF18B-749E-4CF5-B59C-6338DE65DEC3}"/>
    <cellStyle name="Millares 17 6 2" xfId="2372" xr:uid="{870922D0-83DE-4CCC-A956-CB075D91B2C1}"/>
    <cellStyle name="Millares 17 6 2 2" xfId="4738" xr:uid="{6A5ADB43-BAED-4438-AEAC-7CA161F9C5DC}"/>
    <cellStyle name="Millares 17 6 3" xfId="3555" xr:uid="{69A73F3C-55B0-4304-B775-DE86D3509E99}"/>
    <cellStyle name="Millares 17 7" xfId="1780" xr:uid="{5DC4D706-B865-4490-A466-F1F9A1F30BD5}"/>
    <cellStyle name="Millares 17 7 2" xfId="4146" xr:uid="{06DE849F-A611-4FDB-8DF2-2AB22FBE3E79}"/>
    <cellStyle name="Millares 17 8" xfId="2963" xr:uid="{D8E25430-58F7-416D-8F67-38524800AB9A}"/>
    <cellStyle name="Millares 18" xfId="80" xr:uid="{1992A6D3-B3A7-44C2-95B9-BFBA7D22BD1C}"/>
    <cellStyle name="Millares 18 2" xfId="704" xr:uid="{CE5AAAD0-29F5-4F13-A049-3A67CEF2D218}"/>
    <cellStyle name="Millares 18 3" xfId="733" xr:uid="{52379ADB-9361-43C7-9995-9485D91BB736}"/>
    <cellStyle name="Millares 18 3 2" xfId="1120" xr:uid="{E79DB49A-501F-49CD-B8ED-513A681B327A}"/>
    <cellStyle name="Millares 18 3 2 2" xfId="1540" xr:uid="{76935DB7-C981-4565-99DF-16E90BF122FE}"/>
    <cellStyle name="Millares 18 3 2 2 2" xfId="2723" xr:uid="{016A988C-2626-4C12-BC74-52D65824C1FE}"/>
    <cellStyle name="Millares 18 3 2 2 2 2" xfId="5089" xr:uid="{6BD1E11B-46B8-4542-AB9E-E7C145D23FB6}"/>
    <cellStyle name="Millares 18 3 2 2 3" xfId="3906" xr:uid="{C9EB1185-7AD8-47EC-9F16-AB5FCA40D587}"/>
    <cellStyle name="Millares 18 3 2 3" xfId="2305" xr:uid="{AF950451-452B-4589-9761-C0BC233E9ED9}"/>
    <cellStyle name="Millares 18 3 2 3 2" xfId="4671" xr:uid="{1E7C416D-6483-40BD-99FB-76AFE9B138A2}"/>
    <cellStyle name="Millares 18 3 2 4" xfId="3488" xr:uid="{B64084BD-819B-4A65-848D-ABBDCB10A052}"/>
    <cellStyle name="Millares 18 3 3" xfId="1330" xr:uid="{F2368B4B-8FC6-49C4-B51A-F00B8B191630}"/>
    <cellStyle name="Millares 18 3 3 2" xfId="2514" xr:uid="{F811654F-BAFD-43CB-8830-0C6D9269E5A7}"/>
    <cellStyle name="Millares 18 3 3 2 2" xfId="4880" xr:uid="{A22C4390-1757-4D1B-AD92-09EA58E93A74}"/>
    <cellStyle name="Millares 18 3 3 3" xfId="3697" xr:uid="{FDD1D73E-AF65-4084-B462-D484318658C9}"/>
    <cellStyle name="Millares 18 3 4" xfId="1922" xr:uid="{76B77EF3-13AC-453F-B12A-2E269BA03DCB}"/>
    <cellStyle name="Millares 18 3 4 2" xfId="4288" xr:uid="{C999BE8B-9F8E-483A-B16C-75AEA03EB679}"/>
    <cellStyle name="Millares 18 3 5" xfId="3105" xr:uid="{1C547820-F9A6-4DDA-B3A6-0094C7F944D0}"/>
    <cellStyle name="Millares 18 4" xfId="927" xr:uid="{C2D5912C-2E49-4790-9D13-CA065DD7F02E}"/>
    <cellStyle name="Millares 18 4 2" xfId="1347" xr:uid="{04623F8A-5C39-4615-A372-5CA5E5701187}"/>
    <cellStyle name="Millares 18 4 2 2" xfId="2531" xr:uid="{7E7FF7B1-BF7C-4A70-AE6C-370C0E6B96BE}"/>
    <cellStyle name="Millares 18 4 2 2 2" xfId="4897" xr:uid="{59396C5B-BC79-4A40-8126-B7735FCB2C6A}"/>
    <cellStyle name="Millares 18 4 2 3" xfId="3714" xr:uid="{89C7285E-5C31-4996-B2A2-FFC3B5F27FC1}"/>
    <cellStyle name="Millares 18 4 3" xfId="2113" xr:uid="{4F2824B4-BB6B-4237-99EB-A1A8C26BC72A}"/>
    <cellStyle name="Millares 18 4 3 2" xfId="4479" xr:uid="{B96E4FD1-EEF1-4C96-9AD6-DF970322D2C5}"/>
    <cellStyle name="Millares 18 4 4" xfId="3296" xr:uid="{E16E1B86-1189-4B1B-8B4A-8D518D8B4236}"/>
    <cellStyle name="Millares 18 5" xfId="1137" xr:uid="{593694FA-F4AD-4B7D-971B-D689018923C7}"/>
    <cellStyle name="Millares 18 5 2" xfId="2322" xr:uid="{5EFEF9E4-CDB7-41FF-962C-26EBAB4F6142}"/>
    <cellStyle name="Millares 18 5 2 2" xfId="4688" xr:uid="{4A58DFDF-2FF2-47F3-BA0D-D89C99075EC7}"/>
    <cellStyle name="Millares 18 5 3" xfId="3505" xr:uid="{59C7417B-D753-487D-9609-6D8FAE2D8278}"/>
    <cellStyle name="Millares 18 6" xfId="1730" xr:uid="{0C49F09D-3C57-49D7-B797-AFCCCA25E865}"/>
    <cellStyle name="Millares 18 6 2" xfId="4096" xr:uid="{6AFB3623-7CB9-40C5-ACBF-F687A1F8F8C5}"/>
    <cellStyle name="Millares 18 7" xfId="2913" xr:uid="{2EC1347A-BF42-424B-A002-9BFD14B9F96A}"/>
    <cellStyle name="Millares 19" xfId="228" xr:uid="{F3F62BB3-2126-4DCD-A191-84EB7A7BA6F0}"/>
    <cellStyle name="Millares 19 2" xfId="105" xr:uid="{CB8D23BD-582C-4673-83BE-477008C99388}"/>
    <cellStyle name="Millares 19 2 2" xfId="119" xr:uid="{DCF4762F-82D0-4423-99E0-6E2354DCF33E}"/>
    <cellStyle name="Millares 19 2 2 2" xfId="214" xr:uid="{41A3C71D-EC70-473D-BB19-49021DB6CD64}"/>
    <cellStyle name="Millares 19 2 2 2 2" xfId="1016" xr:uid="{C04A74A0-3B61-4055-8DBD-5A7D7D96ADD0}"/>
    <cellStyle name="Millares 19 2 2 2 2 2" xfId="1436" xr:uid="{2C609004-1E67-4234-BB84-F1A044A63A3E}"/>
    <cellStyle name="Millares 19 2 2 2 2 2 2" xfId="2620" xr:uid="{01A631E3-CC23-4E75-814A-429FA73E788D}"/>
    <cellStyle name="Millares 19 2 2 2 2 2 2 2" xfId="4986" xr:uid="{E5A872AB-6CDA-4E53-ACD2-59CBCE69ED4E}"/>
    <cellStyle name="Millares 19 2 2 2 2 2 3" xfId="3803" xr:uid="{6434657E-F487-476A-B23C-380DA65689AA}"/>
    <cellStyle name="Millares 19 2 2 2 2 3" xfId="2202" xr:uid="{14B7A44B-21D2-434F-A21A-6BB2F7284B80}"/>
    <cellStyle name="Millares 19 2 2 2 2 3 2" xfId="4568" xr:uid="{457DED4C-D644-476B-86E9-1CDF9DFF1468}"/>
    <cellStyle name="Millares 19 2 2 2 2 4" xfId="3385" xr:uid="{1C522F0D-FDFF-4806-9333-76A031A3F714}"/>
    <cellStyle name="Millares 19 2 2 2 3" xfId="1226" xr:uid="{C38DFCD5-9BEC-43A2-84B7-2A21C403C08E}"/>
    <cellStyle name="Millares 19 2 2 2 3 2" xfId="2411" xr:uid="{ABEAB938-C633-4BAB-A4C2-219D8B703CC8}"/>
    <cellStyle name="Millares 19 2 2 2 3 2 2" xfId="4777" xr:uid="{2E062980-344A-447C-8BF9-6B861D4415BE}"/>
    <cellStyle name="Millares 19 2 2 2 3 3" xfId="3594" xr:uid="{AAD6C36C-799B-4483-AC02-4F8405BA7167}"/>
    <cellStyle name="Millares 19 2 2 2 4" xfId="1819" xr:uid="{B2BC19B6-980F-485F-ADE7-A3DEBA302ADD}"/>
    <cellStyle name="Millares 19 2 2 2 4 2" xfId="4185" xr:uid="{FFDEEC1A-EDB8-45BC-8918-6C0495BF5475}"/>
    <cellStyle name="Millares 19 2 2 2 5" xfId="3002" xr:uid="{C30FA64B-4450-4C06-95B6-B69580FAD8E5}"/>
    <cellStyle name="Millares 19 2 2 3" xfId="167" xr:uid="{BCEC1935-7DEC-4AFC-9349-7FB31C4AA8D6}"/>
    <cellStyle name="Millares 19 2 2 3 2" xfId="974" xr:uid="{8F804CE1-8BD1-4F91-AF36-65D77C9D55B1}"/>
    <cellStyle name="Millares 19 2 2 3 2 2" xfId="1394" xr:uid="{DF801C4E-D6BE-4656-8DF6-193717B393F7}"/>
    <cellStyle name="Millares 19 2 2 3 2 2 2" xfId="2578" xr:uid="{CF22AFB9-0164-4AA3-B1FB-13F18C218F95}"/>
    <cellStyle name="Millares 19 2 2 3 2 2 2 2" xfId="4944" xr:uid="{5AEEFCD8-35E5-4C79-811B-C4287757500C}"/>
    <cellStyle name="Millares 19 2 2 3 2 2 3" xfId="3761" xr:uid="{74B3F10D-3B61-4DA4-976A-1B8E4845807E}"/>
    <cellStyle name="Millares 19 2 2 3 2 3" xfId="2160" xr:uid="{A53BB23A-E05F-494E-A56D-A85414877F2D}"/>
    <cellStyle name="Millares 19 2 2 3 2 3 2" xfId="4526" xr:uid="{E6112B18-FDF2-47CD-9625-91274825BF14}"/>
    <cellStyle name="Millares 19 2 2 3 2 4" xfId="3343" xr:uid="{A3462D96-DF8D-40EF-A1DF-15DD3929CF89}"/>
    <cellStyle name="Millares 19 2 2 3 3" xfId="1184" xr:uid="{3DD0C4E5-3275-40B0-9CDC-717802702B28}"/>
    <cellStyle name="Millares 19 2 2 3 3 2" xfId="2369" xr:uid="{1B1AC7A9-6B30-4C9F-84A4-96B14065A9AF}"/>
    <cellStyle name="Millares 19 2 2 3 3 2 2" xfId="4735" xr:uid="{0FD66649-3A93-418C-90AA-FE9D1E289D4F}"/>
    <cellStyle name="Millares 19 2 2 3 3 3" xfId="3552" xr:uid="{C2EC2C17-FE11-4F5B-A829-99AA5734733C}"/>
    <cellStyle name="Millares 19 2 2 3 4" xfId="1777" xr:uid="{BA1FB591-15B8-46B9-86C3-FE020DF4F070}"/>
    <cellStyle name="Millares 19 2 2 3 4 2" xfId="4143" xr:uid="{C80D80F9-B0EA-42C4-B70F-2F7060B52140}"/>
    <cellStyle name="Millares 19 2 2 3 5" xfId="2960" xr:uid="{C2E1A52D-6287-4571-8F2B-53AF85EB0F79}"/>
    <cellStyle name="Millares 19 2 2 4" xfId="947" xr:uid="{969F9B8A-DE96-4806-8FDD-2EBCB114C5B8}"/>
    <cellStyle name="Millares 19 2 2 4 2" xfId="1367" xr:uid="{B4076E2E-8A73-4906-91BF-623A07C11C4E}"/>
    <cellStyle name="Millares 19 2 2 4 2 2" xfId="2551" xr:uid="{0A1E2538-1886-4A40-B492-5C10FF227ECE}"/>
    <cellStyle name="Millares 19 2 2 4 2 2 2" xfId="4917" xr:uid="{8BE46BC3-5E53-41D9-BFA1-3AC9B2EDEED4}"/>
    <cellStyle name="Millares 19 2 2 4 2 3" xfId="3734" xr:uid="{731EA73B-436B-46AB-86FB-F494CAAABFC9}"/>
    <cellStyle name="Millares 19 2 2 4 3" xfId="2133" xr:uid="{C09DC8B4-F1D5-424A-92B8-6632A94C8652}"/>
    <cellStyle name="Millares 19 2 2 4 3 2" xfId="4499" xr:uid="{3EAC58CC-424F-464C-9592-6D868CA154E5}"/>
    <cellStyle name="Millares 19 2 2 4 4" xfId="3316" xr:uid="{1A44A04A-5BA9-45F2-B260-B2FAD6DF5A70}"/>
    <cellStyle name="Millares 19 2 2 5" xfId="1157" xr:uid="{0D2FCA99-9241-48DA-914C-35CEA0B16690}"/>
    <cellStyle name="Millares 19 2 2 5 2" xfId="2342" xr:uid="{E5ACBB2D-7E75-4826-88A2-1345B40A1F5B}"/>
    <cellStyle name="Millares 19 2 2 5 2 2" xfId="4708" xr:uid="{E7687C99-DCDE-4CCC-A2C6-8D6DC2D41C4C}"/>
    <cellStyle name="Millares 19 2 2 5 3" xfId="3525" xr:uid="{0C669C1E-3B21-45C2-A934-38DADB1E746A}"/>
    <cellStyle name="Millares 19 2 2 6" xfId="1750" xr:uid="{1E1553C9-2391-4F32-9C12-2CFDBC302F96}"/>
    <cellStyle name="Millares 19 2 2 6 2" xfId="4116" xr:uid="{4A018709-68DA-4D01-8773-06D94AC48358}"/>
    <cellStyle name="Millares 19 2 2 7" xfId="2933" xr:uid="{AC156170-086D-4803-BB1D-D766957C7EB7}"/>
    <cellStyle name="Millares 19 2 3" xfId="202" xr:uid="{B8F7DC33-5913-43D5-B9BA-004CF7BA6144}"/>
    <cellStyle name="Millares 19 2 3 2" xfId="1005" xr:uid="{67075CBD-90A4-4691-B4FE-319ACE563444}"/>
    <cellStyle name="Millares 19 2 3 2 2" xfId="1425" xr:uid="{90549C35-DDB8-466F-B512-C2B710F6C160}"/>
    <cellStyle name="Millares 19 2 3 2 2 2" xfId="2609" xr:uid="{71A11CE5-7D6E-4B9E-8CDD-30C7D43181FE}"/>
    <cellStyle name="Millares 19 2 3 2 2 2 2" xfId="4975" xr:uid="{2203F460-D6F4-4F54-9766-BDE8A1992737}"/>
    <cellStyle name="Millares 19 2 3 2 2 3" xfId="3792" xr:uid="{9AFAE73D-9B58-45FB-8817-BBC3F082DEC6}"/>
    <cellStyle name="Millares 19 2 3 2 3" xfId="2191" xr:uid="{CB9B38E6-5389-46B8-8005-7AD5C0BA3652}"/>
    <cellStyle name="Millares 19 2 3 2 3 2" xfId="4557" xr:uid="{A13864F0-76C5-453D-B8BE-230CB8ACEDC4}"/>
    <cellStyle name="Millares 19 2 3 2 4" xfId="3374" xr:uid="{67C73FF3-40BE-4BE2-BD86-9943AF99871E}"/>
    <cellStyle name="Millares 19 2 3 3" xfId="1215" xr:uid="{79D91996-DE2C-433C-B6B7-11F2C8C5E6CD}"/>
    <cellStyle name="Millares 19 2 3 3 2" xfId="2400" xr:uid="{BCACDE7C-97DB-4A99-B3B9-A81552A3D909}"/>
    <cellStyle name="Millares 19 2 3 3 2 2" xfId="4766" xr:uid="{A9B26427-975E-4E98-A961-AC91FC90CBDE}"/>
    <cellStyle name="Millares 19 2 3 3 3" xfId="3583" xr:uid="{43132BB0-7252-4898-B8F3-04E341EFC7B2}"/>
    <cellStyle name="Millares 19 2 3 4" xfId="1808" xr:uid="{9E971547-4631-4C83-93CB-6571FBA167A9}"/>
    <cellStyle name="Millares 19 2 3 4 2" xfId="4174" xr:uid="{C0B3665F-DC1B-4B0E-975B-CC5F13D4F8AD}"/>
    <cellStyle name="Millares 19 2 3 5" xfId="2991" xr:uid="{FF3528DD-61B2-4CA3-8DE8-62E9614725C7}"/>
    <cellStyle name="Millares 19 2 4" xfId="156" xr:uid="{D08CF6AB-F420-4E1C-A156-C43A8FCE0509}"/>
    <cellStyle name="Millares 19 2 4 2" xfId="963" xr:uid="{623B115C-A9D9-4E91-A792-8C473CA4CA2E}"/>
    <cellStyle name="Millares 19 2 4 2 2" xfId="1383" xr:uid="{86080A13-3DE8-4D9C-BED6-667A7FA09293}"/>
    <cellStyle name="Millares 19 2 4 2 2 2" xfId="2567" xr:uid="{8B494E08-439D-44F0-9DAE-49DF8775B0B8}"/>
    <cellStyle name="Millares 19 2 4 2 2 2 2" xfId="4933" xr:uid="{65C096B9-F084-4117-AC59-4D96277CCF69}"/>
    <cellStyle name="Millares 19 2 4 2 2 3" xfId="3750" xr:uid="{67D3715D-DB4C-48E0-8ED7-2D473A6842BF}"/>
    <cellStyle name="Millares 19 2 4 2 3" xfId="2149" xr:uid="{F92CF065-8D11-46B5-84D2-A248EF00D68F}"/>
    <cellStyle name="Millares 19 2 4 2 3 2" xfId="4515" xr:uid="{518FEF92-3BDE-4F0D-9B28-785376432FC0}"/>
    <cellStyle name="Millares 19 2 4 2 4" xfId="3332" xr:uid="{AC7C1804-E833-4682-94FE-5583EABCEE88}"/>
    <cellStyle name="Millares 19 2 4 3" xfId="1173" xr:uid="{2F7094CF-7E04-4962-B4EC-6E52763EC46E}"/>
    <cellStyle name="Millares 19 2 4 3 2" xfId="2358" xr:uid="{79C16805-DAEB-45EA-AC15-EBB4ABB5F835}"/>
    <cellStyle name="Millares 19 2 4 3 2 2" xfId="4724" xr:uid="{A4FA8C80-0D52-4884-853C-CD388DA2BC06}"/>
    <cellStyle name="Millares 19 2 4 3 3" xfId="3541" xr:uid="{FFB8AD7B-6BCB-45EF-A29D-4B01A39DA0A2}"/>
    <cellStyle name="Millares 19 2 4 4" xfId="1766" xr:uid="{F52306D8-AA32-49CB-AAA1-5AA7E79283A8}"/>
    <cellStyle name="Millares 19 2 4 4 2" xfId="4132" xr:uid="{F7555FCF-AA17-4BBC-8351-F909F2600F41}"/>
    <cellStyle name="Millares 19 2 4 5" xfId="2949" xr:uid="{6F7FDFF7-5DBD-4E0E-8BF7-23A8A5AA814E}"/>
    <cellStyle name="Millares 19 2 5" xfId="936" xr:uid="{A368063E-17C6-4D0F-A1ED-2BD162F5FC13}"/>
    <cellStyle name="Millares 19 2 5 2" xfId="1356" xr:uid="{734A5EEF-625E-4E17-B95E-7A81268CFCD9}"/>
    <cellStyle name="Millares 19 2 5 2 2" xfId="2540" xr:uid="{630F72C2-920E-4711-AD14-F114E4421149}"/>
    <cellStyle name="Millares 19 2 5 2 2 2" xfId="4906" xr:uid="{2DEF050D-5066-44BB-9E49-DDD8B861DF8F}"/>
    <cellStyle name="Millares 19 2 5 2 3" xfId="3723" xr:uid="{886177B8-0B24-4106-A9CB-F10802CBB17E}"/>
    <cellStyle name="Millares 19 2 5 3" xfId="2122" xr:uid="{1ED686C0-0BA4-4666-9FA9-DEEEF42F25A3}"/>
    <cellStyle name="Millares 19 2 5 3 2" xfId="4488" xr:uid="{44CC6803-4B39-4AAF-8B74-17D65E8D8A77}"/>
    <cellStyle name="Millares 19 2 5 4" xfId="3305" xr:uid="{F2E45CBE-15DF-4EBE-A78A-A9FD6B2FB6D4}"/>
    <cellStyle name="Millares 19 2 6" xfId="1146" xr:uid="{6B8D4EBC-BBB4-4C95-BA76-58C3357EA902}"/>
    <cellStyle name="Millares 19 2 6 2" xfId="2331" xr:uid="{B8AA1B73-704E-4521-B269-4FCDD18A5E58}"/>
    <cellStyle name="Millares 19 2 6 2 2" xfId="4697" xr:uid="{86D4909D-DB1B-4534-914E-1B01C1EC8F54}"/>
    <cellStyle name="Millares 19 2 6 3" xfId="3514" xr:uid="{38754B7E-C403-4EB3-B10C-3A39113E7A97}"/>
    <cellStyle name="Millares 19 2 7" xfId="1739" xr:uid="{41A08FED-7F39-43B9-BB13-00211E7D8E8E}"/>
    <cellStyle name="Millares 19 2 7 2" xfId="4105" xr:uid="{E17FFFD9-6531-4968-A06B-658222C797C1}"/>
    <cellStyle name="Millares 19 2 8" xfId="2922" xr:uid="{08FA95DD-804D-411E-B0DB-ADC1A3CBAE5D}"/>
    <cellStyle name="Millares 19 2 9" xfId="5494" xr:uid="{F2D4D31E-A329-4623-9121-54DDA6750F86}"/>
    <cellStyle name="Millares 19 3" xfId="729" xr:uid="{7395AE57-AF33-4BBD-898D-F3DC92335318}"/>
    <cellStyle name="Millares 19 3 2" xfId="1117" xr:uid="{D4B092CD-6121-4C5B-A545-93AD9BD5C56D}"/>
    <cellStyle name="Millares 19 3 2 2" xfId="1537" xr:uid="{B31FEEBE-1E59-429E-AB43-D1DE5A6E209B}"/>
    <cellStyle name="Millares 19 3 2 2 2" xfId="2720" xr:uid="{FC380DD6-41A4-44C3-9DB4-A123399A6AC9}"/>
    <cellStyle name="Millares 19 3 2 2 2 2" xfId="5086" xr:uid="{9C4C5253-121B-4059-97F0-48B54138147B}"/>
    <cellStyle name="Millares 19 3 2 2 3" xfId="3903" xr:uid="{76A3E6AE-A41C-484B-9A13-162AAE099471}"/>
    <cellStyle name="Millares 19 3 2 3" xfId="2302" xr:uid="{0FF8D619-4149-476A-8FB6-8EF5BCA4EB75}"/>
    <cellStyle name="Millares 19 3 2 3 2" xfId="4668" xr:uid="{CEA4D09A-6FE8-444C-9AE1-7B7DB182608A}"/>
    <cellStyle name="Millares 19 3 2 4" xfId="3485" xr:uid="{0B7A4E4D-1468-4A72-A0E4-E11805C6FBBA}"/>
    <cellStyle name="Millares 19 3 3" xfId="1327" xr:uid="{2D0753AF-395D-4BB6-BFD7-1931838A2F5D}"/>
    <cellStyle name="Millares 19 3 3 2" xfId="2511" xr:uid="{A6938F5A-FF59-45CC-9970-AE6913C4252E}"/>
    <cellStyle name="Millares 19 3 3 2 2" xfId="4877" xr:uid="{C1E123AA-58B1-4182-BBDB-BFDBB0FB55CC}"/>
    <cellStyle name="Millares 19 3 3 3" xfId="3694" xr:uid="{35D698DA-B003-49DA-A898-63B6E0667E5A}"/>
    <cellStyle name="Millares 19 3 4" xfId="1919" xr:uid="{32B6F2BC-490B-4B11-9298-493807605E04}"/>
    <cellStyle name="Millares 19 3 4 2" xfId="4285" xr:uid="{BE5B56F3-6DC6-4B8A-A474-39F637CF871E}"/>
    <cellStyle name="Millares 19 3 5" xfId="3102" xr:uid="{18451EAA-DD9A-4844-89EF-B1E5AD8409A9}"/>
    <cellStyle name="Millares 19 4" xfId="5273" xr:uid="{D8D0CE7C-8F62-42DB-BAE1-1F5CD39ED1BF}"/>
    <cellStyle name="Millares 2" xfId="52" xr:uid="{00000000-0005-0000-0000-00002B000000}"/>
    <cellStyle name="Millares 2 10" xfId="5440" xr:uid="{9128B242-8353-46F1-82F1-67365ABE38DA}"/>
    <cellStyle name="Millares 2 11" xfId="5466" xr:uid="{83F0A5C2-44B8-401F-B5D4-E48E05956055}"/>
    <cellStyle name="Millares 2 12" xfId="5278" xr:uid="{4B218DA6-C562-4A45-A61A-B01E65DDAEE9}"/>
    <cellStyle name="Millares 2 12 2" xfId="5495" xr:uid="{1823AE66-6F55-43B1-91A8-CEA330044F0C}"/>
    <cellStyle name="Millares 2 2" xfId="86" xr:uid="{BEC81240-2D07-4183-B41C-6DE29DC2325B}"/>
    <cellStyle name="Millares 2 2 10" xfId="1734" xr:uid="{BF270017-7F54-4DAA-A9FA-11B2AE44E6F2}"/>
    <cellStyle name="Millares 2 2 10 2" xfId="4100" xr:uid="{5E1A59C1-A71D-4293-B976-41477F86B49C}"/>
    <cellStyle name="Millares 2 2 11" xfId="2917" xr:uid="{6AE10D57-E90B-4843-ABFF-33CE0DFEABE7}"/>
    <cellStyle name="Millares 2 2 12" xfId="5301" xr:uid="{75218F10-0007-4B21-8F0C-39F316817846}"/>
    <cellStyle name="Millares 2 2 2" xfId="115" xr:uid="{BBA4AA93-8441-4F85-83B3-D425636EC9F8}"/>
    <cellStyle name="Millares 2 2 2 2" xfId="210" xr:uid="{31768793-D93E-444F-9C6F-C93755DA57EE}"/>
    <cellStyle name="Millares 2 2 2 2 2" xfId="1012" xr:uid="{58C9EF6C-A278-4B77-AD1E-13F14A0345A9}"/>
    <cellStyle name="Millares 2 2 2 2 2 2" xfId="1432" xr:uid="{A576E516-DDCB-49FD-9CA6-4B922F74DF94}"/>
    <cellStyle name="Millares 2 2 2 2 2 2 2" xfId="2616" xr:uid="{DC867926-2543-477E-8585-F035130B3C82}"/>
    <cellStyle name="Millares 2 2 2 2 2 2 2 2" xfId="4982" xr:uid="{F7EBEDCB-8C34-424C-B055-7387C0C9E554}"/>
    <cellStyle name="Millares 2 2 2 2 2 2 3" xfId="3799" xr:uid="{8D38DB3B-F30E-4F2F-9372-3CFC04F93C28}"/>
    <cellStyle name="Millares 2 2 2 2 2 3" xfId="2198" xr:uid="{46E5D1E5-F6C3-4A4A-A9F8-CE009583DD77}"/>
    <cellStyle name="Millares 2 2 2 2 2 3 2" xfId="4564" xr:uid="{153A805E-FA0C-432E-9C14-B2CA32283BD2}"/>
    <cellStyle name="Millares 2 2 2 2 2 4" xfId="3381" xr:uid="{A8A0B452-3432-42E2-B55D-F27F41991D09}"/>
    <cellStyle name="Millares 2 2 2 2 3" xfId="1222" xr:uid="{57DE2734-17C0-4E5D-9A3E-18612ABFEAD1}"/>
    <cellStyle name="Millares 2 2 2 2 3 2" xfId="2407" xr:uid="{A297A1C4-F8CF-4028-A2BD-02B818325DD0}"/>
    <cellStyle name="Millares 2 2 2 2 3 2 2" xfId="4773" xr:uid="{F5E115F0-7727-4EFA-A515-89486CBB6154}"/>
    <cellStyle name="Millares 2 2 2 2 3 3" xfId="3590" xr:uid="{94773D99-E93F-411F-BB3D-3046CF07163E}"/>
    <cellStyle name="Millares 2 2 2 2 4" xfId="1815" xr:uid="{137078A0-EEE8-4800-B339-E5410B1E019F}"/>
    <cellStyle name="Millares 2 2 2 2 4 2" xfId="4181" xr:uid="{C1DD6E38-87D4-4836-9F1B-34AB9AEADF1F}"/>
    <cellStyle name="Millares 2 2 2 2 5" xfId="2998" xr:uid="{F64077E5-BEC7-492B-950C-5EBB4675AC13}"/>
    <cellStyle name="Millares 2 2 2 2 6" xfId="5500" xr:uid="{A7E0F368-E2DE-4787-9080-6FC6FC856489}"/>
    <cellStyle name="Millares 2 2 2 3" xfId="163" xr:uid="{D3E56AA9-D8D4-45D0-9EB3-D8703DB7286A}"/>
    <cellStyle name="Millares 2 2 2 3 2" xfId="970" xr:uid="{CBEEF911-D172-4507-A8B8-ED69A08F77E2}"/>
    <cellStyle name="Millares 2 2 2 3 2 2" xfId="1390" xr:uid="{6B9AD549-CB8F-4244-8239-F90F5C4BF569}"/>
    <cellStyle name="Millares 2 2 2 3 2 2 2" xfId="2574" xr:uid="{CF75462B-5982-479A-82A3-A8220703E498}"/>
    <cellStyle name="Millares 2 2 2 3 2 2 2 2" xfId="4940" xr:uid="{5EF1F2FC-96E4-4777-B418-47D54AEB749F}"/>
    <cellStyle name="Millares 2 2 2 3 2 2 3" xfId="3757" xr:uid="{4284FA03-F165-4880-A8C2-0EE9EC819060}"/>
    <cellStyle name="Millares 2 2 2 3 2 3" xfId="2156" xr:uid="{BB03A7DF-0848-4045-B919-022B3D393691}"/>
    <cellStyle name="Millares 2 2 2 3 2 3 2" xfId="4522" xr:uid="{FF9D4E7D-75C8-4189-BBBB-C0AEB55C2268}"/>
    <cellStyle name="Millares 2 2 2 3 2 4" xfId="3339" xr:uid="{C9E79040-079D-4741-8922-1476F573EC5A}"/>
    <cellStyle name="Millares 2 2 2 3 3" xfId="1180" xr:uid="{60479517-5DB8-40FE-ADD6-295C5DC084D5}"/>
    <cellStyle name="Millares 2 2 2 3 3 2" xfId="2365" xr:uid="{CAFE17A1-9D36-45DE-B3FA-14575D7077F6}"/>
    <cellStyle name="Millares 2 2 2 3 3 2 2" xfId="4731" xr:uid="{E3CE70DD-09EA-4DB6-81D5-05BFB59512B8}"/>
    <cellStyle name="Millares 2 2 2 3 3 3" xfId="3548" xr:uid="{47C3A9EB-1BD0-421B-AD68-250D17C78860}"/>
    <cellStyle name="Millares 2 2 2 3 4" xfId="1773" xr:uid="{FDE47130-66AD-48FE-8C0C-F203616BD6B3}"/>
    <cellStyle name="Millares 2 2 2 3 4 2" xfId="4139" xr:uid="{4C46603F-CA6F-46B1-B344-51F926E54F37}"/>
    <cellStyle name="Millares 2 2 2 3 5" xfId="2956" xr:uid="{57109779-C7FF-4C03-9AF4-01FFF7FB3990}"/>
    <cellStyle name="Millares 2 2 2 4" xfId="495" xr:uid="{D0E02B11-E81B-4203-80EE-56179A759CFD}"/>
    <cellStyle name="Millares 2 2 2 5" xfId="943" xr:uid="{A0653A94-45C0-4899-A612-D51AECCA1175}"/>
    <cellStyle name="Millares 2 2 2 5 2" xfId="1363" xr:uid="{C7716313-FE57-48E5-A04D-202C2B83EC3A}"/>
    <cellStyle name="Millares 2 2 2 5 2 2" xfId="2547" xr:uid="{9C3DE479-422F-4EFC-80EA-5AA61C2CCD92}"/>
    <cellStyle name="Millares 2 2 2 5 2 2 2" xfId="4913" xr:uid="{8106C63C-946B-497A-B9E4-CAD423EC4B0A}"/>
    <cellStyle name="Millares 2 2 2 5 2 3" xfId="3730" xr:uid="{CC55E60B-C265-4292-8A20-E7191F1957F7}"/>
    <cellStyle name="Millares 2 2 2 5 3" xfId="2129" xr:uid="{F54F8F78-3412-4E20-BAAB-A26DBE0C3547}"/>
    <cellStyle name="Millares 2 2 2 5 3 2" xfId="4495" xr:uid="{DDB48F90-256C-44FB-845E-4C53E59EB678}"/>
    <cellStyle name="Millares 2 2 2 5 4" xfId="3312" xr:uid="{9DC5FAC5-2023-404B-97B6-335C35D77C37}"/>
    <cellStyle name="Millares 2 2 2 6" xfId="1153" xr:uid="{15752CB8-41A9-4184-B6DF-995090EACAE7}"/>
    <cellStyle name="Millares 2 2 2 6 2" xfId="2338" xr:uid="{FACF9134-B2B8-4DE7-964E-934313A3D5AE}"/>
    <cellStyle name="Millares 2 2 2 6 2 2" xfId="4704" xr:uid="{F926F386-3C6D-497B-BAD7-A29EA1578298}"/>
    <cellStyle name="Millares 2 2 2 6 3" xfId="3521" xr:uid="{7BA4F421-E4BC-4007-990C-D2211B7C1381}"/>
    <cellStyle name="Millares 2 2 2 7" xfId="1746" xr:uid="{C8E6CDA9-C39D-4525-84BB-212E3F791DD2}"/>
    <cellStyle name="Millares 2 2 2 7 2" xfId="4112" xr:uid="{F013260B-B6FE-4726-9BA4-1A6E1246CC0F}"/>
    <cellStyle name="Millares 2 2 2 8" xfId="2929" xr:uid="{F18C2409-88BC-4874-A8D1-C80972DFF1D8}"/>
    <cellStyle name="Millares 2 2 2 9" xfId="5329" xr:uid="{B3EB7D99-AF1E-4BE1-87A0-0D91F5F9D25C}"/>
    <cellStyle name="Millares 2 2 3" xfId="197" xr:uid="{27E8FC11-377E-414F-AC63-017C1554F12B}"/>
    <cellStyle name="Millares 2 2 3 2" xfId="1002" xr:uid="{A5E2F6CE-54F4-495C-9C26-2E2903003200}"/>
    <cellStyle name="Millares 2 2 3 2 2" xfId="1422" xr:uid="{A9CC3056-A40C-4B77-801C-BA94A064FE8B}"/>
    <cellStyle name="Millares 2 2 3 2 2 2" xfId="2606" xr:uid="{27BB88A8-BCC5-447F-9777-7E51E3E971FF}"/>
    <cellStyle name="Millares 2 2 3 2 2 2 2" xfId="4972" xr:uid="{7A9163F5-672E-4F23-8F20-E0C62CE66002}"/>
    <cellStyle name="Millares 2 2 3 2 2 3" xfId="3789" xr:uid="{0263B9CA-9D29-412F-9E87-8958D6119F4E}"/>
    <cellStyle name="Millares 2 2 3 2 3" xfId="2188" xr:uid="{C40B09FB-7629-4140-8495-15450D8869E6}"/>
    <cellStyle name="Millares 2 2 3 2 3 2" xfId="4554" xr:uid="{59AD19E2-00AE-477C-95EB-3F812FB80E12}"/>
    <cellStyle name="Millares 2 2 3 2 4" xfId="3371" xr:uid="{4E9164ED-7644-4BA9-96EC-50B92A27B3BC}"/>
    <cellStyle name="Millares 2 2 3 2 5" xfId="5503" xr:uid="{D67A5961-FCDD-4DAB-AB84-85D55623681F}"/>
    <cellStyle name="Millares 2 2 3 3" xfId="1212" xr:uid="{E36BE85F-F517-454F-BF3A-AD35EE02D091}"/>
    <cellStyle name="Millares 2 2 3 3 2" xfId="2397" xr:uid="{BBA0DE7F-F093-4D9E-BD61-0AE1341FF435}"/>
    <cellStyle name="Millares 2 2 3 3 2 2" xfId="4763" xr:uid="{45D96C1D-20C8-4B01-AEC5-FCD9CE3170B5}"/>
    <cellStyle name="Millares 2 2 3 3 3" xfId="3580" xr:uid="{8A0AAEAE-90EF-4592-B8AB-A7BA31EEAB0F}"/>
    <cellStyle name="Millares 2 2 3 4" xfId="1805" xr:uid="{9A65CB58-AFB4-4F6E-B7E5-16BDAB3090ED}"/>
    <cellStyle name="Millares 2 2 3 4 2" xfId="4171" xr:uid="{817FB92B-45AB-41EE-A36A-D748189A98CA}"/>
    <cellStyle name="Millares 2 2 3 5" xfId="2988" xr:uid="{2FC976DE-A8BB-46C5-9004-0043DD783E0C}"/>
    <cellStyle name="Millares 2 2 3 6" xfId="5354" xr:uid="{6B1892F6-1755-4FAB-B9F5-4A49815356D1}"/>
    <cellStyle name="Millares 2 2 4" xfId="185" xr:uid="{40D7C577-B67B-4D74-B4E0-EB29CCC57990}"/>
    <cellStyle name="Millares 2 2 4 2" xfId="991" xr:uid="{FB321296-89C3-49D0-8A29-2781B666536A}"/>
    <cellStyle name="Millares 2 2 4 2 2" xfId="1411" xr:uid="{474C7EF4-55E0-4C4A-96CA-9D4A890EF835}"/>
    <cellStyle name="Millares 2 2 4 2 2 2" xfId="2595" xr:uid="{45B292DC-2399-4704-8B46-6528650FF0E5}"/>
    <cellStyle name="Millares 2 2 4 2 2 2 2" xfId="4961" xr:uid="{EB6960EC-4B5E-4B97-9861-3FD96BD2B31C}"/>
    <cellStyle name="Millares 2 2 4 2 2 3" xfId="3778" xr:uid="{199393BB-5F54-42C7-9E8A-A5525D77830B}"/>
    <cellStyle name="Millares 2 2 4 2 3" xfId="2177" xr:uid="{E7ACDC7A-1F94-4EB3-821C-AD956732B11E}"/>
    <cellStyle name="Millares 2 2 4 2 3 2" xfId="4543" xr:uid="{7E40E928-4DD5-4799-ABCD-C7B1ADBC5F66}"/>
    <cellStyle name="Millares 2 2 4 2 4" xfId="3360" xr:uid="{4B1BD9D5-FB99-4CCE-8642-432A4879125F}"/>
    <cellStyle name="Millares 2 2 4 2 5" xfId="5506" xr:uid="{51D49FB6-FB6E-4AA7-8531-893FA60CBA63}"/>
    <cellStyle name="Millares 2 2 4 3" xfId="1201" xr:uid="{C896A9BA-331D-448C-8FEF-ECC6224E83C6}"/>
    <cellStyle name="Millares 2 2 4 3 2" xfId="2386" xr:uid="{EAAD2C98-FD90-4763-B52C-37514F429324}"/>
    <cellStyle name="Millares 2 2 4 3 2 2" xfId="4752" xr:uid="{9250797E-2388-4DE3-9A9E-3E515C7F6438}"/>
    <cellStyle name="Millares 2 2 4 3 3" xfId="3569" xr:uid="{49AD61C9-91C2-4FE0-B271-C00BF68A28C7}"/>
    <cellStyle name="Millares 2 2 4 4" xfId="1794" xr:uid="{66EED3F5-3F1D-4036-BD6A-F528269CE5A5}"/>
    <cellStyle name="Millares 2 2 4 4 2" xfId="4160" xr:uid="{70DC8844-5E0A-449F-A742-C236DD40D336}"/>
    <cellStyle name="Millares 2 2 4 5" xfId="2977" xr:uid="{1010EC08-E50A-4497-BA71-7E970759F232}"/>
    <cellStyle name="Millares 2 2 4 6" xfId="5379" xr:uid="{67372C08-2970-4A94-8631-82C11E9ADC0B}"/>
    <cellStyle name="Millares 2 2 5" xfId="153" xr:uid="{E5141416-4AE1-4EFC-A3DF-6C37A0319666}"/>
    <cellStyle name="Millares 2 2 5 2" xfId="960" xr:uid="{2D86D2A2-1FC0-47D5-B7C5-5ED39265DEFD}"/>
    <cellStyle name="Millares 2 2 5 2 2" xfId="1380" xr:uid="{05040E4C-FEF4-40AB-850D-6ADF8C3948CE}"/>
    <cellStyle name="Millares 2 2 5 2 2 2" xfId="2564" xr:uid="{6320975A-DEBF-4DDB-A094-A2A8E7B68A89}"/>
    <cellStyle name="Millares 2 2 5 2 2 2 2" xfId="4930" xr:uid="{8BD13DBC-529F-45C4-9BDC-50CAA2349505}"/>
    <cellStyle name="Millares 2 2 5 2 2 3" xfId="3747" xr:uid="{08364C75-827D-4E7E-9DC5-B8E0E55517A3}"/>
    <cellStyle name="Millares 2 2 5 2 3" xfId="2146" xr:uid="{57A8852C-6358-4B29-87EB-CFB7C29FA924}"/>
    <cellStyle name="Millares 2 2 5 2 3 2" xfId="4512" xr:uid="{9393C405-CD38-44DE-A614-351830BE2C90}"/>
    <cellStyle name="Millares 2 2 5 2 4" xfId="3329" xr:uid="{662B00A0-4C5B-4FC0-A975-38CDDA6F74A4}"/>
    <cellStyle name="Millares 2 2 5 2 5" xfId="5509" xr:uid="{55A62553-D668-46B0-944E-C5C70F63E15A}"/>
    <cellStyle name="Millares 2 2 5 3" xfId="1170" xr:uid="{36A515CE-A4B2-4067-A9C4-5A396F33C4E8}"/>
    <cellStyle name="Millares 2 2 5 3 2" xfId="2355" xr:uid="{3CA45EE1-55D4-4E12-812B-9AD04988C212}"/>
    <cellStyle name="Millares 2 2 5 3 2 2" xfId="4721" xr:uid="{37604FC9-1020-42CE-A1F5-3C6DC7421D3B}"/>
    <cellStyle name="Millares 2 2 5 3 3" xfId="3538" xr:uid="{8DBDB6EA-9380-4194-8156-E344D26BC5B2}"/>
    <cellStyle name="Millares 2 2 5 4" xfId="1763" xr:uid="{60F85581-3024-4D73-82E3-82E26CB5F185}"/>
    <cellStyle name="Millares 2 2 5 4 2" xfId="4129" xr:uid="{B3EBDB41-B525-4384-916E-FA1792E23618}"/>
    <cellStyle name="Millares 2 2 5 5" xfId="2946" xr:uid="{922626ED-D0C1-4590-A2C4-E366C1A64624}"/>
    <cellStyle name="Millares 2 2 5 6" xfId="5404" xr:uid="{DBFEF8CF-4EA5-40AB-A2DB-DEFBD88CF2BA}"/>
    <cellStyle name="Millares 2 2 6" xfId="248" xr:uid="{153FA1E2-8F72-4343-9674-17563207E7CE}"/>
    <cellStyle name="Millares 2 2 6 2" xfId="5512" xr:uid="{CBC0D0D0-2683-415F-A27B-57D35B8FDBFD}"/>
    <cellStyle name="Millares 2 2 6 3" xfId="5429" xr:uid="{A3BF26BD-3153-4EEF-BD0D-92B43B433794}"/>
    <cellStyle name="Millares 2 2 7" xfId="710" xr:uid="{0B6E229B-330F-497C-952D-A5F8D959EDD4}"/>
    <cellStyle name="Millares 2 2 7 2" xfId="5515" xr:uid="{040D6659-3F61-443F-BE69-641366E400E4}"/>
    <cellStyle name="Millares 2 2 7 3" xfId="5455" xr:uid="{B6CC01FA-DF34-42C0-BD46-BE70FB442F9F}"/>
    <cellStyle name="Millares 2 2 8" xfId="931" xr:uid="{474A39C1-5714-4DA8-909D-84E82298D9AD}"/>
    <cellStyle name="Millares 2 2 8 2" xfId="1351" xr:uid="{6F4EF37B-B7FE-4061-9AF5-7156D76604EE}"/>
    <cellStyle name="Millares 2 2 8 2 2" xfId="2535" xr:uid="{C4FC8C17-06E4-4E8B-BA92-D28D7C433574}"/>
    <cellStyle name="Millares 2 2 8 2 2 2" xfId="4901" xr:uid="{6C7BD4A2-3EDD-4E5E-BEFE-D6B849B441CC}"/>
    <cellStyle name="Millares 2 2 8 2 3" xfId="3718" xr:uid="{DD9F4C2C-0015-481C-868E-AB4476451ECA}"/>
    <cellStyle name="Millares 2 2 8 2 4" xfId="5518" xr:uid="{DE11DE60-6EB5-4A54-A557-60F75E75E3B5}"/>
    <cellStyle name="Millares 2 2 8 3" xfId="2117" xr:uid="{4B1B4F3C-57D0-4125-BBA1-4A7534F29E59}"/>
    <cellStyle name="Millares 2 2 8 3 2" xfId="4483" xr:uid="{C2A3090F-06A9-4FA9-8D7A-CD0DAAB03978}"/>
    <cellStyle name="Millares 2 2 8 4" xfId="3300" xr:uid="{70755B7D-A951-423B-9A76-00BAC53012FA}"/>
    <cellStyle name="Millares 2 2 8 5" xfId="5481" xr:uid="{779CD0F7-3672-48AB-A862-FD83CCB55392}"/>
    <cellStyle name="Millares 2 2 9" xfId="1141" xr:uid="{5F9B4414-4E13-4968-8DC0-3FD82958C659}"/>
    <cellStyle name="Millares 2 2 9 2" xfId="2326" xr:uid="{6C6A029D-6F12-425F-89C5-27F4664B7B54}"/>
    <cellStyle name="Millares 2 2 9 2 2" xfId="4692" xr:uid="{2D83B14B-6929-4BC5-9397-05CEA1192B02}"/>
    <cellStyle name="Millares 2 2 9 3" xfId="3509" xr:uid="{BCB0F67E-B5F2-4454-B2BD-BAECB6824B52}"/>
    <cellStyle name="Millares 2 2 9 4" xfId="5498" xr:uid="{0BD94267-F15D-454F-BA77-13951D18E70C}"/>
    <cellStyle name="Millares 2 3" xfId="104" xr:uid="{E15B6AC8-6F82-43B1-AE60-CE1FBD3477B1}"/>
    <cellStyle name="Millares 2 3 2" xfId="469" xr:uid="{749A8D35-5BE7-4BB0-B965-1D7F85E6C08B}"/>
    <cellStyle name="Millares 2 3 2 2" xfId="5332" xr:uid="{F4E066A6-517E-4E7B-9FA3-5F385BF40E7B}"/>
    <cellStyle name="Millares 2 3 3" xfId="5356" xr:uid="{9D3EC084-36E3-4D70-890E-00AAE5FAD061}"/>
    <cellStyle name="Millares 2 3 4" xfId="5381" xr:uid="{6BB768B8-9760-4D59-93AD-B1518F658911}"/>
    <cellStyle name="Millares 2 3 5" xfId="5406" xr:uid="{F79CC312-F607-4A69-9597-6089113C2BCE}"/>
    <cellStyle name="Millares 2 3 6" xfId="5431" xr:uid="{B09F5FCA-B6AE-457D-8B26-705455CA6A71}"/>
    <cellStyle name="Millares 2 3 7" xfId="5457" xr:uid="{4191BD5B-5FF3-4867-A07C-27765E486C12}"/>
    <cellStyle name="Millares 2 3 8" xfId="5483" xr:uid="{C492D3DA-3791-46C0-ACDC-307F77BDFC56}"/>
    <cellStyle name="Millares 2 3 9" xfId="5306" xr:uid="{0D475731-C8A5-4BCD-A725-2A20FB65A247}"/>
    <cellStyle name="Millares 2 4" xfId="109" xr:uid="{E0D3185D-B9BE-4E7F-9634-26C155CF10FC}"/>
    <cellStyle name="Millares 2 4 2" xfId="125" xr:uid="{1C74E544-1604-4350-9FEE-C1ED34248E68}"/>
    <cellStyle name="Millares 2 4 3" xfId="705" xr:uid="{A554B808-E7F4-4D6F-A280-B5F616FE4EEB}"/>
    <cellStyle name="Millares 2 4 4" xfId="5280" xr:uid="{38659A9D-44D6-45E8-A8BA-28AA359EA8CE}"/>
    <cellStyle name="Millares 2 5" xfId="85" xr:uid="{CE6FD2C3-EF02-42C2-A0F9-BE7FC11EDB7F}"/>
    <cellStyle name="Millares 2 5 2" xfId="5316" xr:uid="{D2389AFF-E8D4-41FA-95F1-F8EF380C2D59}"/>
    <cellStyle name="Millares 2 6" xfId="71" xr:uid="{F9734C28-094C-4B6A-8437-FFF8BF6C13D4}"/>
    <cellStyle name="Millares 2 6 2" xfId="5342" xr:uid="{2F41CB25-CBC9-419F-B300-EED1E5C7E801}"/>
    <cellStyle name="Millares 2 7" xfId="716" xr:uid="{E08D0ECF-8100-4D23-8197-110E5A8E334F}"/>
    <cellStyle name="Millares 2 7 2" xfId="5365" xr:uid="{B462DA1D-79FD-4714-B061-FCF6202453A5}"/>
    <cellStyle name="Millares 2 8" xfId="5390" xr:uid="{503588C1-B163-48A6-BDF5-996A1B546670}"/>
    <cellStyle name="Millares 2 8 2 2" xfId="5283" xr:uid="{A6511632-30E7-40B4-8FC1-E65299E742C8}"/>
    <cellStyle name="Millares 2 9" xfId="5415" xr:uid="{10C8EF21-7441-43A2-9723-24E34430AD96}"/>
    <cellStyle name="Millares 20" xfId="250" xr:uid="{7CB73BA2-3B65-4644-8788-AF3F3EC807FF}"/>
    <cellStyle name="Millares 20 2" xfId="708" xr:uid="{A4139CC5-6F83-4511-9501-A369B3322EE6}"/>
    <cellStyle name="Millares 20 2 2" xfId="1102" xr:uid="{E1F0B49B-E9CF-4B52-AC9E-408273A0C284}"/>
    <cellStyle name="Millares 20 2 2 2" xfId="1522" xr:uid="{8055250E-23B3-4355-9867-1724A4A67E16}"/>
    <cellStyle name="Millares 20 2 2 2 2" xfId="2705" xr:uid="{A237227C-4D18-46C0-B15F-B65C6A7A14F8}"/>
    <cellStyle name="Millares 20 2 2 2 2 2" xfId="5071" xr:uid="{F2BCB79C-0D43-4F46-B349-27A61DE2D080}"/>
    <cellStyle name="Millares 20 2 2 2 3" xfId="3888" xr:uid="{52FCC50D-3195-4A5F-8C10-49191270283C}"/>
    <cellStyle name="Millares 20 2 2 3" xfId="2287" xr:uid="{D19B19FD-D361-4D5F-9C97-1DF76E8B5AE2}"/>
    <cellStyle name="Millares 20 2 2 3 2" xfId="4653" xr:uid="{52B35DBD-EF6B-44E3-9076-D1A054C9673C}"/>
    <cellStyle name="Millares 20 2 2 4" xfId="3470" xr:uid="{0E669269-8C52-4B6A-8592-7FF669A2CE53}"/>
    <cellStyle name="Millares 20 2 3" xfId="1312" xr:uid="{4C9416AE-BCA1-4143-8E73-CA6297AB01C8}"/>
    <cellStyle name="Millares 20 2 3 2" xfId="2496" xr:uid="{FE1A9655-E2B0-4600-AF3D-49CA42BD92D0}"/>
    <cellStyle name="Millares 20 2 3 2 2" xfId="4862" xr:uid="{4AA9F5BF-91D9-4455-9713-40B2C6CC5235}"/>
    <cellStyle name="Millares 20 2 3 3" xfId="3679" xr:uid="{DDA9C335-6A70-4629-AB1B-746E047B4504}"/>
    <cellStyle name="Millares 20 2 4" xfId="1904" xr:uid="{081478A5-5161-4C0A-892C-75BFC4DDC87F}"/>
    <cellStyle name="Millares 20 2 4 2" xfId="4270" xr:uid="{D64FD672-1879-40A3-9CD6-2DFC06B9A811}"/>
    <cellStyle name="Millares 20 2 5" xfId="3087" xr:uid="{3BD17D07-425E-489A-B19A-F0D44D932949}"/>
    <cellStyle name="Millares 20 3" xfId="5519" xr:uid="{02C16416-26DD-453A-AE18-732960FBD78E}"/>
    <cellStyle name="Millares 21" xfId="707" xr:uid="{0DDC5621-C9EB-4A3C-ADBA-0B52DD63550D}"/>
    <cellStyle name="Millares 21 2" xfId="715" xr:uid="{38B16733-4273-415C-84EF-3B1BEA93F9E3}"/>
    <cellStyle name="Millares 21 2 2" xfId="1108" xr:uid="{FF69B307-0BF2-4548-9D6B-7436CA1E458B}"/>
    <cellStyle name="Millares 21 2 2 2" xfId="1528" xr:uid="{3FB6617F-0CEE-44D3-BB95-89983F0BCF5C}"/>
    <cellStyle name="Millares 21 2 2 2 2" xfId="2711" xr:uid="{C69335C6-447F-42CE-881E-CD4E8D3DFDB7}"/>
    <cellStyle name="Millares 21 2 2 2 2 2" xfId="5077" xr:uid="{6982FDF7-45F9-485B-9DA4-C41ABEF32F69}"/>
    <cellStyle name="Millares 21 2 2 2 3" xfId="3894" xr:uid="{876E5A6E-DFF5-43C0-A16B-B0648727D5AD}"/>
    <cellStyle name="Millares 21 2 2 3" xfId="2293" xr:uid="{867068BB-38AC-470C-9FDF-9253779F7877}"/>
    <cellStyle name="Millares 21 2 2 3 2" xfId="4659" xr:uid="{B29B2CC6-D946-4639-BD1D-AB3297660D12}"/>
    <cellStyle name="Millares 21 2 2 4" xfId="3476" xr:uid="{0D57325C-AE4A-4AF0-9A70-5825056A82EF}"/>
    <cellStyle name="Millares 21 2 3" xfId="1318" xr:uid="{09780A95-C616-4DA7-A8FC-36C6AA8BBC62}"/>
    <cellStyle name="Millares 21 2 3 2" xfId="2502" xr:uid="{E1BE3A3A-33B2-4087-9580-A15C22DBA70D}"/>
    <cellStyle name="Millares 21 2 3 2 2" xfId="4868" xr:uid="{D740A194-ED2B-4E37-9496-C061B818AF29}"/>
    <cellStyle name="Millares 21 2 3 3" xfId="3685" xr:uid="{8E76F1B2-4160-400F-A2DD-C8946251BE17}"/>
    <cellStyle name="Millares 21 2 4" xfId="1910" xr:uid="{213DE111-F6C1-4185-8A69-9CB395C73900}"/>
    <cellStyle name="Millares 21 2 4 2" xfId="4276" xr:uid="{EE9A0FBE-2307-49C2-A076-E40304B30C43}"/>
    <cellStyle name="Millares 21 2 5" xfId="3093" xr:uid="{10D41C9F-0B6E-4DB9-9F9B-779AFBF9E6A4}"/>
    <cellStyle name="Millares 22" xfId="720" xr:uid="{90009D1D-98C2-4ED9-95B8-065AF5C9D8BB}"/>
    <cellStyle name="Millares 22 2" xfId="711" xr:uid="{6EB074EC-A5DF-4B35-9A82-3678EBA2EE58}"/>
    <cellStyle name="Millares 22 2 2" xfId="1104" xr:uid="{20E1539A-071F-4DD1-97B4-1786DF886755}"/>
    <cellStyle name="Millares 22 2 2 2" xfId="1524" xr:uid="{CC911A6A-7BC2-4A95-8DC6-517DF2C5B806}"/>
    <cellStyle name="Millares 22 2 2 2 2" xfId="2707" xr:uid="{1EFC62BF-2760-4E31-BE57-1DA7207B12F2}"/>
    <cellStyle name="Millares 22 2 2 2 2 2" xfId="5073" xr:uid="{D8B56D66-EB01-455A-BF01-AA65B3DE7D60}"/>
    <cellStyle name="Millares 22 2 2 2 3" xfId="3890" xr:uid="{C0B3D216-7F68-41EA-9ACC-118D2E386FDA}"/>
    <cellStyle name="Millares 22 2 2 3" xfId="2289" xr:uid="{87983A86-7E81-4B5C-A187-257CBECECF55}"/>
    <cellStyle name="Millares 22 2 2 3 2" xfId="4655" xr:uid="{2E904116-5EDA-4F1B-A83E-024FA2C0B70C}"/>
    <cellStyle name="Millares 22 2 2 4" xfId="3472" xr:uid="{5E720150-50A2-49DA-8277-FC123055AA02}"/>
    <cellStyle name="Millares 22 2 3" xfId="1314" xr:uid="{F9AC4EF3-ED95-470B-A61F-536BA23890D7}"/>
    <cellStyle name="Millares 22 2 3 2" xfId="2498" xr:uid="{8D2F447F-7597-430C-90FC-3E3D040936ED}"/>
    <cellStyle name="Millares 22 2 3 2 2" xfId="4864" xr:uid="{0E504295-2180-4946-B866-F9C00E6759BA}"/>
    <cellStyle name="Millares 22 2 3 3" xfId="3681" xr:uid="{839996BB-AF2B-4456-AC0A-F8E89086DEA9}"/>
    <cellStyle name="Millares 22 2 4" xfId="1906" xr:uid="{2C926375-67B5-41A0-BE3F-6C856A9B8A4E}"/>
    <cellStyle name="Millares 22 2 4 2" xfId="4272" xr:uid="{E714F1AC-FF52-48EB-AE44-42BAFFD44A53}"/>
    <cellStyle name="Millares 22 2 5" xfId="3089" xr:uid="{55799FA8-38EA-42B8-9F63-1CCBE5E39A68}"/>
    <cellStyle name="Millares 23" xfId="735" xr:uid="{68B96CF8-F4F7-4D0E-A4D5-6A30EC2E7005}"/>
    <cellStyle name="Millares 23 2" xfId="1122" xr:uid="{6708DDC0-FE39-43EB-B532-8583B6AA0686}"/>
    <cellStyle name="Millares 23 2 2" xfId="1542" xr:uid="{F7CD5E47-957E-483E-8A2B-F1082F7621A1}"/>
    <cellStyle name="Millares 23 2 2 2" xfId="2725" xr:uid="{0B4EB332-2ED9-45A3-B3B1-DCCE4F88049B}"/>
    <cellStyle name="Millares 23 2 2 2 2" xfId="5091" xr:uid="{A43B4895-6378-4AEB-993C-DB6C1B695B3B}"/>
    <cellStyle name="Millares 23 2 2 3" xfId="3908" xr:uid="{2E8F03F5-8DC0-4A8A-90D9-B440B6212F5D}"/>
    <cellStyle name="Millares 23 2 3" xfId="2307" xr:uid="{9EC48801-3400-417D-AD6D-450710598A84}"/>
    <cellStyle name="Millares 23 2 3 2" xfId="4673" xr:uid="{3304BE37-611C-4258-8A09-29CBEFC9A531}"/>
    <cellStyle name="Millares 23 2 4" xfId="3490" xr:uid="{D1400325-68C5-4286-81A3-3479E949F814}"/>
    <cellStyle name="Millares 23 3" xfId="1332" xr:uid="{491618A3-20DF-4B3A-B679-AE7087A54E44}"/>
    <cellStyle name="Millares 23 3 2" xfId="2516" xr:uid="{48470FA5-6B27-4C25-9ABE-D396C7BF4B15}"/>
    <cellStyle name="Millares 23 3 2 2" xfId="4882" xr:uid="{BAB5E7DE-17A1-4C90-87ED-1E2669EBAF00}"/>
    <cellStyle name="Millares 23 3 3" xfId="3699" xr:uid="{94DDAB56-7E24-44A0-B08E-58FF4DCF8861}"/>
    <cellStyle name="Millares 23 4" xfId="1924" xr:uid="{198F7CA1-CA14-4BC6-8D35-46C88E675C7D}"/>
    <cellStyle name="Millares 23 4 2" xfId="4290" xr:uid="{84E9A941-AA25-4B1A-B30D-A98069C5366C}"/>
    <cellStyle name="Millares 23 5" xfId="3107" xr:uid="{86E60B73-0FE2-4A48-A526-2BC80F22AB9A}"/>
    <cellStyle name="Millares 24" xfId="737" xr:uid="{59822940-3860-49D7-8B0B-BD56B112A2BF}"/>
    <cellStyle name="Millares 24 2" xfId="1123" xr:uid="{D70702C0-C3DE-4FA1-B95F-6D216354A07C}"/>
    <cellStyle name="Millares 24 2 2" xfId="1543" xr:uid="{72F21759-213E-4585-9D13-A926E91BA936}"/>
    <cellStyle name="Millares 24 2 2 2" xfId="2726" xr:uid="{A168192E-A141-4A48-8A31-7C26C961FEF3}"/>
    <cellStyle name="Millares 24 2 2 2 2" xfId="5092" xr:uid="{72BEBE04-BA98-45D0-AAD3-392F20DAE0E8}"/>
    <cellStyle name="Millares 24 2 2 3" xfId="3909" xr:uid="{EBD210DE-F1D6-40B2-924F-E8D931A5597B}"/>
    <cellStyle name="Millares 24 2 3" xfId="2308" xr:uid="{34804B11-51A1-4AED-B0DF-B4CA5BA9CBAC}"/>
    <cellStyle name="Millares 24 2 3 2" xfId="4674" xr:uid="{91F31A1B-1857-4A56-96CF-6BA74358B7F7}"/>
    <cellStyle name="Millares 24 2 4" xfId="3491" xr:uid="{8D45F7D8-FD69-4BFB-9B22-F0451EC1BD8C}"/>
    <cellStyle name="Millares 24 3" xfId="1333" xr:uid="{4F01C63B-6F0C-4C4F-96DD-F3A1B738F54F}"/>
    <cellStyle name="Millares 24 3 2" xfId="2517" xr:uid="{8D7E32A2-AB93-42EA-9363-A4D0C05DEADC}"/>
    <cellStyle name="Millares 24 3 2 2" xfId="4883" xr:uid="{E1D1D347-5893-49A8-8AC3-ABF44B505E73}"/>
    <cellStyle name="Millares 24 3 3" xfId="3700" xr:uid="{EFB82F6E-1384-4A2C-98EE-202826DCC240}"/>
    <cellStyle name="Millares 24 4" xfId="1925" xr:uid="{22194555-C330-4D46-8BC7-B7C470F0BF86}"/>
    <cellStyle name="Millares 24 4 2" xfId="4291" xr:uid="{B8815BF8-12C2-4A34-BD90-EE32135EBCFD}"/>
    <cellStyle name="Millares 24 5" xfId="3108" xr:uid="{7213DA2F-D46E-45F1-AC03-D6F3662CF137}"/>
    <cellStyle name="Millares 25" xfId="718" xr:uid="{FC8F20DA-15C6-46C8-BC2C-9C34B3F40FDC}"/>
    <cellStyle name="Millares 25 2" xfId="1110" xr:uid="{332F2CE1-0887-4F56-B834-67F8C7F980DE}"/>
    <cellStyle name="Millares 25 2 2" xfId="1530" xr:uid="{5F75625C-693F-4621-808E-74066516CBBB}"/>
    <cellStyle name="Millares 25 2 2 2" xfId="2713" xr:uid="{AC160EB0-38C1-4249-87A7-BD01C6ECDA69}"/>
    <cellStyle name="Millares 25 2 2 2 2" xfId="5079" xr:uid="{C9752642-6442-4707-9D29-F825324074CD}"/>
    <cellStyle name="Millares 25 2 2 3" xfId="3896" xr:uid="{D9FD5450-EA4D-4854-9141-4C56F5B4173F}"/>
    <cellStyle name="Millares 25 2 3" xfId="2295" xr:uid="{5B3A6066-820E-40F8-ABAA-695D8526FFE8}"/>
    <cellStyle name="Millares 25 2 3 2" xfId="4661" xr:uid="{DE24F48D-1DE2-4D97-9BB4-126E5FB57AAA}"/>
    <cellStyle name="Millares 25 2 4" xfId="3478" xr:uid="{E6A0A6B7-A75C-4A37-A8DC-CDA7CDCB1030}"/>
    <cellStyle name="Millares 25 3" xfId="1320" xr:uid="{8764D856-407A-4EE6-8714-E3ECDA32D4CE}"/>
    <cellStyle name="Millares 25 3 2" xfId="2504" xr:uid="{0D0D9DB0-DDB4-47FE-BEBA-A22A55D88505}"/>
    <cellStyle name="Millares 25 3 2 2" xfId="4870" xr:uid="{5BFCB5B2-6314-4965-8E67-D045E8B715B0}"/>
    <cellStyle name="Millares 25 3 3" xfId="3687" xr:uid="{2888615E-17E0-4A80-888B-A78BA7B12D47}"/>
    <cellStyle name="Millares 25 4" xfId="1912" xr:uid="{DF2FAE58-716A-4F90-915A-C05155F1118E}"/>
    <cellStyle name="Millares 25 4 2" xfId="4278" xr:uid="{ACF8AA27-4484-46A1-9BD2-5B80E0E98B9C}"/>
    <cellStyle name="Millares 25 5" xfId="3095" xr:uid="{F41FBEAB-B4F3-4C2B-90FE-FA0B2DDF733C}"/>
    <cellStyle name="Millares 26" xfId="717" xr:uid="{EE5629D5-677C-473B-AC7D-BCFD1E4D2B65}"/>
    <cellStyle name="Millares 26 2" xfId="1109" xr:uid="{15E3D53A-A68B-4438-95FA-BFCD505ACDA0}"/>
    <cellStyle name="Millares 26 2 2" xfId="1529" xr:uid="{DA8340F7-0D4E-49AB-B417-288985B36195}"/>
    <cellStyle name="Millares 26 2 2 2" xfId="2712" xr:uid="{68C90DA6-D3C2-4863-916C-238C90FEF5DC}"/>
    <cellStyle name="Millares 26 2 2 2 2" xfId="5078" xr:uid="{2932F48B-0581-4857-BE0C-9956D3BB48D7}"/>
    <cellStyle name="Millares 26 2 2 3" xfId="3895" xr:uid="{04B98B01-2E4B-4607-9C87-D3BECD4D7E8F}"/>
    <cellStyle name="Millares 26 2 3" xfId="2294" xr:uid="{7C99F133-6AFC-42AC-928C-87E26AABAB03}"/>
    <cellStyle name="Millares 26 2 3 2" xfId="4660" xr:uid="{E289AE37-90AD-4801-8918-E8DE56DE44DA}"/>
    <cellStyle name="Millares 26 2 4" xfId="3477" xr:uid="{30A29269-0544-4016-A056-61BC83F497AA}"/>
    <cellStyle name="Millares 26 3" xfId="1319" xr:uid="{B5EFC0CE-D417-498C-9E85-E5FDFB513A9F}"/>
    <cellStyle name="Millares 26 3 2" xfId="2503" xr:uid="{5FE6531F-8C73-4A47-88FA-AB7D6F9DD323}"/>
    <cellStyle name="Millares 26 3 2 2" xfId="4869" xr:uid="{C1AA7DCD-9427-4DE1-B93B-1E487E88C018}"/>
    <cellStyle name="Millares 26 3 3" xfId="3686" xr:uid="{E7FFFECE-56FD-43A8-AADA-C8ED645FED6D}"/>
    <cellStyle name="Millares 26 4" xfId="1911" xr:uid="{DF879855-C277-412B-A293-A450A693C24E}"/>
    <cellStyle name="Millares 26 4 2" xfId="4277" xr:uid="{6EF5232A-6423-4510-88E8-5CA3EE07582E}"/>
    <cellStyle name="Millares 26 5" xfId="3094" xr:uid="{D7ED0995-38DF-4BF4-921A-D1ADE6ABD787}"/>
    <cellStyle name="Millares 27" xfId="246" xr:uid="{152B5FAF-CDD5-4AD0-9569-FE262D7F0429}"/>
    <cellStyle name="Millares 27 2" xfId="1035" xr:uid="{B8A8D078-BC3D-4DDA-8CB1-0C23670BCE4A}"/>
    <cellStyle name="Millares 27 2 2" xfId="1455" xr:uid="{C7F39C7E-8CF4-4D2C-9549-7270BB2A1C86}"/>
    <cellStyle name="Millares 27 2 2 2" xfId="2638" xr:uid="{5D1A432C-01B1-45BF-990A-453EBF666441}"/>
    <cellStyle name="Millares 27 2 2 2 2" xfId="5004" xr:uid="{3C05B932-88E6-4511-9EF5-4B9D8E054938}"/>
    <cellStyle name="Millares 27 2 2 3" xfId="3821" xr:uid="{850C48A8-7545-4487-B0C4-527242AE5A52}"/>
    <cellStyle name="Millares 27 2 3" xfId="2220" xr:uid="{15D41AC2-BB30-4AEC-BBB6-1FFDF1B9579C}"/>
    <cellStyle name="Millares 27 2 3 2" xfId="4586" xr:uid="{7D0A787B-F87E-4887-B858-09E25CEC052C}"/>
    <cellStyle name="Millares 27 2 4" xfId="3403" xr:uid="{EF54FFE4-97F2-4F10-A851-7AAF80F4A67B}"/>
    <cellStyle name="Millares 27 3" xfId="1245" xr:uid="{5D298011-4E4D-4D13-A6DD-CD8BEF9193EA}"/>
    <cellStyle name="Millares 27 3 2" xfId="2429" xr:uid="{900D3D10-B5A6-47C7-A5CB-407F1DBDF9E7}"/>
    <cellStyle name="Millares 27 3 2 2" xfId="4795" xr:uid="{877061C5-8EDF-4866-B16A-75C2556C3962}"/>
    <cellStyle name="Millares 27 3 3" xfId="3612" xr:uid="{729FDAAA-7A7A-4EFB-AF03-A7AE6F7D457D}"/>
    <cellStyle name="Millares 27 4" xfId="1837" xr:uid="{FF3F9F1A-D021-4330-A954-F8538FC98F16}"/>
    <cellStyle name="Millares 27 4 2" xfId="4203" xr:uid="{11B88EF2-36F2-4283-A8AB-81AAA30769CF}"/>
    <cellStyle name="Millares 27 5" xfId="3020" xr:uid="{1D104469-0733-48D1-9712-3504A6C2413A}"/>
    <cellStyle name="Millares 28" xfId="728" xr:uid="{4BC42E08-D81E-4518-BA03-EB68522F7626}"/>
    <cellStyle name="Millares 29" xfId="730" xr:uid="{B3A6C2D9-98E5-456F-AE07-2A35E5847F35}"/>
    <cellStyle name="Millares 3" xfId="75" xr:uid="{566134E5-AB17-4896-9165-A1B5F61F1CDD}"/>
    <cellStyle name="Millares 3 10" xfId="5470" xr:uid="{24E54900-2F45-4184-9D4A-99BE3A8AD66D}"/>
    <cellStyle name="Millares 3 11" xfId="5286" xr:uid="{FD28F6E8-88BB-4E4D-87AC-35785492C28C}"/>
    <cellStyle name="Millares 3 2" xfId="87" xr:uid="{33850BC5-EDBF-41E1-82B6-EDF12FF6BEC3}"/>
    <cellStyle name="Millares 3 2 2" xfId="496" xr:uid="{41310098-7C30-4A64-B523-AC4E963FD2C7}"/>
    <cellStyle name="Millares 3 2 3" xfId="5302" xr:uid="{E366B84D-A19B-4BCD-BB95-278C127E56B9}"/>
    <cellStyle name="Millares 3 3" xfId="726" xr:uid="{63EB8B17-7D72-419E-8A6A-111C4C4AFAF1}"/>
    <cellStyle name="Millares 3 3 2" xfId="5335" xr:uid="{6104D34C-E9F5-4D61-A475-305B8F3CA651}"/>
    <cellStyle name="Millares 3 3 3" xfId="5359" xr:uid="{9D529FD0-FD53-475F-990F-660E927D12DB}"/>
    <cellStyle name="Millares 3 3 4" xfId="5384" xr:uid="{F42803D2-576D-4095-AA7A-1C6DF0E07D93}"/>
    <cellStyle name="Millares 3 3 5" xfId="5409" xr:uid="{BE1F3101-3D28-4937-98B9-D79AF9E88D70}"/>
    <cellStyle name="Millares 3 3 6" xfId="5434" xr:uid="{10C417E8-79AE-4AAA-8DCB-42CB92A3C949}"/>
    <cellStyle name="Millares 3 3 7" xfId="5460" xr:uid="{7DA7B10E-8167-4DB4-904A-22E45311FCBF}"/>
    <cellStyle name="Millares 3 3 8" xfId="5486" xr:uid="{B4BC2909-CED8-49F4-8238-A0AB367821F6}"/>
    <cellStyle name="Millares 3 3 9" xfId="5309" xr:uid="{E1CD914C-C887-451C-9AFD-454B3A798CEF}"/>
    <cellStyle name="Millares 3 4" xfId="5319" xr:uid="{2F914888-E77D-4842-AB21-8515FB55FBD5}"/>
    <cellStyle name="Millares 3 5" xfId="5345" xr:uid="{E835DF96-1A0F-4B92-826D-2760CD0CAC16}"/>
    <cellStyle name="Millares 3 6" xfId="5368" xr:uid="{322BFF04-D63B-41FB-8D3D-55156F1C8A45}"/>
    <cellStyle name="Millares 3 7" xfId="5393" xr:uid="{638B4DBA-F6A4-419B-88DF-7879B0D7027D}"/>
    <cellStyle name="Millares 3 8" xfId="5418" xr:uid="{11E3AF4A-67AB-4F24-9E12-0922C7E96FF0}"/>
    <cellStyle name="Millares 3 9" xfId="5444" xr:uid="{92403F33-9356-40D2-BBB7-737F7790D999}"/>
    <cellStyle name="Millares 30" xfId="5491" xr:uid="{6EB1B516-2230-4FC8-BEC4-AE890E6DA388}"/>
    <cellStyle name="Millares 4" xfId="74" xr:uid="{57B61CD4-D27E-4388-848F-B6CDC2A10C6F}"/>
    <cellStyle name="Millares 4 10" xfId="5496" xr:uid="{681E691E-491F-4DB5-B9FE-BDEDED881446}"/>
    <cellStyle name="Millares 4 2" xfId="142" xr:uid="{21976B17-B7DE-40CF-94AE-01C5546EDD73}"/>
    <cellStyle name="Millares 4 2 2" xfId="5298" xr:uid="{CFBA4B24-0C1E-4A51-B714-73751E1E2F59}"/>
    <cellStyle name="Millares 4 3" xfId="130" xr:uid="{064D8132-76CA-4B35-99B4-299FEE38CF22}"/>
    <cellStyle name="Millares 4 3 2" xfId="219" xr:uid="{68F04B1E-8E46-4F9C-8DF2-5A70619965FA}"/>
    <cellStyle name="Millares 4 3 2 2" xfId="1021" xr:uid="{236636A8-1503-4CC4-B85B-8C9BFB75492C}"/>
    <cellStyle name="Millares 4 3 2 2 2" xfId="1441" xr:uid="{D364E91C-77FE-4B7F-BFA0-B957385B628F}"/>
    <cellStyle name="Millares 4 3 2 2 2 2" xfId="2625" xr:uid="{7F352A0B-8D7B-4E26-83E4-F9B1E6FA8C88}"/>
    <cellStyle name="Millares 4 3 2 2 2 2 2" xfId="4991" xr:uid="{296DF270-E52A-49F7-9429-8E172DFA4603}"/>
    <cellStyle name="Millares 4 3 2 2 2 3" xfId="3808" xr:uid="{80821F52-BC59-446B-80EE-CCFBB2725840}"/>
    <cellStyle name="Millares 4 3 2 2 3" xfId="2207" xr:uid="{19F51BE9-7D55-4941-B5B1-85C33777D9E7}"/>
    <cellStyle name="Millares 4 3 2 2 3 2" xfId="4573" xr:uid="{D78D2DD8-3050-4277-B2C3-1209ABAF3988}"/>
    <cellStyle name="Millares 4 3 2 2 4" xfId="3390" xr:uid="{76A73E06-925B-41EE-951C-81A8F18EE7CD}"/>
    <cellStyle name="Millares 4 3 2 3" xfId="1231" xr:uid="{48355C00-C9C4-4F89-B3D3-1E4FBBE1A3FC}"/>
    <cellStyle name="Millares 4 3 2 3 2" xfId="2416" xr:uid="{EBC8F777-FCF4-4E0A-8ABB-3D1C7F9C282E}"/>
    <cellStyle name="Millares 4 3 2 3 2 2" xfId="4782" xr:uid="{4778782E-1BD7-4CB5-87D4-11F2AA59977A}"/>
    <cellStyle name="Millares 4 3 2 3 3" xfId="3599" xr:uid="{EA8976F3-E7E7-4C84-9E1D-CDEFBFBFFBEC}"/>
    <cellStyle name="Millares 4 3 2 4" xfId="1824" xr:uid="{C3CA171F-272A-4D1C-B00A-D8C63FEA4B96}"/>
    <cellStyle name="Millares 4 3 2 4 2" xfId="4190" xr:uid="{9CBD4A8C-E139-482A-BDFF-5571D400ADFF}"/>
    <cellStyle name="Millares 4 3 2 5" xfId="3007" xr:uid="{202FEA31-F55E-4D52-9E76-4ED1A9472AA3}"/>
    <cellStyle name="Millares 4 3 2 6" xfId="5499" xr:uid="{E1D12987-04DB-485C-B614-CB77267B1A09}"/>
    <cellStyle name="Millares 4 3 3" xfId="173" xr:uid="{FF2CD513-91D4-436D-B478-ACFA1937E4AB}"/>
    <cellStyle name="Millares 4 3 3 2" xfId="980" xr:uid="{FBA949AA-2D70-406F-8711-506170A9F279}"/>
    <cellStyle name="Millares 4 3 3 2 2" xfId="1400" xr:uid="{5EE933C8-7D93-4CC1-A120-3ACBFFE387C0}"/>
    <cellStyle name="Millares 4 3 3 2 2 2" xfId="2584" xr:uid="{73E58DA2-83CF-4BE1-A844-5F6ABC56626A}"/>
    <cellStyle name="Millares 4 3 3 2 2 2 2" xfId="4950" xr:uid="{7E56B129-20D9-4F07-9B2D-3B06FD0D6358}"/>
    <cellStyle name="Millares 4 3 3 2 2 3" xfId="3767" xr:uid="{11B6D66B-908A-43CE-A349-9E48A5CF174C}"/>
    <cellStyle name="Millares 4 3 3 2 3" xfId="2166" xr:uid="{AD6A3055-3006-455F-9C56-4B13173F6C6B}"/>
    <cellStyle name="Millares 4 3 3 2 3 2" xfId="4532" xr:uid="{0450B679-AA1E-41BA-87FE-3461F963A615}"/>
    <cellStyle name="Millares 4 3 3 2 4" xfId="3349" xr:uid="{ECEF824D-98E3-4FEF-8589-78BDE7A85BF5}"/>
    <cellStyle name="Millares 4 3 3 3" xfId="1190" xr:uid="{3869F109-CC4B-4C00-808D-C72FF847B7AD}"/>
    <cellStyle name="Millares 4 3 3 3 2" xfId="2375" xr:uid="{868481A5-B16A-475A-A49B-C14AE280FBB7}"/>
    <cellStyle name="Millares 4 3 3 3 2 2" xfId="4741" xr:uid="{375D79F3-871C-404E-87A1-3696532026AD}"/>
    <cellStyle name="Millares 4 3 3 3 3" xfId="3558" xr:uid="{D84D80E2-AE97-4B7A-AB0F-6FB8A9CAB50F}"/>
    <cellStyle name="Millares 4 3 3 4" xfId="1783" xr:uid="{FB13C55A-F970-4B20-8057-72A6AD1CFDCC}"/>
    <cellStyle name="Millares 4 3 3 4 2" xfId="4149" xr:uid="{D8EA2EF7-4E54-42E2-B057-A249C8888AC1}"/>
    <cellStyle name="Millares 4 3 3 5" xfId="2966" xr:uid="{E2BA521C-95AB-4CDC-9AF7-27FDB1B979B8}"/>
    <cellStyle name="Millares 4 3 4" xfId="952" xr:uid="{136CE1F0-09C4-413E-A6E4-79966D05C396}"/>
    <cellStyle name="Millares 4 3 4 2" xfId="1372" xr:uid="{1664AE62-9DC1-4DF3-AE7A-1EFC10277210}"/>
    <cellStyle name="Millares 4 3 4 2 2" xfId="2556" xr:uid="{74ADE2E6-0470-49C9-879E-470335979AE4}"/>
    <cellStyle name="Millares 4 3 4 2 2 2" xfId="4922" xr:uid="{8653A2C6-1F0C-4328-B4F2-5364CD0A6D21}"/>
    <cellStyle name="Millares 4 3 4 2 3" xfId="3739" xr:uid="{D5FCF177-6EDE-47EE-8A27-155AE152C5BB}"/>
    <cellStyle name="Millares 4 3 4 3" xfId="2138" xr:uid="{63AF7A22-775E-4596-94BC-4D059DCCA7B0}"/>
    <cellStyle name="Millares 4 3 4 3 2" xfId="4504" xr:uid="{A35011FB-862C-40E2-8B80-C8949E8541C7}"/>
    <cellStyle name="Millares 4 3 4 4" xfId="3321" xr:uid="{4E186743-124B-4AA5-8525-EBDD4460B91B}"/>
    <cellStyle name="Millares 4 3 5" xfId="1162" xr:uid="{6436CC18-2B78-4D87-94BD-D82BA7BA44A5}"/>
    <cellStyle name="Millares 4 3 5 2" xfId="2347" xr:uid="{14B60E09-3B6C-4D0E-AF4A-8B53CBB715CE}"/>
    <cellStyle name="Millares 4 3 5 2 2" xfId="4713" xr:uid="{0ADCDC09-2FCB-4DC6-A348-D56D0BE28C9E}"/>
    <cellStyle name="Millares 4 3 5 3" xfId="3530" xr:uid="{4832F780-5843-4644-9F80-039228007CF2}"/>
    <cellStyle name="Millares 4 3 6" xfId="1755" xr:uid="{59348409-FC1B-4BEA-A9C9-EE1D4353CE37}"/>
    <cellStyle name="Millares 4 3 6 2" xfId="4121" xr:uid="{74064787-3CC1-4AEB-A303-B72E0F32E07C}"/>
    <cellStyle name="Millares 4 3 7" xfId="2938" xr:uid="{C2BAD6E1-A72E-42CA-8AC9-83276633B4D9}"/>
    <cellStyle name="Millares 4 3 8" xfId="5322" xr:uid="{B9AFAEA3-D146-44C3-ABEE-3129DB34D5B2}"/>
    <cellStyle name="Millares 4 4" xfId="201" xr:uid="{3CB8C70A-A3BA-42FD-9889-03BC237E28D9}"/>
    <cellStyle name="Millares 4 4 2" xfId="5501" xr:uid="{DB019ACD-6815-4A39-87C7-77EE3E1B449A}"/>
    <cellStyle name="Millares 4 5" xfId="181" xr:uid="{63BD81DC-9B93-4855-A44C-40A781059CBF}"/>
    <cellStyle name="Millares 4 5 2" xfId="987" xr:uid="{A165A916-CC22-4032-ACA3-B9D1FBB57382}"/>
    <cellStyle name="Millares 4 5 2 2" xfId="1407" xr:uid="{96A6E8B1-3ED4-49A2-BC1D-E0F4855E6F2C}"/>
    <cellStyle name="Millares 4 5 2 2 2" xfId="2591" xr:uid="{0C0C7C98-B237-4C5C-8F47-C58CEC2430FD}"/>
    <cellStyle name="Millares 4 5 2 2 2 2" xfId="4957" xr:uid="{68F040BC-48D5-4EA1-B40C-73C0E10DB7F2}"/>
    <cellStyle name="Millares 4 5 2 2 3" xfId="3774" xr:uid="{CB3739A8-9C33-4D1D-9994-9D235B4B6D56}"/>
    <cellStyle name="Millares 4 5 2 3" xfId="2173" xr:uid="{2B3A3BCE-7CAB-4DD4-9D47-721AF0DCD590}"/>
    <cellStyle name="Millares 4 5 2 3 2" xfId="4539" xr:uid="{A9F756EC-D2EC-478F-9D10-EDE404B5D4F0}"/>
    <cellStyle name="Millares 4 5 2 4" xfId="3356" xr:uid="{F7CBC9B1-4E75-4999-83FE-F2642E808E32}"/>
    <cellStyle name="Millares 4 5 2 5" xfId="5504" xr:uid="{69F6CBC4-6027-4BF4-9FF1-DB970FAA24C7}"/>
    <cellStyle name="Millares 4 5 3" xfId="1197" xr:uid="{6B622CB4-14CF-4F6B-9EF2-F64849EBCB74}"/>
    <cellStyle name="Millares 4 5 3 2" xfId="2382" xr:uid="{60DEB226-5819-4B00-852E-933FAA4A6970}"/>
    <cellStyle name="Millares 4 5 3 2 2" xfId="4748" xr:uid="{0661815A-E762-4B25-B8A7-75E3C29564D3}"/>
    <cellStyle name="Millares 4 5 3 3" xfId="3565" xr:uid="{D7164B03-F1B8-4E6F-93E8-4DBDD8628AD8}"/>
    <cellStyle name="Millares 4 5 4" xfId="1790" xr:uid="{8BD5CBEF-0F7D-4A49-B124-8968AEC62488}"/>
    <cellStyle name="Millares 4 5 4 2" xfId="4156" xr:uid="{6CBEFD3E-7872-49D6-966A-C897F3AA9B85}"/>
    <cellStyle name="Millares 4 5 5" xfId="2973" xr:uid="{4D97EF0F-47AF-4FAB-B733-169155253F6F}"/>
    <cellStyle name="Millares 4 5 6" xfId="5371" xr:uid="{0693E940-C3E5-4BCE-88E1-074BDC0710D4}"/>
    <cellStyle name="Millares 4 6" xfId="713" xr:uid="{F1FC48DE-C4CC-4D0C-9766-98D8511BD1B0}"/>
    <cellStyle name="Millares 4 6 2" xfId="1106" xr:uid="{CCD4365A-8F5A-4813-AF8D-28AA971BD801}"/>
    <cellStyle name="Millares 4 6 2 2" xfId="1526" xr:uid="{64CE2982-EFE6-45F0-A269-1403D33C621C}"/>
    <cellStyle name="Millares 4 6 2 2 2" xfId="2709" xr:uid="{F3964ACE-1298-469B-8145-7DE0A1C3A0D9}"/>
    <cellStyle name="Millares 4 6 2 2 2 2" xfId="5075" xr:uid="{5E1DBA78-F024-400A-B4DB-B3FA6B76CBE4}"/>
    <cellStyle name="Millares 4 6 2 2 3" xfId="3892" xr:uid="{3C40C930-3244-4376-B227-51FAC7EC2E09}"/>
    <cellStyle name="Millares 4 6 2 3" xfId="2291" xr:uid="{BFBD0108-C9CE-47DA-8F77-91540D2BB249}"/>
    <cellStyle name="Millares 4 6 2 3 2" xfId="4657" xr:uid="{E484FC7C-89DA-4553-AB1D-88EE92F64668}"/>
    <cellStyle name="Millares 4 6 2 4" xfId="3474" xr:uid="{B83A6801-5CF6-4F2B-B6ED-78E2194AD86E}"/>
    <cellStyle name="Millares 4 6 2 5" xfId="5507" xr:uid="{484DADEA-06A5-4B3D-9770-1A4EC87B80CA}"/>
    <cellStyle name="Millares 4 6 3" xfId="1316" xr:uid="{DB5A932C-15C3-4C1C-B0E5-0C9DD6CAC176}"/>
    <cellStyle name="Millares 4 6 3 2" xfId="2500" xr:uid="{AB50DB20-849B-4953-BE05-256CA0C80EC2}"/>
    <cellStyle name="Millares 4 6 3 2 2" xfId="4866" xr:uid="{76604B34-F059-412A-A300-630A1B91E9F8}"/>
    <cellStyle name="Millares 4 6 3 3" xfId="3683" xr:uid="{EEFE999B-48F6-4AE9-82FA-1A925077761E}"/>
    <cellStyle name="Millares 4 6 4" xfId="1908" xr:uid="{1CB961B3-0BB2-44E1-AB52-AF657DD9658D}"/>
    <cellStyle name="Millares 4 6 4 2" xfId="4274" xr:uid="{E20FE325-CA26-447D-8388-A34D4A8B73F1}"/>
    <cellStyle name="Millares 4 6 5" xfId="3091" xr:uid="{56E94B65-725F-49F3-BD05-05FE9C74DCDE}"/>
    <cellStyle name="Millares 4 6 6" xfId="5396" xr:uid="{3668C431-6DC5-4138-8B1F-55FE151E8765}"/>
    <cellStyle name="Millares 4 7" xfId="5421" xr:uid="{0C2C2499-7A41-499F-98D1-26DFC2F4A68A}"/>
    <cellStyle name="Millares 4 7 2" xfId="5510" xr:uid="{7E374F30-5E40-4C03-A602-FF4F304611B4}"/>
    <cellStyle name="Millares 4 8" xfId="5447" xr:uid="{CE1D30E3-2521-4BE4-B6E9-65932E1BF9B6}"/>
    <cellStyle name="Millares 4 8 2" xfId="5513" xr:uid="{E2F480F7-C397-491F-8D2E-5DAA27ACCDD4}"/>
    <cellStyle name="Millares 4 9" xfId="5473" xr:uid="{856E2083-4AFD-416A-AFBA-CE19662B9D4A}"/>
    <cellStyle name="Millares 4 9 2" xfId="5516" xr:uid="{AEDC8305-8F66-4033-98C2-D77E6E315FA4}"/>
    <cellStyle name="Millares 5" xfId="77" xr:uid="{F5D6159B-0F9D-4F02-AE4D-2E83E60A7162}"/>
    <cellStyle name="Millares 5 2" xfId="146" xr:uid="{E364F80C-7B98-4ECC-B005-C9D3FF8E28F0}"/>
    <cellStyle name="Millares 5 2 2" xfId="5326" xr:uid="{E8F364FD-A779-46DB-92BB-DA95EFB4FA03}"/>
    <cellStyle name="Millares 5 3" xfId="138" xr:uid="{D94E3D84-AF03-4594-8A1D-456AA8BF96DF}"/>
    <cellStyle name="Millares 5 3 2" xfId="220" xr:uid="{C47329A5-F203-41F3-BB98-BB43F8B32538}"/>
    <cellStyle name="Millares 5 3 2 2" xfId="1022" xr:uid="{C5EDC82E-E007-4E1A-B408-B1A7F45932A6}"/>
    <cellStyle name="Millares 5 3 2 2 2" xfId="1442" xr:uid="{2EA528F0-EA7B-4121-BE5F-C8C514631FE4}"/>
    <cellStyle name="Millares 5 3 2 2 2 2" xfId="2626" xr:uid="{CBC5A965-06F1-4F89-8707-8C3846ED0C2B}"/>
    <cellStyle name="Millares 5 3 2 2 2 2 2" xfId="4992" xr:uid="{9DE15F70-16FE-4E10-A66B-A4DBD15C3479}"/>
    <cellStyle name="Millares 5 3 2 2 2 3" xfId="3809" xr:uid="{0FDDAB64-27CE-48D8-97AA-20EFC49FE2FA}"/>
    <cellStyle name="Millares 5 3 2 2 3" xfId="2208" xr:uid="{F5BBD441-6B22-4C87-8116-DCDA7CF6ED04}"/>
    <cellStyle name="Millares 5 3 2 2 3 2" xfId="4574" xr:uid="{35D0D3B5-4B90-4F40-BBF9-D4EDCB62F0E8}"/>
    <cellStyle name="Millares 5 3 2 2 4" xfId="3391" xr:uid="{6123459E-0968-4FFC-AE3B-7B0BCFF94E3E}"/>
    <cellStyle name="Millares 5 3 2 3" xfId="1232" xr:uid="{53AEBEC9-586D-45AC-8F7C-E154F1B2604A}"/>
    <cellStyle name="Millares 5 3 2 3 2" xfId="2417" xr:uid="{05D00512-55AC-4B5D-A3BE-7A51F4C5DB06}"/>
    <cellStyle name="Millares 5 3 2 3 2 2" xfId="4783" xr:uid="{B09BAC4F-0A58-4247-8ED6-20D188F4082E}"/>
    <cellStyle name="Millares 5 3 2 3 3" xfId="3600" xr:uid="{8356EA8C-B02B-412F-A9CE-811F8E454C5E}"/>
    <cellStyle name="Millares 5 3 2 4" xfId="1825" xr:uid="{E4A4E16D-7ADE-4472-AF5E-AAE1FC3E0186}"/>
    <cellStyle name="Millares 5 3 2 4 2" xfId="4191" xr:uid="{4484DF56-4E29-4C51-96C8-22205F79A184}"/>
    <cellStyle name="Millares 5 3 2 5" xfId="3008" xr:uid="{CA349237-6873-44A7-B3C9-3595E9A6C035}"/>
    <cellStyle name="Millares 5 3 3" xfId="174" xr:uid="{CAEF0B08-D0B5-4B5A-B450-9A8E1D6ED7C0}"/>
    <cellStyle name="Millares 5 3 3 2" xfId="981" xr:uid="{5BAE9755-EEFF-41B5-8D92-A93E9179FD10}"/>
    <cellStyle name="Millares 5 3 3 2 2" xfId="1401" xr:uid="{FC92766E-E195-49CE-BD86-EAB6C7C525EC}"/>
    <cellStyle name="Millares 5 3 3 2 2 2" xfId="2585" xr:uid="{2F8AB148-B75E-4101-8395-AE3320147A68}"/>
    <cellStyle name="Millares 5 3 3 2 2 2 2" xfId="4951" xr:uid="{A92714F8-89C3-4866-A0AD-6476E4A38265}"/>
    <cellStyle name="Millares 5 3 3 2 2 3" xfId="3768" xr:uid="{9341FD09-3985-4FA6-8F73-E8F6C12592DC}"/>
    <cellStyle name="Millares 5 3 3 2 3" xfId="2167" xr:uid="{D9B07ECE-91D5-4F9C-86A4-7106D05AC563}"/>
    <cellStyle name="Millares 5 3 3 2 3 2" xfId="4533" xr:uid="{D6A2D7BE-7C47-48AB-9B6A-1AC4DAFB7827}"/>
    <cellStyle name="Millares 5 3 3 2 4" xfId="3350" xr:uid="{EDC91246-2FA5-4596-A880-98959DEC1A00}"/>
    <cellStyle name="Millares 5 3 3 3" xfId="1191" xr:uid="{89AE6E47-8558-4BA8-9718-6C1592C8A717}"/>
    <cellStyle name="Millares 5 3 3 3 2" xfId="2376" xr:uid="{B3DEF925-4ADC-4F0D-8277-E614224510DB}"/>
    <cellStyle name="Millares 5 3 3 3 2 2" xfId="4742" xr:uid="{AC189F9D-54BB-4FC1-8880-D8E170006D09}"/>
    <cellStyle name="Millares 5 3 3 3 3" xfId="3559" xr:uid="{37758879-3CD6-412D-9B27-226C40F7F150}"/>
    <cellStyle name="Millares 5 3 3 4" xfId="1784" xr:uid="{4F87C883-BB01-4A2B-9247-2753322842C2}"/>
    <cellStyle name="Millares 5 3 3 4 2" xfId="4150" xr:uid="{B3C997EA-6176-4CE3-B748-D8289D138676}"/>
    <cellStyle name="Millares 5 3 3 5" xfId="2967" xr:uid="{AACFB5EF-4E5A-46E7-BEBB-47B0F10328EB}"/>
    <cellStyle name="Millares 5 3 4" xfId="953" xr:uid="{02015EE5-BB7B-4191-A34A-C9DE41E0C2D0}"/>
    <cellStyle name="Millares 5 3 4 2" xfId="1373" xr:uid="{53ADED2D-4CC9-4F40-8B2C-439048B49A63}"/>
    <cellStyle name="Millares 5 3 4 2 2" xfId="2557" xr:uid="{86029190-48D3-4019-9944-6AAB74AB7FD1}"/>
    <cellStyle name="Millares 5 3 4 2 2 2" xfId="4923" xr:uid="{18A51A75-82CC-4AD0-8CEF-7B00EF4EF27F}"/>
    <cellStyle name="Millares 5 3 4 2 3" xfId="3740" xr:uid="{695955B6-442C-403E-9D8E-886A3CA528D0}"/>
    <cellStyle name="Millares 5 3 4 3" xfId="2139" xr:uid="{A6C13F73-7CBF-4E43-9D66-36C393D4F9C8}"/>
    <cellStyle name="Millares 5 3 4 3 2" xfId="4505" xr:uid="{00B131A5-903A-43E8-9DF7-F5B3E8EB112B}"/>
    <cellStyle name="Millares 5 3 4 4" xfId="3322" xr:uid="{BAEA58A1-5340-4DFF-BCDA-CF01C876D2E7}"/>
    <cellStyle name="Millares 5 3 5" xfId="1163" xr:uid="{734CE033-ABEC-4A75-8A4A-BAC32FFC1799}"/>
    <cellStyle name="Millares 5 3 5 2" xfId="2348" xr:uid="{60AFBF10-08DD-40F0-A1FB-E9EAE7A0DD54}"/>
    <cellStyle name="Millares 5 3 5 2 2" xfId="4714" xr:uid="{DEEF6162-0E88-4370-B73C-C1AD51F00681}"/>
    <cellStyle name="Millares 5 3 5 3" xfId="3531" xr:uid="{A2126165-FBED-41E1-805A-4DEFF3BC3B73}"/>
    <cellStyle name="Millares 5 3 6" xfId="1756" xr:uid="{EDB43F00-4809-44C9-8D82-C1A83CF518D7}"/>
    <cellStyle name="Millares 5 3 6 2" xfId="4122" xr:uid="{02BB4308-E316-4ECF-8663-FA83EB07A840}"/>
    <cellStyle name="Millares 5 3 7" xfId="2939" xr:uid="{83D13FD9-3523-43A6-943D-FCA93DB7318A}"/>
    <cellStyle name="Millares 5 3 8" xfId="5350" xr:uid="{7DBD91AD-2C65-4488-B35A-EA7B8811EC04}"/>
    <cellStyle name="Millares 5 4" xfId="200" xr:uid="{0BD0DA7A-9651-4CF9-90F8-7380F104DF4E}"/>
    <cellStyle name="Millares 5 4 2" xfId="5375" xr:uid="{75518864-F84B-4D9E-B8F4-47BA50DCB2D7}"/>
    <cellStyle name="Millares 5 5" xfId="189" xr:uid="{E769589C-3131-4D98-85CA-C344FCAA4851}"/>
    <cellStyle name="Millares 5 5 2" xfId="995" xr:uid="{5E0844A4-5C42-404D-81B3-8CBD816E48B4}"/>
    <cellStyle name="Millares 5 5 2 2" xfId="1415" xr:uid="{80E32B53-705B-4393-973C-B866A16C2894}"/>
    <cellStyle name="Millares 5 5 2 2 2" xfId="2599" xr:uid="{1C17F1A9-2F19-4503-BEBC-636B3DD21AAF}"/>
    <cellStyle name="Millares 5 5 2 2 2 2" xfId="4965" xr:uid="{622356D8-82DD-44D9-8F7C-6BE2AA223BC2}"/>
    <cellStyle name="Millares 5 5 2 2 3" xfId="3782" xr:uid="{2255AF76-69B5-4E99-B3CD-BDBF02AA5698}"/>
    <cellStyle name="Millares 5 5 2 3" xfId="2181" xr:uid="{2AB071F4-924A-4127-BAA3-2E86D65B13F5}"/>
    <cellStyle name="Millares 5 5 2 3 2" xfId="4547" xr:uid="{C66DC953-0E53-4B94-8F11-B108D256EDC3}"/>
    <cellStyle name="Millares 5 5 2 4" xfId="3364" xr:uid="{2843B0EC-03E2-4361-8EBD-E08920F2DE98}"/>
    <cellStyle name="Millares 5 5 3" xfId="1205" xr:uid="{DCF0AA3F-DECC-4B01-8911-73734C0E6B46}"/>
    <cellStyle name="Millares 5 5 3 2" xfId="2390" xr:uid="{6880F7AE-6EC6-434A-879F-95DF69F23B43}"/>
    <cellStyle name="Millares 5 5 3 2 2" xfId="4756" xr:uid="{CBD2FE2D-1C62-4A90-999A-0DC2D8C542EC}"/>
    <cellStyle name="Millares 5 5 3 3" xfId="3573" xr:uid="{193BCF34-5AF5-4F14-8B6C-5A5AB014B3B7}"/>
    <cellStyle name="Millares 5 5 4" xfId="1798" xr:uid="{35DEB959-53D1-421B-8E09-075D7F8A5809}"/>
    <cellStyle name="Millares 5 5 4 2" xfId="4164" xr:uid="{AFD5FC28-E315-400B-B97C-D631B15230AE}"/>
    <cellStyle name="Millares 5 5 5" xfId="2981" xr:uid="{6734A21E-12C0-441F-9498-A90649B93B5D}"/>
    <cellStyle name="Millares 5 5 6" xfId="5400" xr:uid="{4B6F36C9-D33A-42A2-BCCD-5A3115B87540}"/>
    <cellStyle name="Millares 5 6" xfId="732" xr:uid="{43EA5898-B827-4793-90A9-A3CFB4186C31}"/>
    <cellStyle name="Millares 5 6 2" xfId="1119" xr:uid="{4CF10637-77FB-45C4-BC4D-C09D779F7371}"/>
    <cellStyle name="Millares 5 6 2 2" xfId="1539" xr:uid="{42563A7B-0AF7-440C-870A-55175F6F829A}"/>
    <cellStyle name="Millares 5 6 2 2 2" xfId="2722" xr:uid="{B53F0799-B4B7-4884-B2AB-9D3FD15ADCDF}"/>
    <cellStyle name="Millares 5 6 2 2 2 2" xfId="5088" xr:uid="{B5E47E85-DA08-466B-A352-47F01E4C2758}"/>
    <cellStyle name="Millares 5 6 2 2 3" xfId="3905" xr:uid="{02B56548-D855-45E2-A4A1-E55C3DF3F7ED}"/>
    <cellStyle name="Millares 5 6 2 3" xfId="2304" xr:uid="{4391C145-276A-4441-BAEA-59D8B779C9E1}"/>
    <cellStyle name="Millares 5 6 2 3 2" xfId="4670" xr:uid="{63FA6FB6-4161-402A-A18B-ED910C2F6D6D}"/>
    <cellStyle name="Millares 5 6 2 4" xfId="3487" xr:uid="{DFD0C589-49C9-427A-A6DE-6B81DC99FE8C}"/>
    <cellStyle name="Millares 5 6 3" xfId="1329" xr:uid="{DFC38C0D-9018-4861-8FD6-453CF5A6D3DD}"/>
    <cellStyle name="Millares 5 6 3 2" xfId="2513" xr:uid="{848B74D8-2957-4F93-9F08-07A6D6CBD14A}"/>
    <cellStyle name="Millares 5 6 3 2 2" xfId="4879" xr:uid="{B71D4BF9-AD63-4469-A78F-192285F7A22F}"/>
    <cellStyle name="Millares 5 6 3 3" xfId="3696" xr:uid="{78462895-CFBC-4368-B088-D106EA2EF507}"/>
    <cellStyle name="Millares 5 6 4" xfId="1921" xr:uid="{A1B1741A-D586-49F8-8D16-C0D07C57EA6C}"/>
    <cellStyle name="Millares 5 6 4 2" xfId="4287" xr:uid="{BB076A02-4B63-4903-AEA4-C135DF82C0EC}"/>
    <cellStyle name="Millares 5 6 5" xfId="3104" xr:uid="{8108FC18-DF80-4C6E-9D9F-F4B898A3B4CE}"/>
    <cellStyle name="Millares 5 6 6" xfId="5425" xr:uid="{FF54C9D3-4FC7-49EC-B4BF-8845A23CF814}"/>
    <cellStyle name="Millares 5 7" xfId="5451" xr:uid="{7264F3F4-A406-4EC3-B716-229C8FDB5B8F}"/>
    <cellStyle name="Millares 5 8" xfId="5477" xr:uid="{A8EE7BEF-5D1B-458E-BC2C-DA3A8F054144}"/>
    <cellStyle name="Millares 5 9" xfId="5296" xr:uid="{0E36A782-6578-43E8-A3DF-6488C34D2FC6}"/>
    <cellStyle name="Millares 6" xfId="78" xr:uid="{9008DB2E-E5AA-462D-8E7D-AD2C47EC0BAF}"/>
    <cellStyle name="Millares 6 2" xfId="129" xr:uid="{90703010-5992-4752-9297-BFEA0AC9836E}"/>
    <cellStyle name="Millares 6 2 2" xfId="5328" xr:uid="{E0BC92E6-44EF-44BB-80FD-2547F208744E}"/>
    <cellStyle name="Millares 6 3" xfId="139" xr:uid="{BC48930B-980A-43C3-A08F-58E9CC65DA88}"/>
    <cellStyle name="Millares 6 3 2" xfId="221" xr:uid="{4785E7D6-504B-4D7C-B807-7D35C13CFF04}"/>
    <cellStyle name="Millares 6 3 2 2" xfId="1023" xr:uid="{0743A946-B07B-46D5-B6CE-9C2DEDDA6906}"/>
    <cellStyle name="Millares 6 3 2 2 2" xfId="1443" xr:uid="{99004C67-6719-4A99-95A3-1E209407C8FD}"/>
    <cellStyle name="Millares 6 3 2 2 2 2" xfId="2627" xr:uid="{095FDE79-D428-45D4-9F7E-5CBEC5382377}"/>
    <cellStyle name="Millares 6 3 2 2 2 2 2" xfId="4993" xr:uid="{25FEC135-7E58-4A03-8958-7049BBED9466}"/>
    <cellStyle name="Millares 6 3 2 2 2 3" xfId="3810" xr:uid="{BF0EBB9D-03D6-4A80-B81A-EFE478B3FF10}"/>
    <cellStyle name="Millares 6 3 2 2 3" xfId="2209" xr:uid="{2ED5A0AB-A757-4DCF-8310-134D4CE46869}"/>
    <cellStyle name="Millares 6 3 2 2 3 2" xfId="4575" xr:uid="{12EB0564-906E-4C83-83F3-F3388710E772}"/>
    <cellStyle name="Millares 6 3 2 2 4" xfId="3392" xr:uid="{27FDB9D6-AB85-4A85-9159-B2E7BCCB1374}"/>
    <cellStyle name="Millares 6 3 2 3" xfId="1233" xr:uid="{7824066F-0C41-4A25-97E6-C05EEF35990F}"/>
    <cellStyle name="Millares 6 3 2 3 2" xfId="2418" xr:uid="{AA815E1A-1596-41EC-8B58-4709D70856CC}"/>
    <cellStyle name="Millares 6 3 2 3 2 2" xfId="4784" xr:uid="{DEB0E0EB-E069-4A6F-80B2-7457E22413E3}"/>
    <cellStyle name="Millares 6 3 2 3 3" xfId="3601" xr:uid="{84543108-6FEC-48AA-B1E1-7CD65AE7847A}"/>
    <cellStyle name="Millares 6 3 2 4" xfId="1826" xr:uid="{5B5B3036-1671-4A67-BA27-A9F43D1C59E9}"/>
    <cellStyle name="Millares 6 3 2 4 2" xfId="4192" xr:uid="{2011EAF7-3056-4861-8090-ABDAD754FB67}"/>
    <cellStyle name="Millares 6 3 2 5" xfId="3009" xr:uid="{80CAE12E-FE34-45DC-B769-DB68E6F5EC39}"/>
    <cellStyle name="Millares 6 3 3" xfId="175" xr:uid="{829E198E-14C0-4C3C-83F6-6E50618446DE}"/>
    <cellStyle name="Millares 6 3 3 2" xfId="982" xr:uid="{340A71F8-9E02-464D-BF70-221DBDADDBB6}"/>
    <cellStyle name="Millares 6 3 3 2 2" xfId="1402" xr:uid="{BF916BF4-F55D-434B-BB33-C91B39E9F62B}"/>
    <cellStyle name="Millares 6 3 3 2 2 2" xfId="2586" xr:uid="{321C0F1C-57A8-401C-9078-265C164AA1ED}"/>
    <cellStyle name="Millares 6 3 3 2 2 2 2" xfId="4952" xr:uid="{0E469562-86F3-4D06-988A-5A6070172C3D}"/>
    <cellStyle name="Millares 6 3 3 2 2 3" xfId="3769" xr:uid="{D7DBEF8B-E4B1-47CB-B8F7-E672EC6AFA22}"/>
    <cellStyle name="Millares 6 3 3 2 3" xfId="2168" xr:uid="{D14F0CBA-593B-4B17-BACF-9AC9856A71B5}"/>
    <cellStyle name="Millares 6 3 3 2 3 2" xfId="4534" xr:uid="{9D1E7BE2-A4F7-4AE8-BFE9-81CAC6623C36}"/>
    <cellStyle name="Millares 6 3 3 2 4" xfId="3351" xr:uid="{D6A26617-DBB3-4FC2-B998-0B3FE6B4852C}"/>
    <cellStyle name="Millares 6 3 3 3" xfId="1192" xr:uid="{D752DE7A-D543-415E-A60E-4B5B90686031}"/>
    <cellStyle name="Millares 6 3 3 3 2" xfId="2377" xr:uid="{7622A130-15EF-485A-926A-120D77709748}"/>
    <cellStyle name="Millares 6 3 3 3 2 2" xfId="4743" xr:uid="{A2416506-562C-4066-94F7-36098F50DB64}"/>
    <cellStyle name="Millares 6 3 3 3 3" xfId="3560" xr:uid="{A68747B2-3B49-422B-8E61-A6C913966281}"/>
    <cellStyle name="Millares 6 3 3 4" xfId="1785" xr:uid="{285C3461-3583-452C-B08D-FF88154F9475}"/>
    <cellStyle name="Millares 6 3 3 4 2" xfId="4151" xr:uid="{F50CA3B9-C59F-4877-B1D4-A4DBBB0E9F63}"/>
    <cellStyle name="Millares 6 3 3 5" xfId="2968" xr:uid="{FDD1BDA5-3B49-4113-A2B6-1A9B85BD47AE}"/>
    <cellStyle name="Millares 6 3 4" xfId="954" xr:uid="{66EEBC05-4C8C-4682-8527-8B653C3907E0}"/>
    <cellStyle name="Millares 6 3 4 2" xfId="1374" xr:uid="{F0C543E8-69D9-4143-81F7-81F268025BA3}"/>
    <cellStyle name="Millares 6 3 4 2 2" xfId="2558" xr:uid="{580E92A9-7B38-483F-99D4-D4A67A38EF83}"/>
    <cellStyle name="Millares 6 3 4 2 2 2" xfId="4924" xr:uid="{07C1B2F5-DF18-48EA-B8D2-8169D37C23E7}"/>
    <cellStyle name="Millares 6 3 4 2 3" xfId="3741" xr:uid="{1ED11E56-0C36-4765-B318-32CD765BC555}"/>
    <cellStyle name="Millares 6 3 4 3" xfId="2140" xr:uid="{8DB2704C-A609-44D3-A62E-9E732267A33F}"/>
    <cellStyle name="Millares 6 3 4 3 2" xfId="4506" xr:uid="{07352174-B37A-4C2B-B3F8-F36CF62F8677}"/>
    <cellStyle name="Millares 6 3 4 4" xfId="3323" xr:uid="{360BE2DE-0CCC-4B97-9332-851C1A53EFFD}"/>
    <cellStyle name="Millares 6 3 5" xfId="1164" xr:uid="{192DB2C7-4F35-4D13-AC73-F963BE17CCC4}"/>
    <cellStyle name="Millares 6 3 5 2" xfId="2349" xr:uid="{B87EA75E-F84A-41B7-97C2-D1754B6D3DD9}"/>
    <cellStyle name="Millares 6 3 5 2 2" xfId="4715" xr:uid="{AEE92276-45B0-48F0-B766-669D7CE86BDB}"/>
    <cellStyle name="Millares 6 3 5 3" xfId="3532" xr:uid="{1E26C1E2-2921-4AF6-966F-6AC48E42E4DD}"/>
    <cellStyle name="Millares 6 3 6" xfId="1757" xr:uid="{09201C62-89CC-4107-98B9-D3EA37892178}"/>
    <cellStyle name="Millares 6 3 6 2" xfId="4123" xr:uid="{56C513E8-A48A-4A3C-8561-FA11522656FA}"/>
    <cellStyle name="Millares 6 3 7" xfId="2940" xr:uid="{0A5714E9-2A9C-442B-B0AE-1637366198FE}"/>
    <cellStyle name="Millares 6 3 8" xfId="5353" xr:uid="{43D77FA1-C3C8-402B-9EC6-BBB0346E4EFC}"/>
    <cellStyle name="Millares 6 4" xfId="205" xr:uid="{5562FF6F-11FC-4F38-B58E-D03D8F557B7D}"/>
    <cellStyle name="Millares 6 4 2" xfId="5378" xr:uid="{37AB5D20-AE88-4782-9833-745A963F7FC6}"/>
    <cellStyle name="Millares 6 5" xfId="190" xr:uid="{37F606AB-1039-48DC-BD7B-A685B3937ACF}"/>
    <cellStyle name="Millares 6 5 2" xfId="996" xr:uid="{890A2CEF-8F58-4F49-A2F1-413A8DE1BA61}"/>
    <cellStyle name="Millares 6 5 2 2" xfId="1416" xr:uid="{FB28B874-9A3E-443F-9667-8C91342B668C}"/>
    <cellStyle name="Millares 6 5 2 2 2" xfId="2600" xr:uid="{3D5AA75C-268D-4564-85AB-A74A4BA6F291}"/>
    <cellStyle name="Millares 6 5 2 2 2 2" xfId="4966" xr:uid="{DB2A1DEC-308E-40E9-98AA-2DAFA83EE3EA}"/>
    <cellStyle name="Millares 6 5 2 2 3" xfId="3783" xr:uid="{E9BE1632-CB5E-4A34-9CD5-F7C830CA51B0}"/>
    <cellStyle name="Millares 6 5 2 3" xfId="2182" xr:uid="{3596EE8D-49F1-4435-B9D2-51750FD23A32}"/>
    <cellStyle name="Millares 6 5 2 3 2" xfId="4548" xr:uid="{9E1FFB0A-385F-47D2-A0FC-61A72DCB9C83}"/>
    <cellStyle name="Millares 6 5 2 4" xfId="3365" xr:uid="{5AA288AE-8E6C-4929-8946-967F109BE3BB}"/>
    <cellStyle name="Millares 6 5 3" xfId="1206" xr:uid="{DE1BC7DA-36E3-46D5-B0D4-959A8EE37B88}"/>
    <cellStyle name="Millares 6 5 3 2" xfId="2391" xr:uid="{1655358D-411B-4374-B6A6-FF46B36658B4}"/>
    <cellStyle name="Millares 6 5 3 2 2" xfId="4757" xr:uid="{09082C38-EC36-439D-BF0F-D36216A8BB7F}"/>
    <cellStyle name="Millares 6 5 3 3" xfId="3574" xr:uid="{82A7792D-CC8E-44F1-8998-CF6594C0A34C}"/>
    <cellStyle name="Millares 6 5 4" xfId="1799" xr:uid="{7963B9CE-D4BE-4CF2-B21B-2D1F9158C4CD}"/>
    <cellStyle name="Millares 6 5 4 2" xfId="4165" xr:uid="{155370EE-EB8D-4F0C-9BAE-4FD7EFE990FD}"/>
    <cellStyle name="Millares 6 5 5" xfId="2982" xr:uid="{4FBFB7E3-C713-48ED-B982-01CD7CA197A7}"/>
    <cellStyle name="Millares 6 5 6" xfId="5403" xr:uid="{51F06ED8-E1A7-4559-A49F-15980CE36C91}"/>
    <cellStyle name="Millares 6 6" xfId="712" xr:uid="{2C6C00A4-2C3E-426D-A116-B4ACF88BA647}"/>
    <cellStyle name="Millares 6 6 2" xfId="1105" xr:uid="{85433A87-E0F6-457E-98AF-B4DD17BFA2D8}"/>
    <cellStyle name="Millares 6 6 2 2" xfId="1525" xr:uid="{D64002FA-2C1A-471B-B3AA-D0C8AE30D803}"/>
    <cellStyle name="Millares 6 6 2 2 2" xfId="2708" xr:uid="{E8F70B36-2723-4949-B4A6-26362298A8E9}"/>
    <cellStyle name="Millares 6 6 2 2 2 2" xfId="5074" xr:uid="{11997F3B-90F1-44BC-A94C-E4061A466C7A}"/>
    <cellStyle name="Millares 6 6 2 2 3" xfId="3891" xr:uid="{2227A7E9-4A16-492C-A509-E515E52588F7}"/>
    <cellStyle name="Millares 6 6 2 3" xfId="2290" xr:uid="{437C585C-5BDB-473B-BFB5-0290416B663F}"/>
    <cellStyle name="Millares 6 6 2 3 2" xfId="4656" xr:uid="{48E80C25-8B66-46F0-AD56-B7A62FF2EC15}"/>
    <cellStyle name="Millares 6 6 2 4" xfId="3473" xr:uid="{AA292DE5-C63D-4E4E-BC43-977B6C17EE25}"/>
    <cellStyle name="Millares 6 6 3" xfId="1315" xr:uid="{975C3ACB-9F62-45AB-B6CC-E19640107412}"/>
    <cellStyle name="Millares 6 6 3 2" xfId="2499" xr:uid="{AC510849-1E31-4E23-89C2-2269427D2D5B}"/>
    <cellStyle name="Millares 6 6 3 2 2" xfId="4865" xr:uid="{CCAB986E-C90C-499E-B554-A7A722C29558}"/>
    <cellStyle name="Millares 6 6 3 3" xfId="3682" xr:uid="{3586DEBE-EA49-4DC7-BC2B-C8D09B44DE78}"/>
    <cellStyle name="Millares 6 6 4" xfId="1907" xr:uid="{7094ADB0-C97F-4472-B42A-0FFC8A85805C}"/>
    <cellStyle name="Millares 6 6 4 2" xfId="4273" xr:uid="{98186E9E-E616-41B5-B778-F3C88E7931BB}"/>
    <cellStyle name="Millares 6 6 5" xfId="3090" xr:uid="{9A8BC17D-048A-4C3B-B35A-BE6DA2A19412}"/>
    <cellStyle name="Millares 6 6 6" xfId="5428" xr:uid="{14CC2081-D6F5-494D-BA2F-B5BDB0F23F79}"/>
    <cellStyle name="Millares 6 7" xfId="5454" xr:uid="{0BA89028-187C-4E5F-BA2C-E9CB122598CD}"/>
    <cellStyle name="Millares 6 8" xfId="5480" xr:uid="{79AFF06F-8AE5-40AA-9247-B1871E626B92}"/>
    <cellStyle name="Millares 6 9" xfId="5300" xr:uid="{D2795041-6189-4E43-9072-7EF6B3E1FE7F}"/>
    <cellStyle name="Millares 7" xfId="76" xr:uid="{3D93FB72-EA4A-415E-A9C5-934C3D160EB6}"/>
    <cellStyle name="Millares 7 2" xfId="128" xr:uid="{AB831821-9F66-4229-9E76-7517F50E44FA}"/>
    <cellStyle name="Millares 7 2 2" xfId="218" xr:uid="{DDFEEAA7-C8AE-4BDF-A182-AB581ECF236A}"/>
    <cellStyle name="Millares 7 2 2 2" xfId="1020" xr:uid="{3C95B9E4-4C20-4C4C-96CC-0B3CB606CBFA}"/>
    <cellStyle name="Millares 7 2 2 2 2" xfId="1440" xr:uid="{DB3A2A54-663C-445B-B971-C7B6E6E80723}"/>
    <cellStyle name="Millares 7 2 2 2 2 2" xfId="2624" xr:uid="{6C63257B-8FBA-486E-AD3C-8A91AFF57753}"/>
    <cellStyle name="Millares 7 2 2 2 2 2 2" xfId="4990" xr:uid="{64E1C412-265F-4CAC-ADAF-6A750A41D60A}"/>
    <cellStyle name="Millares 7 2 2 2 2 3" xfId="3807" xr:uid="{C3BB8E85-BE9F-4C09-8DAD-F66CF564C3EB}"/>
    <cellStyle name="Millares 7 2 2 2 3" xfId="2206" xr:uid="{9E719955-D581-4006-8F99-E83755D7A0FC}"/>
    <cellStyle name="Millares 7 2 2 2 3 2" xfId="4572" xr:uid="{640F0191-5115-46BE-8433-A9D1A74C3658}"/>
    <cellStyle name="Millares 7 2 2 2 4" xfId="3389" xr:uid="{7D956E3F-62B8-4294-879E-831F5E010897}"/>
    <cellStyle name="Millares 7 2 2 3" xfId="1230" xr:uid="{7D3F758B-485E-4372-A073-14DC17C016E5}"/>
    <cellStyle name="Millares 7 2 2 3 2" xfId="2415" xr:uid="{CA9ABCB6-E9C4-4CE5-B778-CF14641FBF41}"/>
    <cellStyle name="Millares 7 2 2 3 2 2" xfId="4781" xr:uid="{5548ACEC-1DD8-4B25-9C77-86BB7F31FA6A}"/>
    <cellStyle name="Millares 7 2 2 3 3" xfId="3598" xr:uid="{E3CF5F77-052E-4272-9488-BC9F342AAAB0}"/>
    <cellStyle name="Millares 7 2 2 4" xfId="1823" xr:uid="{11AB0DA7-B714-4FCE-89C4-A32A28312109}"/>
    <cellStyle name="Millares 7 2 2 4 2" xfId="4189" xr:uid="{24FCB01F-AC8A-4164-BE73-9B4E5CFA1CF1}"/>
    <cellStyle name="Millares 7 2 2 5" xfId="3006" xr:uid="{83A465FF-1464-4319-A06E-177CA5D94404}"/>
    <cellStyle name="Millares 7 2 3" xfId="172" xr:uid="{4D9366BB-BD8B-4D35-9504-820987773060}"/>
    <cellStyle name="Millares 7 2 3 2" xfId="979" xr:uid="{2C05A639-019C-48EA-98FB-7CA97C19DADD}"/>
    <cellStyle name="Millares 7 2 3 2 2" xfId="1399" xr:uid="{75EA8B58-D590-4FDE-946A-078360F98F83}"/>
    <cellStyle name="Millares 7 2 3 2 2 2" xfId="2583" xr:uid="{4563CC35-85D8-463F-B944-5EBDE0A1C439}"/>
    <cellStyle name="Millares 7 2 3 2 2 2 2" xfId="4949" xr:uid="{2CD69489-AA53-4FC0-84E0-64EBEB114020}"/>
    <cellStyle name="Millares 7 2 3 2 2 3" xfId="3766" xr:uid="{3AA59083-16BF-478E-B0C4-2E87EB6CD149}"/>
    <cellStyle name="Millares 7 2 3 2 3" xfId="2165" xr:uid="{BDFF81B4-B129-4E26-B93F-E36EAE3A84B3}"/>
    <cellStyle name="Millares 7 2 3 2 3 2" xfId="4531" xr:uid="{10877143-54A7-4EAA-83CB-9C7587EBB44D}"/>
    <cellStyle name="Millares 7 2 3 2 4" xfId="3348" xr:uid="{98147C74-F45F-4727-8296-1A3848DE901C}"/>
    <cellStyle name="Millares 7 2 3 3" xfId="1189" xr:uid="{B1F1630A-1B11-4CA4-B2AB-13B610F6E89B}"/>
    <cellStyle name="Millares 7 2 3 3 2" xfId="2374" xr:uid="{43DD3687-9841-4FDE-B951-45E6635F5485}"/>
    <cellStyle name="Millares 7 2 3 3 2 2" xfId="4740" xr:uid="{05D81402-C118-4810-80E5-5628FFE0433C}"/>
    <cellStyle name="Millares 7 2 3 3 3" xfId="3557" xr:uid="{2E4558BC-DDC9-4EDD-BB46-7615DF250D61}"/>
    <cellStyle name="Millares 7 2 3 4" xfId="1782" xr:uid="{55E27049-F992-4C9B-B528-17F04E1F924E}"/>
    <cellStyle name="Millares 7 2 3 4 2" xfId="4148" xr:uid="{2EDCD264-D79F-491B-B632-77654D409B7B}"/>
    <cellStyle name="Millares 7 2 3 5" xfId="2965" xr:uid="{9099385B-7C9C-4F03-9C85-4516BA0E404F}"/>
    <cellStyle name="Millares 7 2 4" xfId="548" xr:uid="{884B82C5-CA92-4167-B83F-CD4596AC22AB}"/>
    <cellStyle name="Millares 7 2 5" xfId="951" xr:uid="{9DE30221-3C57-41E5-A2D9-461AFD726076}"/>
    <cellStyle name="Millares 7 2 5 2" xfId="1371" xr:uid="{397EDBB3-AF14-4624-B5FA-83DE5A847BCE}"/>
    <cellStyle name="Millares 7 2 5 2 2" xfId="2555" xr:uid="{3638A6E0-5BB5-4012-8E3E-BA0220D77971}"/>
    <cellStyle name="Millares 7 2 5 2 2 2" xfId="4921" xr:uid="{169F5600-B51C-439C-B2A8-D2E780852B29}"/>
    <cellStyle name="Millares 7 2 5 2 3" xfId="3738" xr:uid="{980EAA33-1AF1-49F6-BDE5-28B83780067A}"/>
    <cellStyle name="Millares 7 2 5 3" xfId="2137" xr:uid="{3FA0C3CD-553B-4C0E-BD9F-E2071D7CDB4D}"/>
    <cellStyle name="Millares 7 2 5 3 2" xfId="4503" xr:uid="{6221B509-E1A3-4143-B5FD-C9A77DB062F7}"/>
    <cellStyle name="Millares 7 2 5 4" xfId="3320" xr:uid="{A1718924-5B73-4B6C-8D6F-93474AAFB73F}"/>
    <cellStyle name="Millares 7 2 6" xfId="1161" xr:uid="{31D539AE-7C70-4E59-8305-2488FCE7F48F}"/>
    <cellStyle name="Millares 7 2 6 2" xfId="2346" xr:uid="{13BB147F-CF3C-4B52-ADD2-BFFBD96A3E66}"/>
    <cellStyle name="Millares 7 2 6 2 2" xfId="4712" xr:uid="{E73DDCE7-5A78-452A-9CFE-83D442D72BDC}"/>
    <cellStyle name="Millares 7 2 6 3" xfId="3529" xr:uid="{67AEAD2B-7C14-4B60-8554-3EEAFA17F939}"/>
    <cellStyle name="Millares 7 2 7" xfId="1754" xr:uid="{8BF54CBC-084C-408B-96DC-D82EF15A0E1C}"/>
    <cellStyle name="Millares 7 2 7 2" xfId="4120" xr:uid="{1D059917-436D-419E-826C-A132EB6860B2}"/>
    <cellStyle name="Millares 7 2 8" xfId="2937" xr:uid="{C7177956-70CD-4E52-9A40-7B71D156077B}"/>
    <cellStyle name="Millares 7 2 9" xfId="5325" xr:uid="{9B031F7B-690A-4DD3-899A-740492A7D93F}"/>
    <cellStyle name="Millares 7 3" xfId="141" xr:uid="{519450C5-A90B-439B-A7BC-CF53A34CCEE3}"/>
    <cellStyle name="Millares 7 4" xfId="206" xr:uid="{FCB19F66-BF22-43A6-BD5E-1EE43554145D}"/>
    <cellStyle name="Millares 7 4 2" xfId="1008" xr:uid="{6BFBE630-11BF-4D68-875A-2263882DA9E8}"/>
    <cellStyle name="Millares 7 4 2 2" xfId="1428" xr:uid="{107B61B2-AB1E-4331-B410-B0F0D7FA4098}"/>
    <cellStyle name="Millares 7 4 2 2 2" xfId="2612" xr:uid="{C1233926-30DA-472D-A16C-45391647166D}"/>
    <cellStyle name="Millares 7 4 2 2 2 2" xfId="4978" xr:uid="{63EA57A8-D5A3-40A1-9CB5-37E30CCB8624}"/>
    <cellStyle name="Millares 7 4 2 2 3" xfId="3795" xr:uid="{C45727CE-9C7A-483B-8180-7A7F2596CB9B}"/>
    <cellStyle name="Millares 7 4 2 3" xfId="2194" xr:uid="{DAED7DCE-EB09-47B1-B7C3-71D59174899C}"/>
    <cellStyle name="Millares 7 4 2 3 2" xfId="4560" xr:uid="{6BBE3F61-4D3B-4A38-A3FF-D2D77EFC182E}"/>
    <cellStyle name="Millares 7 4 2 4" xfId="3377" xr:uid="{DC7C7C7A-6B20-48E9-89D1-D1E3F2DAB194}"/>
    <cellStyle name="Millares 7 4 3" xfId="1218" xr:uid="{010AD06E-5E7D-4E0C-9BC1-B61AD4B69EB0}"/>
    <cellStyle name="Millares 7 4 3 2" xfId="2403" xr:uid="{55919585-0425-416B-845F-D0711A547811}"/>
    <cellStyle name="Millares 7 4 3 2 2" xfId="4769" xr:uid="{3ED4CEDE-FCC8-4AF6-9813-B80EF0E3D3EE}"/>
    <cellStyle name="Millares 7 4 3 3" xfId="3586" xr:uid="{9F5EF138-CFEA-4DE5-BDD0-23F86A10F303}"/>
    <cellStyle name="Millares 7 4 4" xfId="1811" xr:uid="{D9A5C9E9-F19F-4B55-907D-A46A5DEF3D4A}"/>
    <cellStyle name="Millares 7 4 4 2" xfId="4177" xr:uid="{73049F82-4D0F-47F7-8D2D-5055537974B8}"/>
    <cellStyle name="Millares 7 4 5" xfId="2994" xr:uid="{B7315873-F62C-42FB-8E96-53A4C145BEE3}"/>
    <cellStyle name="Millares 7 4 6" xfId="5374" xr:uid="{7529E5E5-224C-4323-BA71-B90C58963E27}"/>
    <cellStyle name="Millares 7 5" xfId="159" xr:uid="{82CEEE9C-ABC8-4A63-964D-0375C02FDAED}"/>
    <cellStyle name="Millares 7 5 2" xfId="966" xr:uid="{B0AE5EF0-C65A-46A6-96AF-026DF77A6E8D}"/>
    <cellStyle name="Millares 7 5 2 2" xfId="1386" xr:uid="{C793ECE0-0666-4FD0-A52D-A1BA10A6126F}"/>
    <cellStyle name="Millares 7 5 2 2 2" xfId="2570" xr:uid="{12566538-7014-4653-B150-4062C7241513}"/>
    <cellStyle name="Millares 7 5 2 2 2 2" xfId="4936" xr:uid="{BAC3CD20-E5FB-4C98-BDCB-471B50F8D525}"/>
    <cellStyle name="Millares 7 5 2 2 3" xfId="3753" xr:uid="{FD635E88-3DB2-453E-8AAF-8E80D97CD08A}"/>
    <cellStyle name="Millares 7 5 2 3" xfId="2152" xr:uid="{05AF2120-D2D7-4380-89EA-EAF1BCFF3F47}"/>
    <cellStyle name="Millares 7 5 2 3 2" xfId="4518" xr:uid="{16C03A59-3252-47DB-BE2F-6B97B889DD3B}"/>
    <cellStyle name="Millares 7 5 2 4" xfId="3335" xr:uid="{0EC73E69-DC07-4A47-B932-53C1F8274908}"/>
    <cellStyle name="Millares 7 5 3" xfId="1176" xr:uid="{1CB2DDBA-0F10-48FD-9604-F2D9F9CA72FA}"/>
    <cellStyle name="Millares 7 5 3 2" xfId="2361" xr:uid="{45B2790B-A788-4F3F-9837-A3B01F3CBE48}"/>
    <cellStyle name="Millares 7 5 3 2 2" xfId="4727" xr:uid="{A1DC3C40-B242-451D-9372-81B4F1DB5A31}"/>
    <cellStyle name="Millares 7 5 3 3" xfId="3544" xr:uid="{293C372B-73AB-4F04-BA40-949D10EEDA5E}"/>
    <cellStyle name="Millares 7 5 4" xfId="1769" xr:uid="{48F2377B-1916-4F71-A954-B756D9E85516}"/>
    <cellStyle name="Millares 7 5 4 2" xfId="4135" xr:uid="{E0213125-3961-4C0E-A499-D0D2ED997AF7}"/>
    <cellStyle name="Millares 7 5 5" xfId="2952" xr:uid="{F2226188-038A-4130-9558-91EB6CD91E0A}"/>
    <cellStyle name="Millares 7 5 6" xfId="5399" xr:uid="{4B4A220C-CA8D-46A4-A6A4-39B00E74925A}"/>
    <cellStyle name="Millares 7 6" xfId="111" xr:uid="{8A12438C-5D62-43EA-AB23-24BC0E03F316}"/>
    <cellStyle name="Millares 7 6 2" xfId="939" xr:uid="{048DFB6D-BD38-47D3-B84C-E22DE20B35B3}"/>
    <cellStyle name="Millares 7 6 2 2" xfId="1359" xr:uid="{6AA9F8CE-97C2-4139-AA6F-1C97F58B53D6}"/>
    <cellStyle name="Millares 7 6 2 2 2" xfId="2543" xr:uid="{2840371D-44FB-49A2-9C7A-FE19334E00B5}"/>
    <cellStyle name="Millares 7 6 2 2 2 2" xfId="4909" xr:uid="{FEA4F50C-50F7-4799-9DE2-A752ECE66B06}"/>
    <cellStyle name="Millares 7 6 2 2 3" xfId="3726" xr:uid="{4E59889E-DB6F-4C3D-A9E7-41038A3B9BEE}"/>
    <cellStyle name="Millares 7 6 2 3" xfId="2125" xr:uid="{B70DCA31-6DAE-4C3E-A94F-A86679144D1D}"/>
    <cellStyle name="Millares 7 6 2 3 2" xfId="4491" xr:uid="{BE2F6214-DFCB-44DE-900F-FCAAC77C4C1B}"/>
    <cellStyle name="Millares 7 6 2 4" xfId="3308" xr:uid="{C124A615-8F99-4EF1-9EB0-083F22B16AA0}"/>
    <cellStyle name="Millares 7 6 3" xfId="1149" xr:uid="{8EE811F7-9473-4DD0-931E-E2934FDAE318}"/>
    <cellStyle name="Millares 7 6 3 2" xfId="2334" xr:uid="{67A25D66-CE70-436B-9EE0-D511671DDA59}"/>
    <cellStyle name="Millares 7 6 3 2 2" xfId="4700" xr:uid="{D6D743D1-DEC0-4883-9FCE-933C3A10E448}"/>
    <cellStyle name="Millares 7 6 3 3" xfId="3517" xr:uid="{27AF0D9A-97AC-40E9-9E04-2486CFEF6A6D}"/>
    <cellStyle name="Millares 7 6 4" xfId="1742" xr:uid="{67EF73C9-C5A3-4FED-A476-6848412745C7}"/>
    <cellStyle name="Millares 7 6 4 2" xfId="4108" xr:uid="{407BE93C-107C-4EB8-BAB8-CB6444A41F0B}"/>
    <cellStyle name="Millares 7 6 5" xfId="2925" xr:uid="{07C41D89-1D73-4A6F-9D59-CCD85725D2ED}"/>
    <cellStyle name="Millares 7 6 6" xfId="5424" xr:uid="{870997F3-EC59-4170-B722-B5FD43D3EA66}"/>
    <cellStyle name="Millares 7 7" xfId="722" xr:uid="{C832C9D4-73DB-4522-A568-2F7FC01DCCAE}"/>
    <cellStyle name="Millares 7 7 2" xfId="1112" xr:uid="{1A63370F-8522-4518-9970-9C54407327FE}"/>
    <cellStyle name="Millares 7 7 2 2" xfId="1532" xr:uid="{971BC281-F363-451D-8578-429D6AB4C815}"/>
    <cellStyle name="Millares 7 7 2 2 2" xfId="2715" xr:uid="{13AF3750-5EC8-4957-849C-0393ADF5EE24}"/>
    <cellStyle name="Millares 7 7 2 2 2 2" xfId="5081" xr:uid="{87263F7C-C728-4F8C-8629-2CAC467D34AC}"/>
    <cellStyle name="Millares 7 7 2 2 3" xfId="3898" xr:uid="{51417350-2460-47C4-9611-A66D90E2814F}"/>
    <cellStyle name="Millares 7 7 2 3" xfId="2297" xr:uid="{AA4C2DCB-78E7-4FA2-8D17-C9C454287FC0}"/>
    <cellStyle name="Millares 7 7 2 3 2" xfId="4663" xr:uid="{AD5F608D-DCF2-4BD7-8EE8-00436E7BEA51}"/>
    <cellStyle name="Millares 7 7 2 4" xfId="3480" xr:uid="{9E1B6A26-B1B5-4D27-8C21-42B163A9C7B2}"/>
    <cellStyle name="Millares 7 7 3" xfId="1322" xr:uid="{5686EF29-8050-4D08-8959-490A4A4BF147}"/>
    <cellStyle name="Millares 7 7 3 2" xfId="2506" xr:uid="{EEE174F4-E9CD-40D7-8961-6D7B8E3EE086}"/>
    <cellStyle name="Millares 7 7 3 2 2" xfId="4872" xr:uid="{66C9D581-CC85-4948-89EB-13AD035C58C8}"/>
    <cellStyle name="Millares 7 7 3 3" xfId="3689" xr:uid="{5569A309-72CC-4A26-A91B-70285052EA5F}"/>
    <cellStyle name="Millares 7 7 4" xfId="1914" xr:uid="{57D9820B-A187-43A5-A03E-FE392D3E9DA8}"/>
    <cellStyle name="Millares 7 7 4 2" xfId="4280" xr:uid="{74E887FD-427F-4484-B30E-FB216E8201E0}"/>
    <cellStyle name="Millares 7 7 5" xfId="3097" xr:uid="{481C4AD8-3AE9-4EA7-85AE-F2EEB5F68500}"/>
    <cellStyle name="Millares 7 7 6" xfId="5450" xr:uid="{9EAB0FA1-7000-414B-B608-38E31C8FF3C8}"/>
    <cellStyle name="Millares 7 8" xfId="5476" xr:uid="{61F45CB9-920D-48FD-9021-414ACAE8A96C}"/>
    <cellStyle name="Millares 8" xfId="79" xr:uid="{D25E58D0-5332-4192-9A4E-03DF9FB8ABBA}"/>
    <cellStyle name="Millares 8 2" xfId="147" xr:uid="{AF9A716D-64DE-48C6-8FCA-C1DB9ADEFBC8}"/>
    <cellStyle name="Millares 8 2 2" xfId="552" xr:uid="{44E3B854-8BAC-4B3C-9B81-C6F316834635}"/>
    <cellStyle name="Millares 8 3" xfId="122" xr:uid="{B6FBE7EA-0E64-4647-AA55-64370EFC9F66}"/>
    <cellStyle name="Millares 8 3 2" xfId="5502" xr:uid="{0D3A499B-0EDF-44F0-B0E4-74854B5139A6}"/>
    <cellStyle name="Millares 8 3 3" xfId="5349" xr:uid="{C803A499-8DD2-4277-848E-609175AFFB29}"/>
    <cellStyle name="Millares 8 4" xfId="721" xr:uid="{B7DC646E-2B35-4646-9416-CA0F7BDA6932}"/>
    <cellStyle name="Millares 8 4 2" xfId="1111" xr:uid="{186B66B3-E831-4C4D-B5B2-272DA5940397}"/>
    <cellStyle name="Millares 8 4 2 2" xfId="1531" xr:uid="{9FD5B11C-8C32-460D-9F34-0A1E868071B5}"/>
    <cellStyle name="Millares 8 4 2 2 2" xfId="2714" xr:uid="{333A10D3-3FC6-4077-A04B-4F8108CDDCEB}"/>
    <cellStyle name="Millares 8 4 2 2 2 2" xfId="5080" xr:uid="{8ACA1E89-F686-47F3-BFEF-2073BA49537C}"/>
    <cellStyle name="Millares 8 4 2 2 3" xfId="3897" xr:uid="{5904F0A0-B035-4192-9BAB-6788AE28E37E}"/>
    <cellStyle name="Millares 8 4 2 3" xfId="2296" xr:uid="{9241E439-EAB5-47CB-9F0A-0B0FFD32231B}"/>
    <cellStyle name="Millares 8 4 2 3 2" xfId="4662" xr:uid="{2A1CCAC6-3B57-44E6-B01A-039B8F09C0E9}"/>
    <cellStyle name="Millares 8 4 2 4" xfId="3479" xr:uid="{DFCA2C25-82D1-4458-9734-5B062744F3A7}"/>
    <cellStyle name="Millares 8 4 2 5" xfId="5505" xr:uid="{658BE460-D76C-4BF0-B461-55808285B7C0}"/>
    <cellStyle name="Millares 8 4 3" xfId="1321" xr:uid="{FF188260-F4B6-4231-AB0C-6B64CB4A0F07}"/>
    <cellStyle name="Millares 8 4 3 2" xfId="2505" xr:uid="{79AB1B8B-03D0-4A9E-A649-9FFDE7FD9CD1}"/>
    <cellStyle name="Millares 8 4 3 2 2" xfId="4871" xr:uid="{5C6EFEA3-EA55-4A00-8A4C-C87F5B2AB096}"/>
    <cellStyle name="Millares 8 4 3 3" xfId="3688" xr:uid="{7A5BB267-63BF-4A37-8648-C26A213DF265}"/>
    <cellStyle name="Millares 8 4 4" xfId="1913" xr:uid="{4869CD36-F25D-44E1-A7C6-512023D95870}"/>
    <cellStyle name="Millares 8 4 4 2" xfId="4279" xr:uid="{D79238AD-20DD-438E-B6CA-5723D3FD54EE}"/>
    <cellStyle name="Millares 8 4 5" xfId="3096" xr:uid="{A3CF4D44-DB8E-4862-9868-4FE5876C4A40}"/>
    <cellStyle name="Millares 8 4 6" xfId="5373" xr:uid="{D47CC55F-9606-48ED-804F-53F7B1A86D4A}"/>
    <cellStyle name="Millares 8 5" xfId="5398" xr:uid="{5EDE0B84-3B47-4A32-BC3E-313034B2F294}"/>
    <cellStyle name="Millares 8 5 2" xfId="5508" xr:uid="{15DE0F09-242D-4F35-A6EF-50F2C7430005}"/>
    <cellStyle name="Millares 8 6" xfId="5423" xr:uid="{246B4E89-2BCA-4E80-BC5E-96B771CB6A89}"/>
    <cellStyle name="Millares 8 6 2" xfId="5511" xr:uid="{D1DFCF7F-8978-4FA1-B09E-5CF93B0A6EEE}"/>
    <cellStyle name="Millares 8 7" xfId="5449" xr:uid="{7C5157F4-4081-4AE6-A37D-088DD83F5E95}"/>
    <cellStyle name="Millares 8 7 2" xfId="5514" xr:uid="{509D5BCC-BEC9-40DA-A0A9-4D28AA00CB5E}"/>
    <cellStyle name="Millares 8 8" xfId="5475" xr:uid="{2D50BE2B-A0BA-4FE9-86D5-10005FF7F4AD}"/>
    <cellStyle name="Millares 8 8 2" xfId="5517" xr:uid="{9F61B867-9219-45AD-B86E-BCA06013C67D}"/>
    <cellStyle name="Millares 8 9" xfId="5497" xr:uid="{83E03900-3C40-4457-8960-3A802B62F054}"/>
    <cellStyle name="Millares 9" xfId="103" xr:uid="{4039DCA6-070B-4D51-8EC7-62FA6BCBD718}"/>
    <cellStyle name="Millares 9 2" xfId="137" xr:uid="{98499F54-4002-4B05-AC67-8A1AADBD7B42}"/>
    <cellStyle name="Millares 9 2 2" xfId="578" xr:uid="{F139AFBC-A65D-4BFD-B4DD-E4A730E2D33F}"/>
    <cellStyle name="Millares 9 3" xfId="329" xr:uid="{ADB5E976-9B94-4584-82FD-34FF78C185A0}"/>
    <cellStyle name="Millares 9 4" xfId="734" xr:uid="{6E43D7CA-22E1-47B8-A240-61310B753D28}"/>
    <cellStyle name="Millares 9 4 2" xfId="1121" xr:uid="{4A49C827-70A9-4A7B-9C60-8552A001CC4F}"/>
    <cellStyle name="Millares 9 4 2 2" xfId="1541" xr:uid="{5E67E0B7-91FD-4911-B8D7-CC164B475507}"/>
    <cellStyle name="Millares 9 4 2 2 2" xfId="2724" xr:uid="{17A28918-026D-48CE-B58A-6101CC07840C}"/>
    <cellStyle name="Millares 9 4 2 2 2 2" xfId="5090" xr:uid="{BE6F417F-9039-4073-89FA-B09BEE400319}"/>
    <cellStyle name="Millares 9 4 2 2 3" xfId="3907" xr:uid="{0DBFADF1-027C-4C85-A302-CB0D51ED0A98}"/>
    <cellStyle name="Millares 9 4 2 3" xfId="2306" xr:uid="{2F798088-05E0-45B6-BAA3-029BA22D3F2A}"/>
    <cellStyle name="Millares 9 4 2 3 2" xfId="4672" xr:uid="{F3478C0C-EFDF-4B2B-AEC5-059F6AF55829}"/>
    <cellStyle name="Millares 9 4 2 4" xfId="3489" xr:uid="{84EDD895-04AC-46A5-A80C-E758D266A21E}"/>
    <cellStyle name="Millares 9 4 3" xfId="1331" xr:uid="{74605B2C-7B61-4848-AEB6-F9B60FFA8079}"/>
    <cellStyle name="Millares 9 4 3 2" xfId="2515" xr:uid="{34026EBD-4258-4498-B317-D0BAFAB6E2AE}"/>
    <cellStyle name="Millares 9 4 3 2 2" xfId="4881" xr:uid="{37C6FF03-4234-4805-A7C6-A46ADE8477E3}"/>
    <cellStyle name="Millares 9 4 3 3" xfId="3698" xr:uid="{12A9C394-45C8-4A0C-9879-B54E4D80EB27}"/>
    <cellStyle name="Millares 9 4 4" xfId="1923" xr:uid="{61400E82-771F-4B80-9506-106E6AF71D05}"/>
    <cellStyle name="Millares 9 4 4 2" xfId="4289" xr:uid="{C8A4F08A-88A6-480D-B38A-E6CB6CE65D3D}"/>
    <cellStyle name="Millares 9 4 5" xfId="3106" xr:uid="{564B3A8C-2CCB-49AC-8C71-794DF53A84B6}"/>
    <cellStyle name="Neutral" xfId="8" builtinId="28" customBuiltin="1"/>
    <cellStyle name="Neutral 2" xfId="432" xr:uid="{619FF515-A288-4836-91ED-ED28E5F9D85A}"/>
    <cellStyle name="Neutral 3" xfId="230" xr:uid="{3F490CA4-2793-459D-B293-5D0AB9A8933F}"/>
    <cellStyle name="Normal" xfId="0" builtinId="0"/>
    <cellStyle name="Normal 10" xfId="102" xr:uid="{23D85130-699B-4192-A07C-B14A03E07AAE}"/>
    <cellStyle name="Normal 10 2" xfId="624" xr:uid="{C55B54FE-902F-439B-BC8D-F3143D6BB688}"/>
    <cellStyle name="Normal 11" xfId="406" xr:uid="{6F922FBC-E4FB-45B4-9251-0B46732D3571}"/>
    <cellStyle name="Normal 11 2" xfId="653" xr:uid="{C1605059-5649-42D4-AE7B-BCDF41852CDA}"/>
    <cellStyle name="Normal 12" xfId="46" xr:uid="{00000000-0005-0000-0000-00002E000000}"/>
    <cellStyle name="Normal 12 2" xfId="682" xr:uid="{08D25B6E-ECCD-4390-9250-975E7F956642}"/>
    <cellStyle name="Normal 12 3" xfId="443" xr:uid="{0ABA7B7F-D67E-4003-8A38-B080A0EB66A6}"/>
    <cellStyle name="Normal 13" xfId="463" xr:uid="{57E92332-F7FF-400F-A8D3-7E476A2D425E}"/>
    <cellStyle name="Normal 13 2" xfId="702" xr:uid="{0910112B-3C18-46DF-B81C-D9A3CA353C9F}"/>
    <cellStyle name="Normal 14" xfId="466" xr:uid="{649ED087-C2C2-49E6-A02E-2B1F48107948}"/>
    <cellStyle name="Normal 15" xfId="47" xr:uid="{00000000-0005-0000-0000-00002F000000}"/>
    <cellStyle name="Normal 15 2" xfId="5493" xr:uid="{36DAB350-EA6B-40D7-B88A-5909EACF2DA2}"/>
    <cellStyle name="Normal 15 3" xfId="5269" xr:uid="{5CF0AF89-BF8E-4622-B342-4A718D21746E}"/>
    <cellStyle name="Normal 16" xfId="229" xr:uid="{32DD2C00-8F20-4107-980E-9CD64347802F}"/>
    <cellStyle name="Normal 16 2" xfId="1030" xr:uid="{654906C9-9581-4F61-9CC8-D4E912A7B111}"/>
    <cellStyle name="Normal 16 2 2" xfId="1450" xr:uid="{A99B899B-8BDD-4D30-903B-4285F1201363}"/>
    <cellStyle name="Normal 16 3" xfId="1240" xr:uid="{2C6A365D-75ED-4AC3-90AF-56AD9FBE7025}"/>
    <cellStyle name="Normal 17" xfId="5266" xr:uid="{02489CD3-69AD-4EE7-AFA2-B8DB0D87C1AC}"/>
    <cellStyle name="Normal 18" xfId="5524" xr:uid="{BE846090-751E-4FB2-9769-D21D5E8C568D}"/>
    <cellStyle name="Normal 2" xfId="49" xr:uid="{00000000-0005-0000-0000-000030000000}"/>
    <cellStyle name="Normal 2 10" xfId="101" xr:uid="{7CB72E72-F552-498B-8380-5EF234840761}"/>
    <cellStyle name="Normal 2 2" xfId="88" xr:uid="{0AD771F4-0F76-4E4D-9DB8-E37BC99A8A25}"/>
    <cellStyle name="Normal 2 2 2" xfId="107" xr:uid="{6E8928A7-66F2-4256-9216-1BD55A87176B}"/>
    <cellStyle name="Normal 2 2 2 2" xfId="352" xr:uid="{BCB6FFEB-580B-45DB-A2CA-BC45567DE008}"/>
    <cellStyle name="Normal 2 2 3" xfId="243" xr:uid="{557EEA1E-5D89-4064-8473-FE285E8A323C}"/>
    <cellStyle name="Normal 2 2 4" xfId="5277" xr:uid="{05380A64-B895-470D-9415-E5F7566D54A2}"/>
    <cellStyle name="Normal 2 3" xfId="106" xr:uid="{7E4FE380-4268-4738-A27A-83B8A9183493}"/>
    <cellStyle name="Normal 2 3 2" xfId="241" xr:uid="{E18529FA-8A6F-4788-A117-CB7E5ABB9FD5}"/>
    <cellStyle name="Normal 2 3 3" xfId="5297" xr:uid="{8D29A22B-A420-4236-8D7E-BDC5B670B36F}"/>
    <cellStyle name="Normal 2 4" xfId="48" xr:uid="{00000000-0005-0000-0000-000031000000}"/>
    <cellStyle name="Normal 2 4 2" xfId="331" xr:uid="{C380B317-C4F4-49A8-A888-AD9688C25D39}"/>
    <cellStyle name="Normal 2 4 3" xfId="5292" xr:uid="{17C6558A-2354-4FE9-9B1B-91892BB95A5E}"/>
    <cellStyle name="Normal 2 5" xfId="5284" xr:uid="{A35795D7-608B-47B5-A729-01BEE9246604}"/>
    <cellStyle name="Normal 2 6" xfId="5272" xr:uid="{6A956925-0863-44A7-BFF4-52488588370C}"/>
    <cellStyle name="Normal 3" xfId="53" xr:uid="{00000000-0005-0000-0000-000032000000}"/>
    <cellStyle name="Normal 3 2" xfId="59" xr:uid="{60B2EF75-737B-48FC-9C94-2517B2DB49F8}"/>
    <cellStyle name="Normal 3 3" xfId="43" xr:uid="{00000000-0005-0000-0000-000033000000}"/>
    <cellStyle name="Normal 3 3 2" xfId="5285" xr:uid="{6DCCEAFC-9A2E-4D75-9499-FD97EB2EE15E}"/>
    <cellStyle name="Normal 3 4" xfId="89" xr:uid="{2549F1DB-FA08-4C8C-A883-04C0B19CB402}"/>
    <cellStyle name="Normal 3 5" xfId="66" xr:uid="{E0182B1F-E69E-43BA-8F1B-56D7C09A5289}"/>
    <cellStyle name="Normal 3 6" xfId="739" xr:uid="{D274E4F3-CB38-41D1-9E31-81A8C50E4900}"/>
    <cellStyle name="Normal 3 7" xfId="5275" xr:uid="{64E373F3-996A-4A3F-8EF9-8C9CA40A437F}"/>
    <cellStyle name="Normal 4" xfId="239" xr:uid="{F0BD49FB-92F0-4161-BF32-1C318F984743}"/>
    <cellStyle name="Normal 4 2" xfId="332" xr:uid="{5015BD15-5595-40BA-BDAB-4CC6FF520D2C}"/>
    <cellStyle name="Normal 4 3" xfId="488" xr:uid="{E5292E4B-DD6B-476E-A597-5CF4BEA0F7A2}"/>
    <cellStyle name="Normal 5" xfId="92" xr:uid="{756763B0-3DA1-4013-8147-6318A7FFD014}"/>
    <cellStyle name="Normal 5 2" xfId="497" xr:uid="{B64B52C2-F650-439C-84AF-DDD9B413DC2D}"/>
    <cellStyle name="Normal 5 2 2" xfId="5295" xr:uid="{0B6650C2-CC65-4FF1-82FB-9234714D81FE}"/>
    <cellStyle name="Normal 5 3" xfId="5290" xr:uid="{71610CAA-E4C2-47DD-8B94-B2F505C181CD}"/>
    <cellStyle name="Normal 6" xfId="274" xr:uid="{B2A0D7AE-E9B4-49C6-97D8-43036AB46AC7}"/>
    <cellStyle name="Normal 6 2" xfId="521" xr:uid="{0595E8A9-A8E8-4589-BF9C-2A5625DD584D}"/>
    <cellStyle name="Normal 6 3" xfId="5303" xr:uid="{5FB20B5A-4858-4CA3-826D-1EF2E1483B28}"/>
    <cellStyle name="Normal 7" xfId="301" xr:uid="{4205DEE1-AA1A-4BDC-8357-1C0BBD528EC4}"/>
    <cellStyle name="Normal 7 2" xfId="549" xr:uid="{EC3FC594-715F-46DA-ABD2-255A032DEE95}"/>
    <cellStyle name="Normal 8" xfId="328" xr:uid="{7E3A9391-06B4-4259-ABE7-A3071E712ECC}"/>
    <cellStyle name="Normal 8 2" xfId="577" xr:uid="{293AD576-3788-4BE4-872F-616A52E3E588}"/>
    <cellStyle name="Normal 9" xfId="353" xr:uid="{E65FA93C-0DA6-436F-922E-DBCC46A7E62E}"/>
    <cellStyle name="Normal 9 2" xfId="599" xr:uid="{609F1B6C-2BB9-44B7-9101-DE24B865EB9B}"/>
    <cellStyle name="Normal_Estados Fiscal 1999" xfId="44" xr:uid="{00000000-0005-0000-0000-000034000000}"/>
    <cellStyle name="Notas" xfId="15" builtinId="10" customBuiltin="1"/>
    <cellStyle name="Notas 10" xfId="444" xr:uid="{C85DF06B-B1A9-4730-8C18-16BA08A5E709}"/>
    <cellStyle name="Notas 10 2" xfId="683" xr:uid="{A549A904-5C31-4EB6-8CAC-6092337A9F78}"/>
    <cellStyle name="Notas 2" xfId="245" xr:uid="{75CE77E3-71FA-4999-8E11-BB5C7A37EF86}"/>
    <cellStyle name="Notas 2 2" xfId="492" xr:uid="{F974C749-DBAE-4D4E-8E72-664CE3988157}"/>
    <cellStyle name="Notas 3" xfId="254" xr:uid="{8FF2DC0F-2E82-41EE-AF6F-02FBA36F14E3}"/>
    <cellStyle name="Notas 3 2" xfId="501" xr:uid="{E0EDD1E8-6F03-4378-A02B-0720683DD80D}"/>
    <cellStyle name="Notas 4" xfId="278" xr:uid="{DC452E0F-4FDA-454A-8D6A-20FABEDFA7EE}"/>
    <cellStyle name="Notas 4 2" xfId="525" xr:uid="{A445F0D2-BE9B-4D93-A16C-6592980D4479}"/>
    <cellStyle name="Notas 5" xfId="305" xr:uid="{90D30083-E010-4B0A-B9ED-8316CDE75D89}"/>
    <cellStyle name="Notas 5 2" xfId="554" xr:uid="{E9E0FFFA-F55E-4A47-86DA-1EF648BB494F}"/>
    <cellStyle name="Notas 6" xfId="333" xr:uid="{7516B6D6-331A-4387-AC7F-255ABA0C6138}"/>
    <cellStyle name="Notas 6 2" xfId="580" xr:uid="{54432B40-AE78-4FD2-B235-C9913C86167A}"/>
    <cellStyle name="Notas 7" xfId="357" xr:uid="{363E71D1-DD68-4C35-A7E9-4A6965670284}"/>
    <cellStyle name="Notas 7 2" xfId="603" xr:uid="{FBE4DFFF-F42D-41EF-A55B-09F69441B67D}"/>
    <cellStyle name="Notas 8" xfId="382" xr:uid="{F7941EEA-8250-4FAF-B0DE-5AD38798B881}"/>
    <cellStyle name="Notas 8 2" xfId="629" xr:uid="{AE1A2284-E2B5-4BF4-B163-8F15AEA79086}"/>
    <cellStyle name="Notas 9" xfId="410" xr:uid="{6977958D-57EA-4D49-B2A2-B74920CA9B4B}"/>
    <cellStyle name="Notas 9 2" xfId="657" xr:uid="{8EA04D16-0E1B-4EF0-A0E7-DAFABED3244A}"/>
    <cellStyle name="Porcentaje" xfId="57" builtinId="5"/>
    <cellStyle name="Porcentaje 10" xfId="719" xr:uid="{357BFF99-E9BB-4F1E-ADE6-A77C6ACC8F50}"/>
    <cellStyle name="Porcentaje 10 2" xfId="5467" xr:uid="{35E66086-BEE5-49F7-9E75-BBB523721352}"/>
    <cellStyle name="Porcentaje 11" xfId="5274" xr:uid="{3036C7C3-0A39-4205-9D8C-3E12DDF60984}"/>
    <cellStyle name="Porcentaje 2" xfId="240" xr:uid="{12355D01-B069-4220-A64D-6A493D77DD3F}"/>
    <cellStyle name="Porcentaje 2 2" xfId="489" xr:uid="{2680D7DC-4DC9-41E2-B7E6-ED4D4EE22BE6}"/>
    <cellStyle name="Porcentaje 2 3" xfId="738" xr:uid="{09F29CDB-B16C-4C5E-9DA6-92AD709DF94D}"/>
    <cellStyle name="Porcentaje 2 3 2" xfId="5352" xr:uid="{B4D64F44-3D3D-4C8D-9AF6-0795EDCE0937}"/>
    <cellStyle name="Porcentaje 2 4" xfId="5377" xr:uid="{07907D5A-1B02-44E6-9914-067A519E49C1}"/>
    <cellStyle name="Porcentaje 2 5" xfId="5402" xr:uid="{ADCB1A77-E998-46D8-A4A1-3E360C373DEC}"/>
    <cellStyle name="Porcentaje 2 6" xfId="5427" xr:uid="{490F6F97-E9B6-4F4E-B333-9DAE33BB8F9F}"/>
    <cellStyle name="Porcentaje 2 7" xfId="5453" xr:uid="{648CE6D4-B4CD-4707-9310-2A2CCA465E57}"/>
    <cellStyle name="Porcentaje 2 8" xfId="5479" xr:uid="{9532C6F5-ED23-4C9E-A42A-28E9E4389AF8}"/>
    <cellStyle name="Porcentaje 3" xfId="251" xr:uid="{25743EA4-C5DD-40C8-9570-EF76F5445328}"/>
    <cellStyle name="Porcentaje 3 2" xfId="498" xr:uid="{00036FAD-FC2D-4905-B206-178EFF21348B}"/>
    <cellStyle name="Porcentaje 4" xfId="275" xr:uid="{B80BFB14-9025-433C-8EF1-98F82AF7320A}"/>
    <cellStyle name="Porcentaje 4 2" xfId="522" xr:uid="{E94B77D4-DDCD-4E16-884B-83458585CAEB}"/>
    <cellStyle name="Porcentaje 5" xfId="302" xr:uid="{A15B2A7C-4DB3-48E3-B802-2BA3640325AC}"/>
    <cellStyle name="Porcentaje 5 2" xfId="550" xr:uid="{C6F15B9E-4A73-4AB1-B513-4EEA54073E73}"/>
    <cellStyle name="Porcentaje 6" xfId="354" xr:uid="{1D8F1569-515B-43EF-8960-2D11CEA60557}"/>
    <cellStyle name="Porcentaje 6 2" xfId="600" xr:uid="{A4EE3777-083A-4738-878C-582644EC9AD1}"/>
    <cellStyle name="Porcentaje 7" xfId="378" xr:uid="{9B91FA34-98DC-4BCF-8016-1543A1E72425}"/>
    <cellStyle name="Porcentaje 7 2" xfId="625" xr:uid="{FDCBA11B-0460-4B7C-A204-7E64E3472A6F}"/>
    <cellStyle name="Porcentaje 8" xfId="407" xr:uid="{D1EDF1D8-12D6-4DB7-87E9-009791F6F4EE}"/>
    <cellStyle name="Porcentaje 8 2" xfId="654" xr:uid="{5B9E087C-A575-464C-B7A9-2043DDA0BE5E}"/>
    <cellStyle name="Porcentaje 9" xfId="442" xr:uid="{03D0C1D1-DDE7-4950-942C-31074FB9890D}"/>
    <cellStyle name="Porcentaje 9 2" xfId="5441" xr:uid="{8EF88A54-474C-43C7-8556-4ED214793AAE}"/>
    <cellStyle name="Porcentual 2" xfId="91" xr:uid="{5E58AAA8-EE60-4F7A-BC1F-DAA89C1BC14D}"/>
    <cellStyle name="Salida" xfId="10" builtinId="21" customBuiltin="1"/>
    <cellStyle name="Texto de advertencia" xfId="14" builtinId="11" customBuiltin="1"/>
    <cellStyle name="Texto explicativo" xfId="16" builtinId="53" customBuiltin="1"/>
    <cellStyle name="Texto explicativo 2" xfId="5520" xr:uid="{B1E8871A-D748-4C7D-9E36-1D8A07BF4565}"/>
    <cellStyle name="Título" xfId="60" builtinId="15" customBuiltin="1"/>
    <cellStyle name="Título 2" xfId="3" builtinId="17" customBuiltin="1"/>
    <cellStyle name="Título 3" xfId="4" builtinId="18" customBuiltin="1"/>
    <cellStyle name="Título 4" xfId="42" xr:uid="{00000000-0005-0000-0000-000038000000}"/>
    <cellStyle name="Total" xfId="17" builtinId="25" customBuiltin="1"/>
  </cellStyles>
  <dxfs count="123">
    <dxf>
      <font>
        <color rgb="FF9C0006"/>
      </font>
      <fill>
        <patternFill>
          <bgColor rgb="FFFFC7CE"/>
        </patternFill>
      </fill>
    </dxf>
    <dxf>
      <font>
        <b val="0"/>
        <i val="0"/>
        <strike val="0"/>
        <condense val="0"/>
        <extend val="0"/>
        <outline val="0"/>
        <shadow val="0"/>
        <u val="none"/>
        <vertAlign val="baseline"/>
        <sz val="10"/>
        <color theme="1"/>
        <name val="Calibri"/>
        <family val="2"/>
        <scheme val="minor"/>
      </font>
    </dxf>
    <dxf>
      <numFmt numFmtId="33" formatCode="_ * #,##0_ ;_ * \-#,##0_ ;_ * &quot;-&quot;_ ;_ @_ "/>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33" formatCode="_ * #,##0_ ;_ * \-#,##0_ ;_ * &quot;-&quot;_ ;_ @_ "/>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178" formatCode="_ * #,##0.00_ ;_ * \-#,##0.00_ ;_ * &quot;-&quot;_ ;_ @_ "/>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178" formatCode="_ * #,##0.00_ ;_ * \-#,##0.00_ ;_ * &quot;-&quot;_ ;_ @_ "/>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33" formatCode="_ * #,##0_ ;_ * \-#,##0_ ;_ * &quot;-&quot;_ ;_ @_ "/>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33" formatCode="_ * #,##0_ ;_ * \-#,##0_ ;_ * &quot;-&quot;_ ;_ @_ "/>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33" formatCode="_ * #,##0_ ;_ * \-#,##0_ ;_ * &quot;-&quot;_ ;_ @_ "/>
      <border outline="0">
        <left style="thin">
          <color indexed="64"/>
        </left>
      </border>
    </dxf>
    <dxf>
      <font>
        <b val="0"/>
        <i val="0"/>
        <strike val="0"/>
        <condense val="0"/>
        <extend val="0"/>
        <outline val="0"/>
        <shadow val="0"/>
        <u val="none"/>
        <vertAlign val="baseline"/>
        <sz val="10"/>
        <color theme="1"/>
        <name val="Calibri"/>
        <family val="2"/>
        <scheme val="minor"/>
      </font>
      <numFmt numFmtId="4" formatCode="#,##0.0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numFmt numFmtId="4" formatCode="#,##0.00"/>
      <border diagonalUp="0" diagonalDown="0">
        <left/>
        <right style="thin">
          <color indexed="64"/>
        </right>
        <top/>
        <bottom/>
      </border>
    </dxf>
    <dxf>
      <font>
        <b val="0"/>
        <i val="0"/>
        <strike val="0"/>
        <condense val="0"/>
        <extend val="0"/>
        <outline val="0"/>
        <shadow val="0"/>
        <u val="none"/>
        <vertAlign val="baseline"/>
        <sz val="10"/>
        <color theme="1"/>
        <name val="Calibri"/>
        <family val="2"/>
        <scheme val="minor"/>
      </font>
      <numFmt numFmtId="4" formatCode="#,##0.00"/>
      <border diagonalUp="0" diagonalDown="0" outline="0">
        <left/>
        <right style="thin">
          <color indexed="64"/>
        </right>
        <top/>
        <bottom/>
      </border>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4" formatCode="#,##0.0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border outline="0">
        <right style="thin">
          <color indexed="64"/>
        </right>
      </border>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19" formatCode="d/m/yyyy"/>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19" formatCode="d/m/yyyy"/>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auto="1"/>
        </patternFill>
      </fill>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auto="1"/>
        </patternFill>
      </fill>
    </dxf>
    <dxf>
      <font>
        <b val="0"/>
        <i val="0"/>
        <strike val="0"/>
        <condense val="0"/>
        <extend val="0"/>
        <outline val="0"/>
        <shadow val="0"/>
        <u val="none"/>
        <vertAlign val="baseline"/>
        <sz val="10"/>
        <color theme="1"/>
        <name val="Calibri"/>
        <family val="2"/>
        <scheme val="minor"/>
      </font>
      <numFmt numFmtId="188" formatCode="0.0000%"/>
    </dxf>
    <dxf>
      <font>
        <b val="0"/>
        <i val="0"/>
        <strike val="0"/>
        <condense val="0"/>
        <extend val="0"/>
        <outline val="0"/>
        <shadow val="0"/>
        <u val="none"/>
        <vertAlign val="baseline"/>
        <sz val="10"/>
        <color theme="1"/>
        <name val="Calibri"/>
        <family val="2"/>
        <scheme val="minor"/>
      </font>
      <numFmt numFmtId="188" formatCode="0.000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14" formatCode="0.0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14" formatCode="0.0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178" formatCode="_ * #,##0.00_ ;_ * \-#,##0.00_ ;_ * &quot;-&quot;_ ;_ @_ "/>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i val="0"/>
        <strike val="0"/>
        <condense val="0"/>
        <extend val="0"/>
        <outline val="0"/>
        <shadow val="0"/>
        <u val="none"/>
        <vertAlign val="baseline"/>
        <sz val="10"/>
        <color rgb="FF002060"/>
        <name val="Calibri"/>
        <family val="2"/>
        <scheme val="minor"/>
      </font>
      <fill>
        <patternFill patternType="solid">
          <fgColor indexed="64"/>
          <bgColor theme="2"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dxf>
    <dxf>
      <numFmt numFmtId="33" formatCode="_ * #,##0_ ;_ * \-#,##0_ ;_ * &quot;-&quot;_ ;_ @_ "/>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33" formatCode="_ * #,##0_ ;_ * \-#,##0_ ;_ * &quot;-&quot;_ ;_ @_ "/>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178" formatCode="_ * #,##0.00_ ;_ * \-#,##0.00_ ;_ * &quot;-&quot;_ ;_ @_ "/>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178" formatCode="_ * #,##0.00_ ;_ * \-#,##0.00_ ;_ * &quot;-&quot;_ ;_ @_ "/>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numFmt numFmtId="33" formatCode="_ * #,##0_ ;_ * \-#,##0_ ;_ * &quot;-&quot;_ ;_ @_ "/>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33" formatCode="_ * #,##0_ ;_ * \-#,##0_ ;_ * &quot;-&quot;_ ;_ @_ "/>
      <fill>
        <patternFill patternType="none">
          <fgColor indexed="64"/>
          <bgColor indexed="65"/>
        </patternFill>
      </fill>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33" formatCode="_ * #,##0_ ;_ * \-#,##0_ ;_ * &quot;-&quot;_ ;_ @_ "/>
      <border outline="0">
        <left style="thin">
          <color indexed="64"/>
        </left>
      </border>
    </dxf>
    <dxf>
      <font>
        <b val="0"/>
        <i val="0"/>
        <strike val="0"/>
        <condense val="0"/>
        <extend val="0"/>
        <outline val="0"/>
        <shadow val="0"/>
        <u val="none"/>
        <vertAlign val="baseline"/>
        <sz val="10"/>
        <color theme="1"/>
        <name val="Calibri"/>
        <family val="2"/>
        <scheme val="minor"/>
      </font>
      <numFmt numFmtId="4" formatCode="#,##0.0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numFmt numFmtId="4" formatCode="#,##0.00"/>
      <border diagonalUp="0" diagonalDown="0">
        <left/>
        <right style="thin">
          <color indexed="64"/>
        </right>
        <top/>
        <bottom/>
      </border>
    </dxf>
    <dxf>
      <font>
        <b val="0"/>
        <i val="0"/>
        <strike val="0"/>
        <condense val="0"/>
        <extend val="0"/>
        <outline val="0"/>
        <shadow val="0"/>
        <u val="none"/>
        <vertAlign val="baseline"/>
        <sz val="10"/>
        <color theme="1"/>
        <name val="Calibri"/>
        <family val="2"/>
        <scheme val="minor"/>
      </font>
      <numFmt numFmtId="4" formatCode="#,##0.00"/>
      <border diagonalUp="0" diagonalDown="0" outline="0">
        <left/>
        <right style="thin">
          <color indexed="64"/>
        </right>
        <top/>
        <bottom/>
      </border>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4" formatCode="#,##0.0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border outline="0">
        <right style="thin">
          <color indexed="64"/>
        </right>
      </border>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19" formatCode="d/m/yyyy"/>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19" formatCode="d/m/yyyy"/>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auto="1"/>
        </patternFill>
      </fill>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14" formatCode="0.00%"/>
      <fill>
        <patternFill patternType="none">
          <fgColor indexed="64"/>
          <bgColor auto="1"/>
        </patternFill>
      </fill>
    </dxf>
    <dxf>
      <font>
        <b val="0"/>
        <i val="0"/>
        <strike val="0"/>
        <condense val="0"/>
        <extend val="0"/>
        <outline val="0"/>
        <shadow val="0"/>
        <u val="none"/>
        <vertAlign val="baseline"/>
        <sz val="10"/>
        <color theme="1"/>
        <name val="Calibri"/>
        <family val="2"/>
        <scheme val="minor"/>
      </font>
      <numFmt numFmtId="188" formatCode="0.0000%"/>
    </dxf>
    <dxf>
      <font>
        <b val="0"/>
        <i val="0"/>
        <strike val="0"/>
        <condense val="0"/>
        <extend val="0"/>
        <outline val="0"/>
        <shadow val="0"/>
        <u val="none"/>
        <vertAlign val="baseline"/>
        <sz val="10"/>
        <color theme="1"/>
        <name val="Calibri"/>
        <family val="2"/>
        <scheme val="minor"/>
      </font>
      <numFmt numFmtId="188" formatCode="0.000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14" formatCode="0.0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14" formatCode="0.00%"/>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numFmt numFmtId="178" formatCode="_ * #,##0.00_ ;_ * \-#,##0.00_ ;_ * &quot;-&quot;_ ;_ @_ "/>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i val="0"/>
        <strike val="0"/>
        <condense val="0"/>
        <extend val="0"/>
        <outline val="0"/>
        <shadow val="0"/>
        <u val="none"/>
        <vertAlign val="baseline"/>
        <sz val="10"/>
        <color rgb="FF002060"/>
        <name val="Calibri"/>
        <family val="2"/>
        <scheme val="minor"/>
      </font>
      <fill>
        <patternFill patternType="solid">
          <fgColor indexed="64"/>
          <bgColor theme="2" tint="-0.249977111117893"/>
        </patternFill>
      </fill>
      <alignment horizontal="center" vertical="center" textRotation="0" wrapText="1" indent="0" justifyLastLine="0" shrinkToFit="0" readingOrder="0"/>
    </dxf>
    <dxf>
      <fill>
        <patternFill patternType="solid">
          <fgColor theme="8" tint="0.79998168889431442"/>
          <bgColor theme="8" tint="0.79998168889431442"/>
        </patternFill>
      </fill>
      <border>
        <bottom style="thin">
          <color theme="8" tint="0.39997558519241921"/>
        </bottom>
      </border>
    </dxf>
    <dxf>
      <fill>
        <patternFill patternType="solid">
          <fgColor theme="8" tint="0.79998168889431442"/>
          <bgColor theme="8" tint="0.79998168889431442"/>
        </patternFill>
      </fill>
      <border>
        <bottom style="thin">
          <color theme="8" tint="0.39997558519241921"/>
        </bottom>
      </border>
    </dxf>
    <dxf>
      <font>
        <b/>
        <color theme="1"/>
      </font>
      <fill>
        <patternFill patternType="none">
          <bgColor auto="1"/>
        </patternFill>
      </fill>
    </dxf>
    <dxf>
      <font>
        <b/>
        <color theme="1"/>
      </font>
      <fill>
        <patternFill patternType="none">
          <bgColor auto="1"/>
        </patternFill>
      </fill>
      <border>
        <bottom style="thin">
          <color theme="8" tint="0.39997558519241921"/>
        </bottom>
      </border>
    </dxf>
    <dxf>
      <font>
        <b/>
        <color theme="1"/>
      </font>
      <fill>
        <patternFill>
          <bgColor theme="7" tint="0.79998168889431442"/>
        </patternFill>
      </fill>
    </dxf>
    <dxf>
      <font>
        <b/>
        <color theme="1"/>
      </font>
      <fill>
        <patternFill>
          <bgColor theme="0" tint="-0.14996795556505021"/>
        </patternFill>
      </fill>
      <border>
        <top style="thin">
          <color theme="8"/>
        </top>
        <bottom style="thin">
          <color theme="8"/>
        </bottom>
      </border>
    </dxf>
    <dxf>
      <fill>
        <patternFill patternType="solid">
          <fgColor theme="0"/>
          <bgColor theme="0"/>
        </patternFill>
      </fill>
    </dxf>
    <dxf>
      <fill>
        <patternFill patternType="none">
          <fgColor indexed="64"/>
          <bgColor auto="1"/>
        </patternFill>
      </fill>
      <border>
        <left style="thin">
          <color theme="0" tint="-0.249977111117893"/>
        </left>
        <right style="thin">
          <color theme="0" tint="-0.249977111117893"/>
        </right>
      </border>
    </dxf>
    <dxf>
      <fill>
        <patternFill patternType="none">
          <fgColor auto="1"/>
          <bgColor auto="1"/>
        </patternFill>
      </fill>
    </dxf>
    <dxf>
      <font>
        <b/>
        <color theme="1"/>
      </font>
      <fill>
        <patternFill patternType="solid">
          <fgColor theme="8" tint="0.79998168889431442"/>
          <bgColor theme="8" tint="0.79998168889431442"/>
        </patternFill>
      </fill>
      <border>
        <top style="thin">
          <color theme="8" tint="0.39997558519241921"/>
        </top>
      </border>
    </dxf>
    <dxf>
      <font>
        <b/>
        <color theme="1"/>
      </font>
      <fill>
        <patternFill patternType="solid">
          <fgColor theme="8" tint="0.79998168889431442"/>
          <bgColor theme="8" tint="0.79998168889431442"/>
        </patternFill>
      </fill>
      <border>
        <bottom style="thin">
          <color theme="8" tint="0.39997558519241921"/>
        </bottom>
      </border>
    </dxf>
  </dxfs>
  <tableStyles count="1" defaultTableStyle="TableStyleMedium2" defaultPivotStyle="PivotStyleLight16">
    <tableStyle name="PivotStyleLight20 2" table="0" count="11" xr9:uid="{49D761DE-15F1-4324-8DBD-4516389985C9}">
      <tableStyleElement type="headerRow" dxfId="122"/>
      <tableStyleElement type="totalRow" dxfId="121"/>
      <tableStyleElement type="firstRowStripe" dxfId="120"/>
      <tableStyleElement type="firstColumnStripe" dxfId="119"/>
      <tableStyleElement type="firstSubtotalColumn" dxfId="118"/>
      <tableStyleElement type="firstSubtotalRow" dxfId="117"/>
      <tableStyleElement type="secondSubtotalRow" dxfId="116"/>
      <tableStyleElement type="firstRowSubheading" dxfId="115"/>
      <tableStyleElement type="secondRowSubheading" dxfId="114"/>
      <tableStyleElement type="pageFieldLabels" dxfId="113"/>
      <tableStyleElement type="pageFieldValues" dxfId="112"/>
    </tableStyle>
  </tableStyles>
  <colors>
    <mruColors>
      <color rgb="FFFFFFCC"/>
      <color rgb="FF336699"/>
      <color rgb="FF003366"/>
      <color rgb="FF006699"/>
      <color rgb="FF000066"/>
      <color rgb="FF333399"/>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3.emf"/><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3.emf"/><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3.emf"/><Relationship Id="rId1" Type="http://schemas.openxmlformats.org/officeDocument/2006/relationships/image" Target="../media/image4.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0</xdr:rowOff>
    </xdr:from>
    <xdr:to>
      <xdr:col>3</xdr:col>
      <xdr:colOff>21771</xdr:colOff>
      <xdr:row>4</xdr:row>
      <xdr:rowOff>152895</xdr:rowOff>
    </xdr:to>
    <xdr:pic>
      <xdr:nvPicPr>
        <xdr:cNvPr id="2" name="Imagen 1">
          <a:extLst>
            <a:ext uri="{FF2B5EF4-FFF2-40B4-BE49-F238E27FC236}">
              <a16:creationId xmlns:a16="http://schemas.microsoft.com/office/drawing/2014/main" id="{4DB6B2AB-484A-4A8E-AAA0-69934BE4F13C}"/>
            </a:ext>
          </a:extLst>
        </xdr:cNvPr>
        <xdr:cNvPicPr>
          <a:picLocks noChangeAspect="1"/>
        </xdr:cNvPicPr>
      </xdr:nvPicPr>
      <xdr:blipFill>
        <a:blip xmlns:r="http://schemas.openxmlformats.org/officeDocument/2006/relationships" r:embed="rId1"/>
        <a:stretch>
          <a:fillRect/>
        </a:stretch>
      </xdr:blipFill>
      <xdr:spPr>
        <a:xfrm>
          <a:off x="152400" y="0"/>
          <a:ext cx="1828800" cy="6754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3</xdr:col>
      <xdr:colOff>68407</xdr:colOff>
      <xdr:row>0</xdr:row>
      <xdr:rowOff>254346</xdr:rowOff>
    </xdr:to>
    <xdr:sp macro="" textlink="">
      <xdr:nvSpPr>
        <xdr:cNvPr id="2" name="AutoShape 1" descr="VERBANK SECURITIES C.B.S.A.">
          <a:extLst>
            <a:ext uri="{FF2B5EF4-FFF2-40B4-BE49-F238E27FC236}">
              <a16:creationId xmlns:a16="http://schemas.microsoft.com/office/drawing/2014/main" id="{F4AEBCA9-6BEB-43B2-A57E-837D5B071513}"/>
            </a:ext>
          </a:extLst>
        </xdr:cNvPr>
        <xdr:cNvSpPr>
          <a:spLocks noChangeAspect="1" noChangeArrowheads="1"/>
        </xdr:cNvSpPr>
      </xdr:nvSpPr>
      <xdr:spPr bwMode="auto">
        <a:xfrm>
          <a:off x="5686425" y="0"/>
          <a:ext cx="68407" cy="254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68407</xdr:colOff>
      <xdr:row>0</xdr:row>
      <xdr:rowOff>262389</xdr:rowOff>
    </xdr:to>
    <xdr:sp macro="" textlink="">
      <xdr:nvSpPr>
        <xdr:cNvPr id="3" name="AutoShape 1" descr="VERBANK SECURITIES C.B.S.A.">
          <a:extLst>
            <a:ext uri="{FF2B5EF4-FFF2-40B4-BE49-F238E27FC236}">
              <a16:creationId xmlns:a16="http://schemas.microsoft.com/office/drawing/2014/main" id="{67BA5E5C-A270-4DE1-AEE0-B229843788E1}"/>
            </a:ext>
          </a:extLst>
        </xdr:cNvPr>
        <xdr:cNvSpPr>
          <a:spLocks noChangeAspect="1" noChangeArrowheads="1"/>
        </xdr:cNvSpPr>
      </xdr:nvSpPr>
      <xdr:spPr bwMode="auto">
        <a:xfrm>
          <a:off x="3457575" y="0"/>
          <a:ext cx="68407"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68407</xdr:colOff>
      <xdr:row>0</xdr:row>
      <xdr:rowOff>262389</xdr:rowOff>
    </xdr:to>
    <xdr:sp macro="" textlink="">
      <xdr:nvSpPr>
        <xdr:cNvPr id="4" name="AutoShape 1" descr="VERBANK SECURITIES C.B.S.A.">
          <a:extLst>
            <a:ext uri="{FF2B5EF4-FFF2-40B4-BE49-F238E27FC236}">
              <a16:creationId xmlns:a16="http://schemas.microsoft.com/office/drawing/2014/main" id="{2C7B6F6B-5022-4731-9986-B1467998202A}"/>
            </a:ext>
          </a:extLst>
        </xdr:cNvPr>
        <xdr:cNvSpPr>
          <a:spLocks noChangeAspect="1" noChangeArrowheads="1"/>
        </xdr:cNvSpPr>
      </xdr:nvSpPr>
      <xdr:spPr bwMode="auto">
        <a:xfrm>
          <a:off x="3457575" y="0"/>
          <a:ext cx="68407"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68407</xdr:colOff>
      <xdr:row>0</xdr:row>
      <xdr:rowOff>254346</xdr:rowOff>
    </xdr:to>
    <xdr:sp macro="" textlink="">
      <xdr:nvSpPr>
        <xdr:cNvPr id="5" name="AutoShape 1" descr="VERBANK SECURITIES C.B.S.A.">
          <a:extLst>
            <a:ext uri="{FF2B5EF4-FFF2-40B4-BE49-F238E27FC236}">
              <a16:creationId xmlns:a16="http://schemas.microsoft.com/office/drawing/2014/main" id="{03896567-F984-4574-9525-C9BE9C7D2E87}"/>
            </a:ext>
          </a:extLst>
        </xdr:cNvPr>
        <xdr:cNvSpPr>
          <a:spLocks noChangeAspect="1" noChangeArrowheads="1"/>
        </xdr:cNvSpPr>
      </xdr:nvSpPr>
      <xdr:spPr bwMode="auto">
        <a:xfrm>
          <a:off x="5686425" y="0"/>
          <a:ext cx="68407" cy="254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68407</xdr:colOff>
      <xdr:row>0</xdr:row>
      <xdr:rowOff>262389</xdr:rowOff>
    </xdr:to>
    <xdr:sp macro="" textlink="">
      <xdr:nvSpPr>
        <xdr:cNvPr id="6" name="AutoShape 1" descr="VERBANK SECURITIES C.B.S.A.">
          <a:extLst>
            <a:ext uri="{FF2B5EF4-FFF2-40B4-BE49-F238E27FC236}">
              <a16:creationId xmlns:a16="http://schemas.microsoft.com/office/drawing/2014/main" id="{213C9DC1-44B7-4CFA-996E-57883B383C85}"/>
            </a:ext>
          </a:extLst>
        </xdr:cNvPr>
        <xdr:cNvSpPr>
          <a:spLocks noChangeAspect="1" noChangeArrowheads="1"/>
        </xdr:cNvSpPr>
      </xdr:nvSpPr>
      <xdr:spPr bwMode="auto">
        <a:xfrm>
          <a:off x="3457575" y="0"/>
          <a:ext cx="68407"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68407</xdr:colOff>
      <xdr:row>0</xdr:row>
      <xdr:rowOff>262389</xdr:rowOff>
    </xdr:to>
    <xdr:sp macro="" textlink="">
      <xdr:nvSpPr>
        <xdr:cNvPr id="7" name="AutoShape 1" descr="VERBANK SECURITIES C.B.S.A.">
          <a:extLst>
            <a:ext uri="{FF2B5EF4-FFF2-40B4-BE49-F238E27FC236}">
              <a16:creationId xmlns:a16="http://schemas.microsoft.com/office/drawing/2014/main" id="{BBEF2C3F-753F-46DC-BEC0-50C394C9702C}"/>
            </a:ext>
          </a:extLst>
        </xdr:cNvPr>
        <xdr:cNvSpPr>
          <a:spLocks noChangeAspect="1" noChangeArrowheads="1"/>
        </xdr:cNvSpPr>
      </xdr:nvSpPr>
      <xdr:spPr bwMode="auto">
        <a:xfrm>
          <a:off x="3457575" y="0"/>
          <a:ext cx="68407"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68407</xdr:colOff>
      <xdr:row>0</xdr:row>
      <xdr:rowOff>254346</xdr:rowOff>
    </xdr:to>
    <xdr:sp macro="" textlink="">
      <xdr:nvSpPr>
        <xdr:cNvPr id="8" name="AutoShape 1" descr="VERBANK SECURITIES C.B.S.A.">
          <a:extLst>
            <a:ext uri="{FF2B5EF4-FFF2-40B4-BE49-F238E27FC236}">
              <a16:creationId xmlns:a16="http://schemas.microsoft.com/office/drawing/2014/main" id="{7B41A650-71F3-423C-8015-62B7DA8BEA79}"/>
            </a:ext>
          </a:extLst>
        </xdr:cNvPr>
        <xdr:cNvSpPr>
          <a:spLocks noChangeAspect="1" noChangeArrowheads="1"/>
        </xdr:cNvSpPr>
      </xdr:nvSpPr>
      <xdr:spPr bwMode="auto">
        <a:xfrm>
          <a:off x="5686425" y="0"/>
          <a:ext cx="68407" cy="254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68407</xdr:colOff>
      <xdr:row>0</xdr:row>
      <xdr:rowOff>262389</xdr:rowOff>
    </xdr:to>
    <xdr:sp macro="" textlink="">
      <xdr:nvSpPr>
        <xdr:cNvPr id="9" name="AutoShape 1" descr="VERBANK SECURITIES C.B.S.A.">
          <a:extLst>
            <a:ext uri="{FF2B5EF4-FFF2-40B4-BE49-F238E27FC236}">
              <a16:creationId xmlns:a16="http://schemas.microsoft.com/office/drawing/2014/main" id="{C12B75E1-03D6-478F-99ED-FFF3FBBDCA8C}"/>
            </a:ext>
          </a:extLst>
        </xdr:cNvPr>
        <xdr:cNvSpPr>
          <a:spLocks noChangeAspect="1" noChangeArrowheads="1"/>
        </xdr:cNvSpPr>
      </xdr:nvSpPr>
      <xdr:spPr bwMode="auto">
        <a:xfrm>
          <a:off x="3457575" y="0"/>
          <a:ext cx="68407"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68407</xdr:colOff>
      <xdr:row>0</xdr:row>
      <xdr:rowOff>262389</xdr:rowOff>
    </xdr:to>
    <xdr:sp macro="" textlink="">
      <xdr:nvSpPr>
        <xdr:cNvPr id="10" name="AutoShape 1" descr="VERBANK SECURITIES C.B.S.A.">
          <a:extLst>
            <a:ext uri="{FF2B5EF4-FFF2-40B4-BE49-F238E27FC236}">
              <a16:creationId xmlns:a16="http://schemas.microsoft.com/office/drawing/2014/main" id="{19613AD6-9B01-4009-B646-A9E1F0706A50}"/>
            </a:ext>
          </a:extLst>
        </xdr:cNvPr>
        <xdr:cNvSpPr>
          <a:spLocks noChangeAspect="1" noChangeArrowheads="1"/>
        </xdr:cNvSpPr>
      </xdr:nvSpPr>
      <xdr:spPr bwMode="auto">
        <a:xfrm>
          <a:off x="3457575" y="0"/>
          <a:ext cx="68407"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68407</xdr:colOff>
      <xdr:row>0</xdr:row>
      <xdr:rowOff>254346</xdr:rowOff>
    </xdr:to>
    <xdr:sp macro="" textlink="">
      <xdr:nvSpPr>
        <xdr:cNvPr id="11" name="AutoShape 1" descr="VERBANK SECURITIES C.B.S.A.">
          <a:extLst>
            <a:ext uri="{FF2B5EF4-FFF2-40B4-BE49-F238E27FC236}">
              <a16:creationId xmlns:a16="http://schemas.microsoft.com/office/drawing/2014/main" id="{FE0A808D-8CE7-4EDA-A8C6-F389FCCFEDD0}"/>
            </a:ext>
          </a:extLst>
        </xdr:cNvPr>
        <xdr:cNvSpPr>
          <a:spLocks noChangeAspect="1" noChangeArrowheads="1"/>
        </xdr:cNvSpPr>
      </xdr:nvSpPr>
      <xdr:spPr bwMode="auto">
        <a:xfrm>
          <a:off x="5686425" y="0"/>
          <a:ext cx="68407" cy="254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68407</xdr:colOff>
      <xdr:row>0</xdr:row>
      <xdr:rowOff>262389</xdr:rowOff>
    </xdr:to>
    <xdr:sp macro="" textlink="">
      <xdr:nvSpPr>
        <xdr:cNvPr id="12" name="AutoShape 1" descr="VERBANK SECURITIES C.B.S.A.">
          <a:extLst>
            <a:ext uri="{FF2B5EF4-FFF2-40B4-BE49-F238E27FC236}">
              <a16:creationId xmlns:a16="http://schemas.microsoft.com/office/drawing/2014/main" id="{4DC3E30E-1BE4-4E14-A4DC-C5FFEFCBBCDA}"/>
            </a:ext>
          </a:extLst>
        </xdr:cNvPr>
        <xdr:cNvSpPr>
          <a:spLocks noChangeAspect="1" noChangeArrowheads="1"/>
        </xdr:cNvSpPr>
      </xdr:nvSpPr>
      <xdr:spPr bwMode="auto">
        <a:xfrm>
          <a:off x="3457575" y="0"/>
          <a:ext cx="68407"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0</xdr:row>
      <xdr:rowOff>0</xdr:rowOff>
    </xdr:from>
    <xdr:to>
      <xdr:col>2</xdr:col>
      <xdr:colOff>68407</xdr:colOff>
      <xdr:row>0</xdr:row>
      <xdr:rowOff>262389</xdr:rowOff>
    </xdr:to>
    <xdr:sp macro="" textlink="">
      <xdr:nvSpPr>
        <xdr:cNvPr id="13" name="AutoShape 1" descr="VERBANK SECURITIES C.B.S.A.">
          <a:extLst>
            <a:ext uri="{FF2B5EF4-FFF2-40B4-BE49-F238E27FC236}">
              <a16:creationId xmlns:a16="http://schemas.microsoft.com/office/drawing/2014/main" id="{712B953D-BB61-4301-A42D-92B4070CDEED}"/>
            </a:ext>
          </a:extLst>
        </xdr:cNvPr>
        <xdr:cNvSpPr>
          <a:spLocks noChangeAspect="1" noChangeArrowheads="1"/>
        </xdr:cNvSpPr>
      </xdr:nvSpPr>
      <xdr:spPr bwMode="auto">
        <a:xfrm>
          <a:off x="3457575" y="0"/>
          <a:ext cx="68407"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0</xdr:colOff>
      <xdr:row>0</xdr:row>
      <xdr:rowOff>0</xdr:rowOff>
    </xdr:from>
    <xdr:ext cx="68407" cy="271279"/>
    <xdr:sp macro="" textlink="">
      <xdr:nvSpPr>
        <xdr:cNvPr id="14" name="AutoShape 1" descr="VERBANK SECURITIES C.B.S.A.">
          <a:extLst>
            <a:ext uri="{FF2B5EF4-FFF2-40B4-BE49-F238E27FC236}">
              <a16:creationId xmlns:a16="http://schemas.microsoft.com/office/drawing/2014/main" id="{E7AAA290-7A1A-42FB-B5B1-C6817B05D04D}"/>
            </a:ext>
          </a:extLst>
        </xdr:cNvPr>
        <xdr:cNvSpPr>
          <a:spLocks noChangeAspect="1" noChangeArrowheads="1"/>
        </xdr:cNvSpPr>
      </xdr:nvSpPr>
      <xdr:spPr bwMode="auto">
        <a:xfrm>
          <a:off x="56864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0</xdr:row>
      <xdr:rowOff>0</xdr:rowOff>
    </xdr:from>
    <xdr:ext cx="68407" cy="271279"/>
    <xdr:sp macro="" textlink="">
      <xdr:nvSpPr>
        <xdr:cNvPr id="15" name="AutoShape 1" descr="VERBANK SECURITIES C.B.S.A.">
          <a:extLst>
            <a:ext uri="{FF2B5EF4-FFF2-40B4-BE49-F238E27FC236}">
              <a16:creationId xmlns:a16="http://schemas.microsoft.com/office/drawing/2014/main" id="{2F371A25-D831-4B4A-A59F-083B3E9C5F61}"/>
            </a:ext>
          </a:extLst>
        </xdr:cNvPr>
        <xdr:cNvSpPr>
          <a:spLocks noChangeAspect="1" noChangeArrowheads="1"/>
        </xdr:cNvSpPr>
      </xdr:nvSpPr>
      <xdr:spPr bwMode="auto">
        <a:xfrm>
          <a:off x="56864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0</xdr:row>
      <xdr:rowOff>0</xdr:rowOff>
    </xdr:from>
    <xdr:ext cx="68407" cy="271279"/>
    <xdr:sp macro="" textlink="">
      <xdr:nvSpPr>
        <xdr:cNvPr id="16" name="AutoShape 1" descr="VERBANK SECURITIES C.B.S.A.">
          <a:extLst>
            <a:ext uri="{FF2B5EF4-FFF2-40B4-BE49-F238E27FC236}">
              <a16:creationId xmlns:a16="http://schemas.microsoft.com/office/drawing/2014/main" id="{DCF92A33-A238-4FAD-81D3-90B241A0C32B}"/>
            </a:ext>
          </a:extLst>
        </xdr:cNvPr>
        <xdr:cNvSpPr>
          <a:spLocks noChangeAspect="1" noChangeArrowheads="1"/>
        </xdr:cNvSpPr>
      </xdr:nvSpPr>
      <xdr:spPr bwMode="auto">
        <a:xfrm>
          <a:off x="56864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0</xdr:row>
      <xdr:rowOff>0</xdr:rowOff>
    </xdr:from>
    <xdr:ext cx="68407" cy="271279"/>
    <xdr:sp macro="" textlink="">
      <xdr:nvSpPr>
        <xdr:cNvPr id="17" name="AutoShape 1" descr="VERBANK SECURITIES C.B.S.A.">
          <a:extLst>
            <a:ext uri="{FF2B5EF4-FFF2-40B4-BE49-F238E27FC236}">
              <a16:creationId xmlns:a16="http://schemas.microsoft.com/office/drawing/2014/main" id="{6EBA7F67-E47F-4F94-901F-C64B557A7573}"/>
            </a:ext>
          </a:extLst>
        </xdr:cNvPr>
        <xdr:cNvSpPr>
          <a:spLocks noChangeAspect="1" noChangeArrowheads="1"/>
        </xdr:cNvSpPr>
      </xdr:nvSpPr>
      <xdr:spPr bwMode="auto">
        <a:xfrm>
          <a:off x="56864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0</xdr:row>
      <xdr:rowOff>0</xdr:rowOff>
    </xdr:from>
    <xdr:ext cx="68407" cy="271279"/>
    <xdr:sp macro="" textlink="">
      <xdr:nvSpPr>
        <xdr:cNvPr id="18" name="AutoShape 1" descr="VERBANK SECURITIES C.B.S.A.">
          <a:extLst>
            <a:ext uri="{FF2B5EF4-FFF2-40B4-BE49-F238E27FC236}">
              <a16:creationId xmlns:a16="http://schemas.microsoft.com/office/drawing/2014/main" id="{B2DD68E2-C70C-4FC8-88F0-95A83706D343}"/>
            </a:ext>
          </a:extLst>
        </xdr:cNvPr>
        <xdr:cNvSpPr>
          <a:spLocks noChangeAspect="1" noChangeArrowheads="1"/>
        </xdr:cNvSpPr>
      </xdr:nvSpPr>
      <xdr:spPr bwMode="auto">
        <a:xfrm>
          <a:off x="56864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0</xdr:row>
      <xdr:rowOff>0</xdr:rowOff>
    </xdr:from>
    <xdr:ext cx="68407" cy="271279"/>
    <xdr:sp macro="" textlink="">
      <xdr:nvSpPr>
        <xdr:cNvPr id="19" name="AutoShape 1" descr="VERBANK SECURITIES C.B.S.A.">
          <a:extLst>
            <a:ext uri="{FF2B5EF4-FFF2-40B4-BE49-F238E27FC236}">
              <a16:creationId xmlns:a16="http://schemas.microsoft.com/office/drawing/2014/main" id="{F4C9B245-3F85-483B-A29F-0B136FE6ED78}"/>
            </a:ext>
          </a:extLst>
        </xdr:cNvPr>
        <xdr:cNvSpPr>
          <a:spLocks noChangeAspect="1" noChangeArrowheads="1"/>
        </xdr:cNvSpPr>
      </xdr:nvSpPr>
      <xdr:spPr bwMode="auto">
        <a:xfrm>
          <a:off x="56864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0</xdr:row>
      <xdr:rowOff>0</xdr:rowOff>
    </xdr:from>
    <xdr:ext cx="68407" cy="271279"/>
    <xdr:sp macro="" textlink="">
      <xdr:nvSpPr>
        <xdr:cNvPr id="20" name="AutoShape 1" descr="VERBANK SECURITIES C.B.S.A.">
          <a:extLst>
            <a:ext uri="{FF2B5EF4-FFF2-40B4-BE49-F238E27FC236}">
              <a16:creationId xmlns:a16="http://schemas.microsoft.com/office/drawing/2014/main" id="{36763890-AD92-488B-AE95-FE28D2106D94}"/>
            </a:ext>
          </a:extLst>
        </xdr:cNvPr>
        <xdr:cNvSpPr>
          <a:spLocks noChangeAspect="1" noChangeArrowheads="1"/>
        </xdr:cNvSpPr>
      </xdr:nvSpPr>
      <xdr:spPr bwMode="auto">
        <a:xfrm>
          <a:off x="56864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0</xdr:row>
      <xdr:rowOff>0</xdr:rowOff>
    </xdr:from>
    <xdr:ext cx="68407" cy="271279"/>
    <xdr:sp macro="" textlink="">
      <xdr:nvSpPr>
        <xdr:cNvPr id="21" name="AutoShape 1" descr="VERBANK SECURITIES C.B.S.A.">
          <a:extLst>
            <a:ext uri="{FF2B5EF4-FFF2-40B4-BE49-F238E27FC236}">
              <a16:creationId xmlns:a16="http://schemas.microsoft.com/office/drawing/2014/main" id="{D1BFFF28-2C49-45BD-B026-DAE877EB59CD}"/>
            </a:ext>
          </a:extLst>
        </xdr:cNvPr>
        <xdr:cNvSpPr>
          <a:spLocks noChangeAspect="1" noChangeArrowheads="1"/>
        </xdr:cNvSpPr>
      </xdr:nvSpPr>
      <xdr:spPr bwMode="auto">
        <a:xfrm>
          <a:off x="56864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0</xdr:row>
      <xdr:rowOff>0</xdr:rowOff>
    </xdr:from>
    <xdr:ext cx="68407" cy="257521"/>
    <xdr:sp macro="" textlink="">
      <xdr:nvSpPr>
        <xdr:cNvPr id="22" name="AutoShape 1" descr="VERBANK SECURITIES C.B.S.A.">
          <a:extLst>
            <a:ext uri="{FF2B5EF4-FFF2-40B4-BE49-F238E27FC236}">
              <a16:creationId xmlns:a16="http://schemas.microsoft.com/office/drawing/2014/main" id="{A48A9EDB-532D-4EC4-897D-24AD44AE7DED}"/>
            </a:ext>
          </a:extLst>
        </xdr:cNvPr>
        <xdr:cNvSpPr>
          <a:spLocks noChangeAspect="1" noChangeArrowheads="1"/>
        </xdr:cNvSpPr>
      </xdr:nvSpPr>
      <xdr:spPr bwMode="auto">
        <a:xfrm>
          <a:off x="7210425" y="0"/>
          <a:ext cx="68407" cy="257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0</xdr:row>
      <xdr:rowOff>0</xdr:rowOff>
    </xdr:from>
    <xdr:ext cx="68407" cy="265564"/>
    <xdr:sp macro="" textlink="">
      <xdr:nvSpPr>
        <xdr:cNvPr id="23" name="AutoShape 1" descr="VERBANK SECURITIES C.B.S.A.">
          <a:extLst>
            <a:ext uri="{FF2B5EF4-FFF2-40B4-BE49-F238E27FC236}">
              <a16:creationId xmlns:a16="http://schemas.microsoft.com/office/drawing/2014/main" id="{58729BDF-E365-482E-AFFC-C58F03C86B5E}"/>
            </a:ext>
          </a:extLst>
        </xdr:cNvPr>
        <xdr:cNvSpPr>
          <a:spLocks noChangeAspect="1" noChangeArrowheads="1"/>
        </xdr:cNvSpPr>
      </xdr:nvSpPr>
      <xdr:spPr bwMode="auto">
        <a:xfrm>
          <a:off x="5686425" y="0"/>
          <a:ext cx="68407" cy="2655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0</xdr:row>
      <xdr:rowOff>0</xdr:rowOff>
    </xdr:from>
    <xdr:ext cx="68407" cy="265564"/>
    <xdr:sp macro="" textlink="">
      <xdr:nvSpPr>
        <xdr:cNvPr id="24" name="AutoShape 1" descr="VERBANK SECURITIES C.B.S.A.">
          <a:extLst>
            <a:ext uri="{FF2B5EF4-FFF2-40B4-BE49-F238E27FC236}">
              <a16:creationId xmlns:a16="http://schemas.microsoft.com/office/drawing/2014/main" id="{32D0E2BF-3353-44C1-965C-1C81C7A984EE}"/>
            </a:ext>
          </a:extLst>
        </xdr:cNvPr>
        <xdr:cNvSpPr>
          <a:spLocks noChangeAspect="1" noChangeArrowheads="1"/>
        </xdr:cNvSpPr>
      </xdr:nvSpPr>
      <xdr:spPr bwMode="auto">
        <a:xfrm>
          <a:off x="5686425" y="0"/>
          <a:ext cx="68407" cy="2655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0</xdr:row>
      <xdr:rowOff>0</xdr:rowOff>
    </xdr:from>
    <xdr:ext cx="68407" cy="257521"/>
    <xdr:sp macro="" textlink="">
      <xdr:nvSpPr>
        <xdr:cNvPr id="25" name="AutoShape 1" descr="VERBANK SECURITIES C.B.S.A.">
          <a:extLst>
            <a:ext uri="{FF2B5EF4-FFF2-40B4-BE49-F238E27FC236}">
              <a16:creationId xmlns:a16="http://schemas.microsoft.com/office/drawing/2014/main" id="{EC898503-B1D2-4331-A457-CAC05F26CBED}"/>
            </a:ext>
          </a:extLst>
        </xdr:cNvPr>
        <xdr:cNvSpPr>
          <a:spLocks noChangeAspect="1" noChangeArrowheads="1"/>
        </xdr:cNvSpPr>
      </xdr:nvSpPr>
      <xdr:spPr bwMode="auto">
        <a:xfrm>
          <a:off x="7210425" y="0"/>
          <a:ext cx="68407" cy="257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0</xdr:row>
      <xdr:rowOff>0</xdr:rowOff>
    </xdr:from>
    <xdr:ext cx="68407" cy="265564"/>
    <xdr:sp macro="" textlink="">
      <xdr:nvSpPr>
        <xdr:cNvPr id="26" name="AutoShape 1" descr="VERBANK SECURITIES C.B.S.A.">
          <a:extLst>
            <a:ext uri="{FF2B5EF4-FFF2-40B4-BE49-F238E27FC236}">
              <a16:creationId xmlns:a16="http://schemas.microsoft.com/office/drawing/2014/main" id="{E73020D6-5ECD-4354-B567-7C047D4EA15F}"/>
            </a:ext>
          </a:extLst>
        </xdr:cNvPr>
        <xdr:cNvSpPr>
          <a:spLocks noChangeAspect="1" noChangeArrowheads="1"/>
        </xdr:cNvSpPr>
      </xdr:nvSpPr>
      <xdr:spPr bwMode="auto">
        <a:xfrm>
          <a:off x="5686425" y="0"/>
          <a:ext cx="68407" cy="2655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0</xdr:row>
      <xdr:rowOff>0</xdr:rowOff>
    </xdr:from>
    <xdr:ext cx="68407" cy="265564"/>
    <xdr:sp macro="" textlink="">
      <xdr:nvSpPr>
        <xdr:cNvPr id="27" name="AutoShape 1" descr="VERBANK SECURITIES C.B.S.A.">
          <a:extLst>
            <a:ext uri="{FF2B5EF4-FFF2-40B4-BE49-F238E27FC236}">
              <a16:creationId xmlns:a16="http://schemas.microsoft.com/office/drawing/2014/main" id="{EDFD682A-00B8-46E6-9543-7AB2B351F442}"/>
            </a:ext>
          </a:extLst>
        </xdr:cNvPr>
        <xdr:cNvSpPr>
          <a:spLocks noChangeAspect="1" noChangeArrowheads="1"/>
        </xdr:cNvSpPr>
      </xdr:nvSpPr>
      <xdr:spPr bwMode="auto">
        <a:xfrm>
          <a:off x="5686425" y="0"/>
          <a:ext cx="68407" cy="2655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0</xdr:row>
      <xdr:rowOff>0</xdr:rowOff>
    </xdr:from>
    <xdr:ext cx="68407" cy="257521"/>
    <xdr:sp macro="" textlink="">
      <xdr:nvSpPr>
        <xdr:cNvPr id="28" name="AutoShape 1" descr="VERBANK SECURITIES C.B.S.A.">
          <a:extLst>
            <a:ext uri="{FF2B5EF4-FFF2-40B4-BE49-F238E27FC236}">
              <a16:creationId xmlns:a16="http://schemas.microsoft.com/office/drawing/2014/main" id="{71173AC3-13D1-457F-A7D6-EE2322BA5008}"/>
            </a:ext>
          </a:extLst>
        </xdr:cNvPr>
        <xdr:cNvSpPr>
          <a:spLocks noChangeAspect="1" noChangeArrowheads="1"/>
        </xdr:cNvSpPr>
      </xdr:nvSpPr>
      <xdr:spPr bwMode="auto">
        <a:xfrm>
          <a:off x="7210425" y="0"/>
          <a:ext cx="68407" cy="257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0</xdr:row>
      <xdr:rowOff>0</xdr:rowOff>
    </xdr:from>
    <xdr:ext cx="68407" cy="265564"/>
    <xdr:sp macro="" textlink="">
      <xdr:nvSpPr>
        <xdr:cNvPr id="29" name="AutoShape 1" descr="VERBANK SECURITIES C.B.S.A.">
          <a:extLst>
            <a:ext uri="{FF2B5EF4-FFF2-40B4-BE49-F238E27FC236}">
              <a16:creationId xmlns:a16="http://schemas.microsoft.com/office/drawing/2014/main" id="{51764AD6-8970-48B3-AB96-02C4EC9CBD7E}"/>
            </a:ext>
          </a:extLst>
        </xdr:cNvPr>
        <xdr:cNvSpPr>
          <a:spLocks noChangeAspect="1" noChangeArrowheads="1"/>
        </xdr:cNvSpPr>
      </xdr:nvSpPr>
      <xdr:spPr bwMode="auto">
        <a:xfrm>
          <a:off x="5686425" y="0"/>
          <a:ext cx="68407" cy="2655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0</xdr:row>
      <xdr:rowOff>0</xdr:rowOff>
    </xdr:from>
    <xdr:ext cx="68407" cy="265564"/>
    <xdr:sp macro="" textlink="">
      <xdr:nvSpPr>
        <xdr:cNvPr id="30" name="AutoShape 1" descr="VERBANK SECURITIES C.B.S.A.">
          <a:extLst>
            <a:ext uri="{FF2B5EF4-FFF2-40B4-BE49-F238E27FC236}">
              <a16:creationId xmlns:a16="http://schemas.microsoft.com/office/drawing/2014/main" id="{1977C9FA-5B1E-4FE0-A6FF-12FB7F44B6F1}"/>
            </a:ext>
          </a:extLst>
        </xdr:cNvPr>
        <xdr:cNvSpPr>
          <a:spLocks noChangeAspect="1" noChangeArrowheads="1"/>
        </xdr:cNvSpPr>
      </xdr:nvSpPr>
      <xdr:spPr bwMode="auto">
        <a:xfrm>
          <a:off x="5686425" y="0"/>
          <a:ext cx="68407" cy="2655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0</xdr:row>
      <xdr:rowOff>0</xdr:rowOff>
    </xdr:from>
    <xdr:ext cx="68407" cy="257521"/>
    <xdr:sp macro="" textlink="">
      <xdr:nvSpPr>
        <xdr:cNvPr id="31" name="AutoShape 1" descr="VERBANK SECURITIES C.B.S.A.">
          <a:extLst>
            <a:ext uri="{FF2B5EF4-FFF2-40B4-BE49-F238E27FC236}">
              <a16:creationId xmlns:a16="http://schemas.microsoft.com/office/drawing/2014/main" id="{4176AD01-24A9-4127-BEEB-6B9954006027}"/>
            </a:ext>
          </a:extLst>
        </xdr:cNvPr>
        <xdr:cNvSpPr>
          <a:spLocks noChangeAspect="1" noChangeArrowheads="1"/>
        </xdr:cNvSpPr>
      </xdr:nvSpPr>
      <xdr:spPr bwMode="auto">
        <a:xfrm>
          <a:off x="7210425" y="0"/>
          <a:ext cx="68407" cy="257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0</xdr:row>
      <xdr:rowOff>0</xdr:rowOff>
    </xdr:from>
    <xdr:ext cx="68407" cy="265564"/>
    <xdr:sp macro="" textlink="">
      <xdr:nvSpPr>
        <xdr:cNvPr id="32" name="AutoShape 1" descr="VERBANK SECURITIES C.B.S.A.">
          <a:extLst>
            <a:ext uri="{FF2B5EF4-FFF2-40B4-BE49-F238E27FC236}">
              <a16:creationId xmlns:a16="http://schemas.microsoft.com/office/drawing/2014/main" id="{2E440037-85D0-4A49-9A9D-4EEB652E2359}"/>
            </a:ext>
          </a:extLst>
        </xdr:cNvPr>
        <xdr:cNvSpPr>
          <a:spLocks noChangeAspect="1" noChangeArrowheads="1"/>
        </xdr:cNvSpPr>
      </xdr:nvSpPr>
      <xdr:spPr bwMode="auto">
        <a:xfrm>
          <a:off x="5686425" y="0"/>
          <a:ext cx="68407" cy="2655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0</xdr:row>
      <xdr:rowOff>0</xdr:rowOff>
    </xdr:from>
    <xdr:ext cx="68407" cy="265564"/>
    <xdr:sp macro="" textlink="">
      <xdr:nvSpPr>
        <xdr:cNvPr id="33" name="AutoShape 1" descr="VERBANK SECURITIES C.B.S.A.">
          <a:extLst>
            <a:ext uri="{FF2B5EF4-FFF2-40B4-BE49-F238E27FC236}">
              <a16:creationId xmlns:a16="http://schemas.microsoft.com/office/drawing/2014/main" id="{DB019332-7279-42E8-BF19-05550D2BA87B}"/>
            </a:ext>
          </a:extLst>
        </xdr:cNvPr>
        <xdr:cNvSpPr>
          <a:spLocks noChangeAspect="1" noChangeArrowheads="1"/>
        </xdr:cNvSpPr>
      </xdr:nvSpPr>
      <xdr:spPr bwMode="auto">
        <a:xfrm>
          <a:off x="5686425" y="0"/>
          <a:ext cx="68407" cy="2655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0</xdr:row>
      <xdr:rowOff>0</xdr:rowOff>
    </xdr:from>
    <xdr:ext cx="68407" cy="271279"/>
    <xdr:sp macro="" textlink="">
      <xdr:nvSpPr>
        <xdr:cNvPr id="34" name="AutoShape 1" descr="VERBANK SECURITIES C.B.S.A.">
          <a:extLst>
            <a:ext uri="{FF2B5EF4-FFF2-40B4-BE49-F238E27FC236}">
              <a16:creationId xmlns:a16="http://schemas.microsoft.com/office/drawing/2014/main" id="{B16D26F1-8890-4685-AC76-F8228711F6EE}"/>
            </a:ext>
          </a:extLst>
        </xdr:cNvPr>
        <xdr:cNvSpPr>
          <a:spLocks noChangeAspect="1" noChangeArrowheads="1"/>
        </xdr:cNvSpPr>
      </xdr:nvSpPr>
      <xdr:spPr bwMode="auto">
        <a:xfrm>
          <a:off x="72104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0</xdr:row>
      <xdr:rowOff>0</xdr:rowOff>
    </xdr:from>
    <xdr:ext cx="68407" cy="271279"/>
    <xdr:sp macro="" textlink="">
      <xdr:nvSpPr>
        <xdr:cNvPr id="35" name="AutoShape 1" descr="VERBANK SECURITIES C.B.S.A.">
          <a:extLst>
            <a:ext uri="{FF2B5EF4-FFF2-40B4-BE49-F238E27FC236}">
              <a16:creationId xmlns:a16="http://schemas.microsoft.com/office/drawing/2014/main" id="{11E838F6-7DF6-4385-90C5-F71944B09046}"/>
            </a:ext>
          </a:extLst>
        </xdr:cNvPr>
        <xdr:cNvSpPr>
          <a:spLocks noChangeAspect="1" noChangeArrowheads="1"/>
        </xdr:cNvSpPr>
      </xdr:nvSpPr>
      <xdr:spPr bwMode="auto">
        <a:xfrm>
          <a:off x="72104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0</xdr:row>
      <xdr:rowOff>0</xdr:rowOff>
    </xdr:from>
    <xdr:ext cx="68407" cy="271279"/>
    <xdr:sp macro="" textlink="">
      <xdr:nvSpPr>
        <xdr:cNvPr id="36" name="AutoShape 1" descr="VERBANK SECURITIES C.B.S.A.">
          <a:extLst>
            <a:ext uri="{FF2B5EF4-FFF2-40B4-BE49-F238E27FC236}">
              <a16:creationId xmlns:a16="http://schemas.microsoft.com/office/drawing/2014/main" id="{D016C6F7-9C72-4A7E-BB39-D7BF826D998D}"/>
            </a:ext>
          </a:extLst>
        </xdr:cNvPr>
        <xdr:cNvSpPr>
          <a:spLocks noChangeAspect="1" noChangeArrowheads="1"/>
        </xdr:cNvSpPr>
      </xdr:nvSpPr>
      <xdr:spPr bwMode="auto">
        <a:xfrm>
          <a:off x="72104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0</xdr:row>
      <xdr:rowOff>0</xdr:rowOff>
    </xdr:from>
    <xdr:ext cx="68407" cy="271279"/>
    <xdr:sp macro="" textlink="">
      <xdr:nvSpPr>
        <xdr:cNvPr id="37" name="AutoShape 1" descr="VERBANK SECURITIES C.B.S.A.">
          <a:extLst>
            <a:ext uri="{FF2B5EF4-FFF2-40B4-BE49-F238E27FC236}">
              <a16:creationId xmlns:a16="http://schemas.microsoft.com/office/drawing/2014/main" id="{B78461D8-03BA-4B75-99A4-5E3F9B461D7B}"/>
            </a:ext>
          </a:extLst>
        </xdr:cNvPr>
        <xdr:cNvSpPr>
          <a:spLocks noChangeAspect="1" noChangeArrowheads="1"/>
        </xdr:cNvSpPr>
      </xdr:nvSpPr>
      <xdr:spPr bwMode="auto">
        <a:xfrm>
          <a:off x="72104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0</xdr:row>
      <xdr:rowOff>0</xdr:rowOff>
    </xdr:from>
    <xdr:ext cx="68407" cy="271279"/>
    <xdr:sp macro="" textlink="">
      <xdr:nvSpPr>
        <xdr:cNvPr id="38" name="AutoShape 1" descr="VERBANK SECURITIES C.B.S.A.">
          <a:extLst>
            <a:ext uri="{FF2B5EF4-FFF2-40B4-BE49-F238E27FC236}">
              <a16:creationId xmlns:a16="http://schemas.microsoft.com/office/drawing/2014/main" id="{44582757-487D-4643-ADC6-3FA6DC9C8005}"/>
            </a:ext>
          </a:extLst>
        </xdr:cNvPr>
        <xdr:cNvSpPr>
          <a:spLocks noChangeAspect="1" noChangeArrowheads="1"/>
        </xdr:cNvSpPr>
      </xdr:nvSpPr>
      <xdr:spPr bwMode="auto">
        <a:xfrm>
          <a:off x="72104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0</xdr:row>
      <xdr:rowOff>0</xdr:rowOff>
    </xdr:from>
    <xdr:ext cx="68407" cy="271279"/>
    <xdr:sp macro="" textlink="">
      <xdr:nvSpPr>
        <xdr:cNvPr id="39" name="AutoShape 1" descr="VERBANK SECURITIES C.B.S.A.">
          <a:extLst>
            <a:ext uri="{FF2B5EF4-FFF2-40B4-BE49-F238E27FC236}">
              <a16:creationId xmlns:a16="http://schemas.microsoft.com/office/drawing/2014/main" id="{D5D21C89-B0C1-42DD-89A2-B2485B2B0A5E}"/>
            </a:ext>
          </a:extLst>
        </xdr:cNvPr>
        <xdr:cNvSpPr>
          <a:spLocks noChangeAspect="1" noChangeArrowheads="1"/>
        </xdr:cNvSpPr>
      </xdr:nvSpPr>
      <xdr:spPr bwMode="auto">
        <a:xfrm>
          <a:off x="72104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0</xdr:row>
      <xdr:rowOff>0</xdr:rowOff>
    </xdr:from>
    <xdr:ext cx="68407" cy="271279"/>
    <xdr:sp macro="" textlink="">
      <xdr:nvSpPr>
        <xdr:cNvPr id="40" name="AutoShape 1" descr="VERBANK SECURITIES C.B.S.A.">
          <a:extLst>
            <a:ext uri="{FF2B5EF4-FFF2-40B4-BE49-F238E27FC236}">
              <a16:creationId xmlns:a16="http://schemas.microsoft.com/office/drawing/2014/main" id="{BDA205ED-78EA-4760-8CF5-B5FA63D5E155}"/>
            </a:ext>
          </a:extLst>
        </xdr:cNvPr>
        <xdr:cNvSpPr>
          <a:spLocks noChangeAspect="1" noChangeArrowheads="1"/>
        </xdr:cNvSpPr>
      </xdr:nvSpPr>
      <xdr:spPr bwMode="auto">
        <a:xfrm>
          <a:off x="72104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0</xdr:row>
      <xdr:rowOff>0</xdr:rowOff>
    </xdr:from>
    <xdr:ext cx="68407" cy="271279"/>
    <xdr:sp macro="" textlink="">
      <xdr:nvSpPr>
        <xdr:cNvPr id="41" name="AutoShape 1" descr="VERBANK SECURITIES C.B.S.A.">
          <a:extLst>
            <a:ext uri="{FF2B5EF4-FFF2-40B4-BE49-F238E27FC236}">
              <a16:creationId xmlns:a16="http://schemas.microsoft.com/office/drawing/2014/main" id="{9F8561B9-D3C8-4E20-84A0-7566476F84E9}"/>
            </a:ext>
          </a:extLst>
        </xdr:cNvPr>
        <xdr:cNvSpPr>
          <a:spLocks noChangeAspect="1" noChangeArrowheads="1"/>
        </xdr:cNvSpPr>
      </xdr:nvSpPr>
      <xdr:spPr bwMode="auto">
        <a:xfrm>
          <a:off x="72104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0</xdr:row>
      <xdr:rowOff>0</xdr:rowOff>
    </xdr:from>
    <xdr:to>
      <xdr:col>4</xdr:col>
      <xdr:colOff>68407</xdr:colOff>
      <xdr:row>0</xdr:row>
      <xdr:rowOff>254346</xdr:rowOff>
    </xdr:to>
    <xdr:sp macro="" textlink="">
      <xdr:nvSpPr>
        <xdr:cNvPr id="42" name="AutoShape 1" descr="VERBANK SECURITIES C.B.S.A.">
          <a:extLst>
            <a:ext uri="{FF2B5EF4-FFF2-40B4-BE49-F238E27FC236}">
              <a16:creationId xmlns:a16="http://schemas.microsoft.com/office/drawing/2014/main" id="{CACF4BCC-1AD7-4B1A-8766-1CF4E8587ABF}"/>
            </a:ext>
          </a:extLst>
        </xdr:cNvPr>
        <xdr:cNvSpPr>
          <a:spLocks noChangeAspect="1" noChangeArrowheads="1"/>
        </xdr:cNvSpPr>
      </xdr:nvSpPr>
      <xdr:spPr bwMode="auto">
        <a:xfrm>
          <a:off x="7210425" y="0"/>
          <a:ext cx="68407" cy="254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68407</xdr:colOff>
      <xdr:row>0</xdr:row>
      <xdr:rowOff>262389</xdr:rowOff>
    </xdr:to>
    <xdr:sp macro="" textlink="">
      <xdr:nvSpPr>
        <xdr:cNvPr id="43" name="AutoShape 1" descr="VERBANK SECURITIES C.B.S.A.">
          <a:extLst>
            <a:ext uri="{FF2B5EF4-FFF2-40B4-BE49-F238E27FC236}">
              <a16:creationId xmlns:a16="http://schemas.microsoft.com/office/drawing/2014/main" id="{3D7287CB-BA5B-43C9-9A48-606D361EB6AA}"/>
            </a:ext>
          </a:extLst>
        </xdr:cNvPr>
        <xdr:cNvSpPr>
          <a:spLocks noChangeAspect="1" noChangeArrowheads="1"/>
        </xdr:cNvSpPr>
      </xdr:nvSpPr>
      <xdr:spPr bwMode="auto">
        <a:xfrm>
          <a:off x="5686425" y="0"/>
          <a:ext cx="68407"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68407</xdr:colOff>
      <xdr:row>0</xdr:row>
      <xdr:rowOff>262389</xdr:rowOff>
    </xdr:to>
    <xdr:sp macro="" textlink="">
      <xdr:nvSpPr>
        <xdr:cNvPr id="44" name="AutoShape 1" descr="VERBANK SECURITIES C.B.S.A.">
          <a:extLst>
            <a:ext uri="{FF2B5EF4-FFF2-40B4-BE49-F238E27FC236}">
              <a16:creationId xmlns:a16="http://schemas.microsoft.com/office/drawing/2014/main" id="{28269D5B-18CD-4421-8627-2EFB7358C50D}"/>
            </a:ext>
          </a:extLst>
        </xdr:cNvPr>
        <xdr:cNvSpPr>
          <a:spLocks noChangeAspect="1" noChangeArrowheads="1"/>
        </xdr:cNvSpPr>
      </xdr:nvSpPr>
      <xdr:spPr bwMode="auto">
        <a:xfrm>
          <a:off x="5686425" y="0"/>
          <a:ext cx="68407"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0</xdr:row>
      <xdr:rowOff>0</xdr:rowOff>
    </xdr:from>
    <xdr:to>
      <xdr:col>4</xdr:col>
      <xdr:colOff>68407</xdr:colOff>
      <xdr:row>0</xdr:row>
      <xdr:rowOff>254346</xdr:rowOff>
    </xdr:to>
    <xdr:sp macro="" textlink="">
      <xdr:nvSpPr>
        <xdr:cNvPr id="45" name="AutoShape 1" descr="VERBANK SECURITIES C.B.S.A.">
          <a:extLst>
            <a:ext uri="{FF2B5EF4-FFF2-40B4-BE49-F238E27FC236}">
              <a16:creationId xmlns:a16="http://schemas.microsoft.com/office/drawing/2014/main" id="{DB3D7B56-2F0A-492A-A0F7-9EFDD6381324}"/>
            </a:ext>
          </a:extLst>
        </xdr:cNvPr>
        <xdr:cNvSpPr>
          <a:spLocks noChangeAspect="1" noChangeArrowheads="1"/>
        </xdr:cNvSpPr>
      </xdr:nvSpPr>
      <xdr:spPr bwMode="auto">
        <a:xfrm>
          <a:off x="7210425" y="0"/>
          <a:ext cx="68407" cy="254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68407</xdr:colOff>
      <xdr:row>0</xdr:row>
      <xdr:rowOff>262389</xdr:rowOff>
    </xdr:to>
    <xdr:sp macro="" textlink="">
      <xdr:nvSpPr>
        <xdr:cNvPr id="46" name="AutoShape 1" descr="VERBANK SECURITIES C.B.S.A.">
          <a:extLst>
            <a:ext uri="{FF2B5EF4-FFF2-40B4-BE49-F238E27FC236}">
              <a16:creationId xmlns:a16="http://schemas.microsoft.com/office/drawing/2014/main" id="{83949D5E-C4B2-46BA-A604-6A08CDA994B3}"/>
            </a:ext>
          </a:extLst>
        </xdr:cNvPr>
        <xdr:cNvSpPr>
          <a:spLocks noChangeAspect="1" noChangeArrowheads="1"/>
        </xdr:cNvSpPr>
      </xdr:nvSpPr>
      <xdr:spPr bwMode="auto">
        <a:xfrm>
          <a:off x="5686425" y="0"/>
          <a:ext cx="68407"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68407</xdr:colOff>
      <xdr:row>0</xdr:row>
      <xdr:rowOff>262389</xdr:rowOff>
    </xdr:to>
    <xdr:sp macro="" textlink="">
      <xdr:nvSpPr>
        <xdr:cNvPr id="47" name="AutoShape 1" descr="VERBANK SECURITIES C.B.S.A.">
          <a:extLst>
            <a:ext uri="{FF2B5EF4-FFF2-40B4-BE49-F238E27FC236}">
              <a16:creationId xmlns:a16="http://schemas.microsoft.com/office/drawing/2014/main" id="{ED7167DD-C597-417B-9E31-748BBBC2CE39}"/>
            </a:ext>
          </a:extLst>
        </xdr:cNvPr>
        <xdr:cNvSpPr>
          <a:spLocks noChangeAspect="1" noChangeArrowheads="1"/>
        </xdr:cNvSpPr>
      </xdr:nvSpPr>
      <xdr:spPr bwMode="auto">
        <a:xfrm>
          <a:off x="5686425" y="0"/>
          <a:ext cx="68407"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0</xdr:row>
      <xdr:rowOff>0</xdr:rowOff>
    </xdr:from>
    <xdr:to>
      <xdr:col>4</xdr:col>
      <xdr:colOff>68407</xdr:colOff>
      <xdr:row>0</xdr:row>
      <xdr:rowOff>254346</xdr:rowOff>
    </xdr:to>
    <xdr:sp macro="" textlink="">
      <xdr:nvSpPr>
        <xdr:cNvPr id="48" name="AutoShape 1" descr="VERBANK SECURITIES C.B.S.A.">
          <a:extLst>
            <a:ext uri="{FF2B5EF4-FFF2-40B4-BE49-F238E27FC236}">
              <a16:creationId xmlns:a16="http://schemas.microsoft.com/office/drawing/2014/main" id="{A4EF2240-689B-463F-9A39-E6F6A03C5931}"/>
            </a:ext>
          </a:extLst>
        </xdr:cNvPr>
        <xdr:cNvSpPr>
          <a:spLocks noChangeAspect="1" noChangeArrowheads="1"/>
        </xdr:cNvSpPr>
      </xdr:nvSpPr>
      <xdr:spPr bwMode="auto">
        <a:xfrm>
          <a:off x="7210425" y="0"/>
          <a:ext cx="68407" cy="254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68407</xdr:colOff>
      <xdr:row>0</xdr:row>
      <xdr:rowOff>262389</xdr:rowOff>
    </xdr:to>
    <xdr:sp macro="" textlink="">
      <xdr:nvSpPr>
        <xdr:cNvPr id="49" name="AutoShape 1" descr="VERBANK SECURITIES C.B.S.A.">
          <a:extLst>
            <a:ext uri="{FF2B5EF4-FFF2-40B4-BE49-F238E27FC236}">
              <a16:creationId xmlns:a16="http://schemas.microsoft.com/office/drawing/2014/main" id="{641F1F5B-4AE3-44DB-BA69-A481013916BE}"/>
            </a:ext>
          </a:extLst>
        </xdr:cNvPr>
        <xdr:cNvSpPr>
          <a:spLocks noChangeAspect="1" noChangeArrowheads="1"/>
        </xdr:cNvSpPr>
      </xdr:nvSpPr>
      <xdr:spPr bwMode="auto">
        <a:xfrm>
          <a:off x="5686425" y="0"/>
          <a:ext cx="68407"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68407</xdr:colOff>
      <xdr:row>0</xdr:row>
      <xdr:rowOff>262389</xdr:rowOff>
    </xdr:to>
    <xdr:sp macro="" textlink="">
      <xdr:nvSpPr>
        <xdr:cNvPr id="50" name="AutoShape 1" descr="VERBANK SECURITIES C.B.S.A.">
          <a:extLst>
            <a:ext uri="{FF2B5EF4-FFF2-40B4-BE49-F238E27FC236}">
              <a16:creationId xmlns:a16="http://schemas.microsoft.com/office/drawing/2014/main" id="{0E6A92F9-7E7F-4F7C-B1B7-FE7FF4515AE0}"/>
            </a:ext>
          </a:extLst>
        </xdr:cNvPr>
        <xdr:cNvSpPr>
          <a:spLocks noChangeAspect="1" noChangeArrowheads="1"/>
        </xdr:cNvSpPr>
      </xdr:nvSpPr>
      <xdr:spPr bwMode="auto">
        <a:xfrm>
          <a:off x="5686425" y="0"/>
          <a:ext cx="68407"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0</xdr:row>
      <xdr:rowOff>0</xdr:rowOff>
    </xdr:from>
    <xdr:to>
      <xdr:col>4</xdr:col>
      <xdr:colOff>68407</xdr:colOff>
      <xdr:row>0</xdr:row>
      <xdr:rowOff>254346</xdr:rowOff>
    </xdr:to>
    <xdr:sp macro="" textlink="">
      <xdr:nvSpPr>
        <xdr:cNvPr id="51" name="AutoShape 1" descr="VERBANK SECURITIES C.B.S.A.">
          <a:extLst>
            <a:ext uri="{FF2B5EF4-FFF2-40B4-BE49-F238E27FC236}">
              <a16:creationId xmlns:a16="http://schemas.microsoft.com/office/drawing/2014/main" id="{41B211FC-8B70-442A-855E-93591FB3530E}"/>
            </a:ext>
          </a:extLst>
        </xdr:cNvPr>
        <xdr:cNvSpPr>
          <a:spLocks noChangeAspect="1" noChangeArrowheads="1"/>
        </xdr:cNvSpPr>
      </xdr:nvSpPr>
      <xdr:spPr bwMode="auto">
        <a:xfrm>
          <a:off x="7210425" y="0"/>
          <a:ext cx="68407" cy="254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68407</xdr:colOff>
      <xdr:row>0</xdr:row>
      <xdr:rowOff>262389</xdr:rowOff>
    </xdr:to>
    <xdr:sp macro="" textlink="">
      <xdr:nvSpPr>
        <xdr:cNvPr id="52" name="AutoShape 1" descr="VERBANK SECURITIES C.B.S.A.">
          <a:extLst>
            <a:ext uri="{FF2B5EF4-FFF2-40B4-BE49-F238E27FC236}">
              <a16:creationId xmlns:a16="http://schemas.microsoft.com/office/drawing/2014/main" id="{F15023DB-9229-4FAE-BB9A-0F7EC36BF508}"/>
            </a:ext>
          </a:extLst>
        </xdr:cNvPr>
        <xdr:cNvSpPr>
          <a:spLocks noChangeAspect="1" noChangeArrowheads="1"/>
        </xdr:cNvSpPr>
      </xdr:nvSpPr>
      <xdr:spPr bwMode="auto">
        <a:xfrm>
          <a:off x="5686425" y="0"/>
          <a:ext cx="68407"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0</xdr:row>
      <xdr:rowOff>0</xdr:rowOff>
    </xdr:from>
    <xdr:to>
      <xdr:col>3</xdr:col>
      <xdr:colOff>68407</xdr:colOff>
      <xdr:row>0</xdr:row>
      <xdr:rowOff>262389</xdr:rowOff>
    </xdr:to>
    <xdr:sp macro="" textlink="">
      <xdr:nvSpPr>
        <xdr:cNvPr id="53" name="AutoShape 1" descr="VERBANK SECURITIES C.B.S.A.">
          <a:extLst>
            <a:ext uri="{FF2B5EF4-FFF2-40B4-BE49-F238E27FC236}">
              <a16:creationId xmlns:a16="http://schemas.microsoft.com/office/drawing/2014/main" id="{FC4D70D6-C92A-4962-A9E6-4301ABB2015F}"/>
            </a:ext>
          </a:extLst>
        </xdr:cNvPr>
        <xdr:cNvSpPr>
          <a:spLocks noChangeAspect="1" noChangeArrowheads="1"/>
        </xdr:cNvSpPr>
      </xdr:nvSpPr>
      <xdr:spPr bwMode="auto">
        <a:xfrm>
          <a:off x="5686425" y="0"/>
          <a:ext cx="68407" cy="262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0</xdr:colOff>
      <xdr:row>0</xdr:row>
      <xdr:rowOff>0</xdr:rowOff>
    </xdr:from>
    <xdr:ext cx="68407" cy="271279"/>
    <xdr:sp macro="" textlink="">
      <xdr:nvSpPr>
        <xdr:cNvPr id="54" name="AutoShape 1" descr="VERBANK SECURITIES C.B.S.A.">
          <a:extLst>
            <a:ext uri="{FF2B5EF4-FFF2-40B4-BE49-F238E27FC236}">
              <a16:creationId xmlns:a16="http://schemas.microsoft.com/office/drawing/2014/main" id="{BA13C103-BC0D-4852-B6A8-E8F94F3CD3EA}"/>
            </a:ext>
          </a:extLst>
        </xdr:cNvPr>
        <xdr:cNvSpPr>
          <a:spLocks noChangeAspect="1" noChangeArrowheads="1"/>
        </xdr:cNvSpPr>
      </xdr:nvSpPr>
      <xdr:spPr bwMode="auto">
        <a:xfrm>
          <a:off x="72104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0</xdr:row>
      <xdr:rowOff>0</xdr:rowOff>
    </xdr:from>
    <xdr:ext cx="68407" cy="271279"/>
    <xdr:sp macro="" textlink="">
      <xdr:nvSpPr>
        <xdr:cNvPr id="55" name="AutoShape 1" descr="VERBANK SECURITIES C.B.S.A.">
          <a:extLst>
            <a:ext uri="{FF2B5EF4-FFF2-40B4-BE49-F238E27FC236}">
              <a16:creationId xmlns:a16="http://schemas.microsoft.com/office/drawing/2014/main" id="{9163739C-0A46-4F75-B9D1-C0D3DEEAC016}"/>
            </a:ext>
          </a:extLst>
        </xdr:cNvPr>
        <xdr:cNvSpPr>
          <a:spLocks noChangeAspect="1" noChangeArrowheads="1"/>
        </xdr:cNvSpPr>
      </xdr:nvSpPr>
      <xdr:spPr bwMode="auto">
        <a:xfrm>
          <a:off x="72104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0</xdr:row>
      <xdr:rowOff>0</xdr:rowOff>
    </xdr:from>
    <xdr:ext cx="68407" cy="271279"/>
    <xdr:sp macro="" textlink="">
      <xdr:nvSpPr>
        <xdr:cNvPr id="56" name="AutoShape 1" descr="VERBANK SECURITIES C.B.S.A.">
          <a:extLst>
            <a:ext uri="{FF2B5EF4-FFF2-40B4-BE49-F238E27FC236}">
              <a16:creationId xmlns:a16="http://schemas.microsoft.com/office/drawing/2014/main" id="{875EE4E3-6A8C-41C2-803F-10DDBA77D321}"/>
            </a:ext>
          </a:extLst>
        </xdr:cNvPr>
        <xdr:cNvSpPr>
          <a:spLocks noChangeAspect="1" noChangeArrowheads="1"/>
        </xdr:cNvSpPr>
      </xdr:nvSpPr>
      <xdr:spPr bwMode="auto">
        <a:xfrm>
          <a:off x="72104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0</xdr:row>
      <xdr:rowOff>0</xdr:rowOff>
    </xdr:from>
    <xdr:ext cx="68407" cy="271279"/>
    <xdr:sp macro="" textlink="">
      <xdr:nvSpPr>
        <xdr:cNvPr id="57" name="AutoShape 1" descr="VERBANK SECURITIES C.B.S.A.">
          <a:extLst>
            <a:ext uri="{FF2B5EF4-FFF2-40B4-BE49-F238E27FC236}">
              <a16:creationId xmlns:a16="http://schemas.microsoft.com/office/drawing/2014/main" id="{A6EE8665-B560-4920-8688-E606DD78F12C}"/>
            </a:ext>
          </a:extLst>
        </xdr:cNvPr>
        <xdr:cNvSpPr>
          <a:spLocks noChangeAspect="1" noChangeArrowheads="1"/>
        </xdr:cNvSpPr>
      </xdr:nvSpPr>
      <xdr:spPr bwMode="auto">
        <a:xfrm>
          <a:off x="72104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0</xdr:row>
      <xdr:rowOff>0</xdr:rowOff>
    </xdr:from>
    <xdr:ext cx="68407" cy="271279"/>
    <xdr:sp macro="" textlink="">
      <xdr:nvSpPr>
        <xdr:cNvPr id="58" name="AutoShape 1" descr="VERBANK SECURITIES C.B.S.A.">
          <a:extLst>
            <a:ext uri="{FF2B5EF4-FFF2-40B4-BE49-F238E27FC236}">
              <a16:creationId xmlns:a16="http://schemas.microsoft.com/office/drawing/2014/main" id="{A7BCDC03-B60C-48D8-883B-86F6EBDAC83B}"/>
            </a:ext>
          </a:extLst>
        </xdr:cNvPr>
        <xdr:cNvSpPr>
          <a:spLocks noChangeAspect="1" noChangeArrowheads="1"/>
        </xdr:cNvSpPr>
      </xdr:nvSpPr>
      <xdr:spPr bwMode="auto">
        <a:xfrm>
          <a:off x="72104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0</xdr:row>
      <xdr:rowOff>0</xdr:rowOff>
    </xdr:from>
    <xdr:ext cx="68407" cy="271279"/>
    <xdr:sp macro="" textlink="">
      <xdr:nvSpPr>
        <xdr:cNvPr id="59" name="AutoShape 1" descr="VERBANK SECURITIES C.B.S.A.">
          <a:extLst>
            <a:ext uri="{FF2B5EF4-FFF2-40B4-BE49-F238E27FC236}">
              <a16:creationId xmlns:a16="http://schemas.microsoft.com/office/drawing/2014/main" id="{6D4D4D9E-3DA8-454C-8231-4F878195C8A7}"/>
            </a:ext>
          </a:extLst>
        </xdr:cNvPr>
        <xdr:cNvSpPr>
          <a:spLocks noChangeAspect="1" noChangeArrowheads="1"/>
        </xdr:cNvSpPr>
      </xdr:nvSpPr>
      <xdr:spPr bwMode="auto">
        <a:xfrm>
          <a:off x="72104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0</xdr:row>
      <xdr:rowOff>0</xdr:rowOff>
    </xdr:from>
    <xdr:ext cx="68407" cy="271279"/>
    <xdr:sp macro="" textlink="">
      <xdr:nvSpPr>
        <xdr:cNvPr id="60" name="AutoShape 1" descr="VERBANK SECURITIES C.B.S.A.">
          <a:extLst>
            <a:ext uri="{FF2B5EF4-FFF2-40B4-BE49-F238E27FC236}">
              <a16:creationId xmlns:a16="http://schemas.microsoft.com/office/drawing/2014/main" id="{731A838A-34BB-4D45-B1F1-01AB27D21A90}"/>
            </a:ext>
          </a:extLst>
        </xdr:cNvPr>
        <xdr:cNvSpPr>
          <a:spLocks noChangeAspect="1" noChangeArrowheads="1"/>
        </xdr:cNvSpPr>
      </xdr:nvSpPr>
      <xdr:spPr bwMode="auto">
        <a:xfrm>
          <a:off x="72104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0</xdr:row>
      <xdr:rowOff>0</xdr:rowOff>
    </xdr:from>
    <xdr:ext cx="68407" cy="271279"/>
    <xdr:sp macro="" textlink="">
      <xdr:nvSpPr>
        <xdr:cNvPr id="61" name="AutoShape 1" descr="VERBANK SECURITIES C.B.S.A.">
          <a:extLst>
            <a:ext uri="{FF2B5EF4-FFF2-40B4-BE49-F238E27FC236}">
              <a16:creationId xmlns:a16="http://schemas.microsoft.com/office/drawing/2014/main" id="{C765D7C4-6FBF-4372-9E73-5F4530C02E40}"/>
            </a:ext>
          </a:extLst>
        </xdr:cNvPr>
        <xdr:cNvSpPr>
          <a:spLocks noChangeAspect="1" noChangeArrowheads="1"/>
        </xdr:cNvSpPr>
      </xdr:nvSpPr>
      <xdr:spPr bwMode="auto">
        <a:xfrm>
          <a:off x="72104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5</xdr:col>
      <xdr:colOff>68407</xdr:colOff>
      <xdr:row>0</xdr:row>
      <xdr:rowOff>254346</xdr:rowOff>
    </xdr:to>
    <xdr:sp macro="" textlink="">
      <xdr:nvSpPr>
        <xdr:cNvPr id="2" name="AutoShape 1" descr="VERBANK SECURITIES C.B.S.A.">
          <a:extLst>
            <a:ext uri="{FF2B5EF4-FFF2-40B4-BE49-F238E27FC236}">
              <a16:creationId xmlns:a16="http://schemas.microsoft.com/office/drawing/2014/main" id="{97AE2236-4910-454B-8187-F1BB98917DE2}"/>
            </a:ext>
          </a:extLst>
        </xdr:cNvPr>
        <xdr:cNvSpPr>
          <a:spLocks noChangeAspect="1" noChangeArrowheads="1"/>
        </xdr:cNvSpPr>
      </xdr:nvSpPr>
      <xdr:spPr bwMode="auto">
        <a:xfrm>
          <a:off x="7629525" y="0"/>
          <a:ext cx="68407" cy="254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0</xdr:row>
      <xdr:rowOff>0</xdr:rowOff>
    </xdr:from>
    <xdr:to>
      <xdr:col>4</xdr:col>
      <xdr:colOff>68407</xdr:colOff>
      <xdr:row>1</xdr:row>
      <xdr:rowOff>451</xdr:rowOff>
    </xdr:to>
    <xdr:sp macro="" textlink="">
      <xdr:nvSpPr>
        <xdr:cNvPr id="3" name="AutoShape 1" descr="VERBANK SECURITIES C.B.S.A.">
          <a:extLst>
            <a:ext uri="{FF2B5EF4-FFF2-40B4-BE49-F238E27FC236}">
              <a16:creationId xmlns:a16="http://schemas.microsoft.com/office/drawing/2014/main" id="{98DD4431-26D2-48CE-9F02-4D435112E619}"/>
            </a:ext>
          </a:extLst>
        </xdr:cNvPr>
        <xdr:cNvSpPr>
          <a:spLocks noChangeAspect="1" noChangeArrowheads="1"/>
        </xdr:cNvSpPr>
      </xdr:nvSpPr>
      <xdr:spPr bwMode="auto">
        <a:xfrm>
          <a:off x="3648075" y="0"/>
          <a:ext cx="68407" cy="267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0</xdr:row>
      <xdr:rowOff>0</xdr:rowOff>
    </xdr:from>
    <xdr:to>
      <xdr:col>4</xdr:col>
      <xdr:colOff>68407</xdr:colOff>
      <xdr:row>1</xdr:row>
      <xdr:rowOff>451</xdr:rowOff>
    </xdr:to>
    <xdr:sp macro="" textlink="">
      <xdr:nvSpPr>
        <xdr:cNvPr id="4" name="AutoShape 1" descr="VERBANK SECURITIES C.B.S.A.">
          <a:extLst>
            <a:ext uri="{FF2B5EF4-FFF2-40B4-BE49-F238E27FC236}">
              <a16:creationId xmlns:a16="http://schemas.microsoft.com/office/drawing/2014/main" id="{BF7A7E5E-39B2-48B7-99C1-CE510B6D1D38}"/>
            </a:ext>
          </a:extLst>
        </xdr:cNvPr>
        <xdr:cNvSpPr>
          <a:spLocks noChangeAspect="1" noChangeArrowheads="1"/>
        </xdr:cNvSpPr>
      </xdr:nvSpPr>
      <xdr:spPr bwMode="auto">
        <a:xfrm>
          <a:off x="3648075" y="0"/>
          <a:ext cx="68407" cy="267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0</xdr:row>
      <xdr:rowOff>0</xdr:rowOff>
    </xdr:from>
    <xdr:to>
      <xdr:col>5</xdr:col>
      <xdr:colOff>68407</xdr:colOff>
      <xdr:row>0</xdr:row>
      <xdr:rowOff>254346</xdr:rowOff>
    </xdr:to>
    <xdr:sp macro="" textlink="">
      <xdr:nvSpPr>
        <xdr:cNvPr id="5" name="AutoShape 1" descr="VERBANK SECURITIES C.B.S.A.">
          <a:extLst>
            <a:ext uri="{FF2B5EF4-FFF2-40B4-BE49-F238E27FC236}">
              <a16:creationId xmlns:a16="http://schemas.microsoft.com/office/drawing/2014/main" id="{B0CCA8AB-885D-47D4-BBA8-CB0AC8C44F5A}"/>
            </a:ext>
          </a:extLst>
        </xdr:cNvPr>
        <xdr:cNvSpPr>
          <a:spLocks noChangeAspect="1" noChangeArrowheads="1"/>
        </xdr:cNvSpPr>
      </xdr:nvSpPr>
      <xdr:spPr bwMode="auto">
        <a:xfrm>
          <a:off x="7629525" y="0"/>
          <a:ext cx="68407" cy="254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0</xdr:row>
      <xdr:rowOff>0</xdr:rowOff>
    </xdr:from>
    <xdr:to>
      <xdr:col>4</xdr:col>
      <xdr:colOff>68407</xdr:colOff>
      <xdr:row>1</xdr:row>
      <xdr:rowOff>451</xdr:rowOff>
    </xdr:to>
    <xdr:sp macro="" textlink="">
      <xdr:nvSpPr>
        <xdr:cNvPr id="6" name="AutoShape 1" descr="VERBANK SECURITIES C.B.S.A.">
          <a:extLst>
            <a:ext uri="{FF2B5EF4-FFF2-40B4-BE49-F238E27FC236}">
              <a16:creationId xmlns:a16="http://schemas.microsoft.com/office/drawing/2014/main" id="{D79DAE70-599C-4CF4-8763-17218FED8249}"/>
            </a:ext>
          </a:extLst>
        </xdr:cNvPr>
        <xdr:cNvSpPr>
          <a:spLocks noChangeAspect="1" noChangeArrowheads="1"/>
        </xdr:cNvSpPr>
      </xdr:nvSpPr>
      <xdr:spPr bwMode="auto">
        <a:xfrm>
          <a:off x="3648075" y="0"/>
          <a:ext cx="68407" cy="267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0</xdr:row>
      <xdr:rowOff>0</xdr:rowOff>
    </xdr:from>
    <xdr:to>
      <xdr:col>4</xdr:col>
      <xdr:colOff>68407</xdr:colOff>
      <xdr:row>1</xdr:row>
      <xdr:rowOff>451</xdr:rowOff>
    </xdr:to>
    <xdr:sp macro="" textlink="">
      <xdr:nvSpPr>
        <xdr:cNvPr id="7" name="AutoShape 1" descr="VERBANK SECURITIES C.B.S.A.">
          <a:extLst>
            <a:ext uri="{FF2B5EF4-FFF2-40B4-BE49-F238E27FC236}">
              <a16:creationId xmlns:a16="http://schemas.microsoft.com/office/drawing/2014/main" id="{688224F0-CEFF-4A6D-BEB2-7583ACE7DA8C}"/>
            </a:ext>
          </a:extLst>
        </xdr:cNvPr>
        <xdr:cNvSpPr>
          <a:spLocks noChangeAspect="1" noChangeArrowheads="1"/>
        </xdr:cNvSpPr>
      </xdr:nvSpPr>
      <xdr:spPr bwMode="auto">
        <a:xfrm>
          <a:off x="3648075" y="0"/>
          <a:ext cx="68407" cy="267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0</xdr:row>
      <xdr:rowOff>0</xdr:rowOff>
    </xdr:from>
    <xdr:to>
      <xdr:col>5</xdr:col>
      <xdr:colOff>68407</xdr:colOff>
      <xdr:row>0</xdr:row>
      <xdr:rowOff>254346</xdr:rowOff>
    </xdr:to>
    <xdr:sp macro="" textlink="">
      <xdr:nvSpPr>
        <xdr:cNvPr id="8" name="AutoShape 1" descr="VERBANK SECURITIES C.B.S.A.">
          <a:extLst>
            <a:ext uri="{FF2B5EF4-FFF2-40B4-BE49-F238E27FC236}">
              <a16:creationId xmlns:a16="http://schemas.microsoft.com/office/drawing/2014/main" id="{86810E2B-3065-41CF-B940-B8CDCA600997}"/>
            </a:ext>
          </a:extLst>
        </xdr:cNvPr>
        <xdr:cNvSpPr>
          <a:spLocks noChangeAspect="1" noChangeArrowheads="1"/>
        </xdr:cNvSpPr>
      </xdr:nvSpPr>
      <xdr:spPr bwMode="auto">
        <a:xfrm>
          <a:off x="7629525" y="0"/>
          <a:ext cx="68407" cy="254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0</xdr:row>
      <xdr:rowOff>0</xdr:rowOff>
    </xdr:from>
    <xdr:to>
      <xdr:col>4</xdr:col>
      <xdr:colOff>68407</xdr:colOff>
      <xdr:row>1</xdr:row>
      <xdr:rowOff>451</xdr:rowOff>
    </xdr:to>
    <xdr:sp macro="" textlink="">
      <xdr:nvSpPr>
        <xdr:cNvPr id="9" name="AutoShape 1" descr="VERBANK SECURITIES C.B.S.A.">
          <a:extLst>
            <a:ext uri="{FF2B5EF4-FFF2-40B4-BE49-F238E27FC236}">
              <a16:creationId xmlns:a16="http://schemas.microsoft.com/office/drawing/2014/main" id="{986AEF81-33E5-4267-AC4D-9AC8EC2028D8}"/>
            </a:ext>
          </a:extLst>
        </xdr:cNvPr>
        <xdr:cNvSpPr>
          <a:spLocks noChangeAspect="1" noChangeArrowheads="1"/>
        </xdr:cNvSpPr>
      </xdr:nvSpPr>
      <xdr:spPr bwMode="auto">
        <a:xfrm>
          <a:off x="3648075" y="0"/>
          <a:ext cx="68407" cy="267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0</xdr:row>
      <xdr:rowOff>0</xdr:rowOff>
    </xdr:from>
    <xdr:to>
      <xdr:col>4</xdr:col>
      <xdr:colOff>68407</xdr:colOff>
      <xdr:row>1</xdr:row>
      <xdr:rowOff>451</xdr:rowOff>
    </xdr:to>
    <xdr:sp macro="" textlink="">
      <xdr:nvSpPr>
        <xdr:cNvPr id="10" name="AutoShape 1" descr="VERBANK SECURITIES C.B.S.A.">
          <a:extLst>
            <a:ext uri="{FF2B5EF4-FFF2-40B4-BE49-F238E27FC236}">
              <a16:creationId xmlns:a16="http://schemas.microsoft.com/office/drawing/2014/main" id="{1FD6AA2C-8CD9-4E47-BE13-89C0BA76FA58}"/>
            </a:ext>
          </a:extLst>
        </xdr:cNvPr>
        <xdr:cNvSpPr>
          <a:spLocks noChangeAspect="1" noChangeArrowheads="1"/>
        </xdr:cNvSpPr>
      </xdr:nvSpPr>
      <xdr:spPr bwMode="auto">
        <a:xfrm>
          <a:off x="3648075" y="0"/>
          <a:ext cx="68407" cy="267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0</xdr:row>
      <xdr:rowOff>0</xdr:rowOff>
    </xdr:from>
    <xdr:to>
      <xdr:col>5</xdr:col>
      <xdr:colOff>68407</xdr:colOff>
      <xdr:row>0</xdr:row>
      <xdr:rowOff>254346</xdr:rowOff>
    </xdr:to>
    <xdr:sp macro="" textlink="">
      <xdr:nvSpPr>
        <xdr:cNvPr id="11" name="AutoShape 1" descr="VERBANK SECURITIES C.B.S.A.">
          <a:extLst>
            <a:ext uri="{FF2B5EF4-FFF2-40B4-BE49-F238E27FC236}">
              <a16:creationId xmlns:a16="http://schemas.microsoft.com/office/drawing/2014/main" id="{46CD2717-5090-44A4-94B1-B5CB09AB08F7}"/>
            </a:ext>
          </a:extLst>
        </xdr:cNvPr>
        <xdr:cNvSpPr>
          <a:spLocks noChangeAspect="1" noChangeArrowheads="1"/>
        </xdr:cNvSpPr>
      </xdr:nvSpPr>
      <xdr:spPr bwMode="auto">
        <a:xfrm>
          <a:off x="7629525" y="0"/>
          <a:ext cx="68407" cy="254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0</xdr:row>
      <xdr:rowOff>0</xdr:rowOff>
    </xdr:from>
    <xdr:to>
      <xdr:col>4</xdr:col>
      <xdr:colOff>68407</xdr:colOff>
      <xdr:row>1</xdr:row>
      <xdr:rowOff>451</xdr:rowOff>
    </xdr:to>
    <xdr:sp macro="" textlink="">
      <xdr:nvSpPr>
        <xdr:cNvPr id="12" name="AutoShape 1" descr="VERBANK SECURITIES C.B.S.A.">
          <a:extLst>
            <a:ext uri="{FF2B5EF4-FFF2-40B4-BE49-F238E27FC236}">
              <a16:creationId xmlns:a16="http://schemas.microsoft.com/office/drawing/2014/main" id="{07C93712-A6D6-410C-A745-8C94ED9C2EF5}"/>
            </a:ext>
          </a:extLst>
        </xdr:cNvPr>
        <xdr:cNvSpPr>
          <a:spLocks noChangeAspect="1" noChangeArrowheads="1"/>
        </xdr:cNvSpPr>
      </xdr:nvSpPr>
      <xdr:spPr bwMode="auto">
        <a:xfrm>
          <a:off x="3648075" y="0"/>
          <a:ext cx="68407" cy="267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0</xdr:row>
      <xdr:rowOff>0</xdr:rowOff>
    </xdr:from>
    <xdr:to>
      <xdr:col>4</xdr:col>
      <xdr:colOff>68407</xdr:colOff>
      <xdr:row>1</xdr:row>
      <xdr:rowOff>451</xdr:rowOff>
    </xdr:to>
    <xdr:sp macro="" textlink="">
      <xdr:nvSpPr>
        <xdr:cNvPr id="13" name="AutoShape 1" descr="VERBANK SECURITIES C.B.S.A.">
          <a:extLst>
            <a:ext uri="{FF2B5EF4-FFF2-40B4-BE49-F238E27FC236}">
              <a16:creationId xmlns:a16="http://schemas.microsoft.com/office/drawing/2014/main" id="{004C400F-86AD-462C-ABD7-A4E0103259E2}"/>
            </a:ext>
          </a:extLst>
        </xdr:cNvPr>
        <xdr:cNvSpPr>
          <a:spLocks noChangeAspect="1" noChangeArrowheads="1"/>
        </xdr:cNvSpPr>
      </xdr:nvSpPr>
      <xdr:spPr bwMode="auto">
        <a:xfrm>
          <a:off x="3648075" y="0"/>
          <a:ext cx="68407" cy="267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0</xdr:row>
      <xdr:rowOff>0</xdr:rowOff>
    </xdr:from>
    <xdr:ext cx="68407" cy="271279"/>
    <xdr:sp macro="" textlink="">
      <xdr:nvSpPr>
        <xdr:cNvPr id="14" name="AutoShape 1" descr="VERBANK SECURITIES C.B.S.A.">
          <a:extLst>
            <a:ext uri="{FF2B5EF4-FFF2-40B4-BE49-F238E27FC236}">
              <a16:creationId xmlns:a16="http://schemas.microsoft.com/office/drawing/2014/main" id="{B394382B-44DB-4102-9925-9076B6CEE6EB}"/>
            </a:ext>
          </a:extLst>
        </xdr:cNvPr>
        <xdr:cNvSpPr>
          <a:spLocks noChangeAspect="1" noChangeArrowheads="1"/>
        </xdr:cNvSpPr>
      </xdr:nvSpPr>
      <xdr:spPr bwMode="auto">
        <a:xfrm>
          <a:off x="76295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0</xdr:row>
      <xdr:rowOff>0</xdr:rowOff>
    </xdr:from>
    <xdr:ext cx="68407" cy="271279"/>
    <xdr:sp macro="" textlink="">
      <xdr:nvSpPr>
        <xdr:cNvPr id="15" name="AutoShape 1" descr="VERBANK SECURITIES C.B.S.A.">
          <a:extLst>
            <a:ext uri="{FF2B5EF4-FFF2-40B4-BE49-F238E27FC236}">
              <a16:creationId xmlns:a16="http://schemas.microsoft.com/office/drawing/2014/main" id="{CB9873D8-5BAA-46CE-92BC-C65E77FB1D9C}"/>
            </a:ext>
          </a:extLst>
        </xdr:cNvPr>
        <xdr:cNvSpPr>
          <a:spLocks noChangeAspect="1" noChangeArrowheads="1"/>
        </xdr:cNvSpPr>
      </xdr:nvSpPr>
      <xdr:spPr bwMode="auto">
        <a:xfrm>
          <a:off x="76295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0</xdr:row>
      <xdr:rowOff>0</xdr:rowOff>
    </xdr:from>
    <xdr:ext cx="68407" cy="271279"/>
    <xdr:sp macro="" textlink="">
      <xdr:nvSpPr>
        <xdr:cNvPr id="16" name="AutoShape 1" descr="VERBANK SECURITIES C.B.S.A.">
          <a:extLst>
            <a:ext uri="{FF2B5EF4-FFF2-40B4-BE49-F238E27FC236}">
              <a16:creationId xmlns:a16="http://schemas.microsoft.com/office/drawing/2014/main" id="{E8BCE172-BD9C-4505-B1BC-D103F975944F}"/>
            </a:ext>
          </a:extLst>
        </xdr:cNvPr>
        <xdr:cNvSpPr>
          <a:spLocks noChangeAspect="1" noChangeArrowheads="1"/>
        </xdr:cNvSpPr>
      </xdr:nvSpPr>
      <xdr:spPr bwMode="auto">
        <a:xfrm>
          <a:off x="76295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0</xdr:row>
      <xdr:rowOff>0</xdr:rowOff>
    </xdr:from>
    <xdr:ext cx="68407" cy="271279"/>
    <xdr:sp macro="" textlink="">
      <xdr:nvSpPr>
        <xdr:cNvPr id="17" name="AutoShape 1" descr="VERBANK SECURITIES C.B.S.A.">
          <a:extLst>
            <a:ext uri="{FF2B5EF4-FFF2-40B4-BE49-F238E27FC236}">
              <a16:creationId xmlns:a16="http://schemas.microsoft.com/office/drawing/2014/main" id="{2737F5E5-A01B-4938-8829-A28460758357}"/>
            </a:ext>
          </a:extLst>
        </xdr:cNvPr>
        <xdr:cNvSpPr>
          <a:spLocks noChangeAspect="1" noChangeArrowheads="1"/>
        </xdr:cNvSpPr>
      </xdr:nvSpPr>
      <xdr:spPr bwMode="auto">
        <a:xfrm>
          <a:off x="76295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0</xdr:row>
      <xdr:rowOff>0</xdr:rowOff>
    </xdr:from>
    <xdr:ext cx="68407" cy="271279"/>
    <xdr:sp macro="" textlink="">
      <xdr:nvSpPr>
        <xdr:cNvPr id="18" name="AutoShape 1" descr="VERBANK SECURITIES C.B.S.A.">
          <a:extLst>
            <a:ext uri="{FF2B5EF4-FFF2-40B4-BE49-F238E27FC236}">
              <a16:creationId xmlns:a16="http://schemas.microsoft.com/office/drawing/2014/main" id="{75904A38-61A3-4A3F-979C-5E371C7397F4}"/>
            </a:ext>
          </a:extLst>
        </xdr:cNvPr>
        <xdr:cNvSpPr>
          <a:spLocks noChangeAspect="1" noChangeArrowheads="1"/>
        </xdr:cNvSpPr>
      </xdr:nvSpPr>
      <xdr:spPr bwMode="auto">
        <a:xfrm>
          <a:off x="76295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0</xdr:row>
      <xdr:rowOff>0</xdr:rowOff>
    </xdr:from>
    <xdr:ext cx="68407" cy="271279"/>
    <xdr:sp macro="" textlink="">
      <xdr:nvSpPr>
        <xdr:cNvPr id="19" name="AutoShape 1" descr="VERBANK SECURITIES C.B.S.A.">
          <a:extLst>
            <a:ext uri="{FF2B5EF4-FFF2-40B4-BE49-F238E27FC236}">
              <a16:creationId xmlns:a16="http://schemas.microsoft.com/office/drawing/2014/main" id="{9D97AADE-B73D-4F27-91C7-89259BF9D7D7}"/>
            </a:ext>
          </a:extLst>
        </xdr:cNvPr>
        <xdr:cNvSpPr>
          <a:spLocks noChangeAspect="1" noChangeArrowheads="1"/>
        </xdr:cNvSpPr>
      </xdr:nvSpPr>
      <xdr:spPr bwMode="auto">
        <a:xfrm>
          <a:off x="76295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0</xdr:row>
      <xdr:rowOff>0</xdr:rowOff>
    </xdr:from>
    <xdr:ext cx="68407" cy="271279"/>
    <xdr:sp macro="" textlink="">
      <xdr:nvSpPr>
        <xdr:cNvPr id="20" name="AutoShape 1" descr="VERBANK SECURITIES C.B.S.A.">
          <a:extLst>
            <a:ext uri="{FF2B5EF4-FFF2-40B4-BE49-F238E27FC236}">
              <a16:creationId xmlns:a16="http://schemas.microsoft.com/office/drawing/2014/main" id="{97C8041A-4AA2-486F-B968-7983CB8F4DD6}"/>
            </a:ext>
          </a:extLst>
        </xdr:cNvPr>
        <xdr:cNvSpPr>
          <a:spLocks noChangeAspect="1" noChangeArrowheads="1"/>
        </xdr:cNvSpPr>
      </xdr:nvSpPr>
      <xdr:spPr bwMode="auto">
        <a:xfrm>
          <a:off x="76295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0</xdr:row>
      <xdr:rowOff>0</xdr:rowOff>
    </xdr:from>
    <xdr:ext cx="68407" cy="271279"/>
    <xdr:sp macro="" textlink="">
      <xdr:nvSpPr>
        <xdr:cNvPr id="21" name="AutoShape 1" descr="VERBANK SECURITIES C.B.S.A.">
          <a:extLst>
            <a:ext uri="{FF2B5EF4-FFF2-40B4-BE49-F238E27FC236}">
              <a16:creationId xmlns:a16="http://schemas.microsoft.com/office/drawing/2014/main" id="{636E6175-F334-42B4-B24A-79D1F23B7EC5}"/>
            </a:ext>
          </a:extLst>
        </xdr:cNvPr>
        <xdr:cNvSpPr>
          <a:spLocks noChangeAspect="1" noChangeArrowheads="1"/>
        </xdr:cNvSpPr>
      </xdr:nvSpPr>
      <xdr:spPr bwMode="auto">
        <a:xfrm>
          <a:off x="76295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68407" cy="257521"/>
    <xdr:sp macro="" textlink="">
      <xdr:nvSpPr>
        <xdr:cNvPr id="22" name="AutoShape 1" descr="VERBANK SECURITIES C.B.S.A.">
          <a:extLst>
            <a:ext uri="{FF2B5EF4-FFF2-40B4-BE49-F238E27FC236}">
              <a16:creationId xmlns:a16="http://schemas.microsoft.com/office/drawing/2014/main" id="{F1037BD6-4861-4185-AECD-AF474241CBA9}"/>
            </a:ext>
          </a:extLst>
        </xdr:cNvPr>
        <xdr:cNvSpPr>
          <a:spLocks noChangeAspect="1" noChangeArrowheads="1"/>
        </xdr:cNvSpPr>
      </xdr:nvSpPr>
      <xdr:spPr bwMode="auto">
        <a:xfrm>
          <a:off x="9153525" y="0"/>
          <a:ext cx="68407" cy="257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0</xdr:row>
      <xdr:rowOff>0</xdr:rowOff>
    </xdr:from>
    <xdr:ext cx="68407" cy="265564"/>
    <xdr:sp macro="" textlink="">
      <xdr:nvSpPr>
        <xdr:cNvPr id="23" name="AutoShape 1" descr="VERBANK SECURITIES C.B.S.A.">
          <a:extLst>
            <a:ext uri="{FF2B5EF4-FFF2-40B4-BE49-F238E27FC236}">
              <a16:creationId xmlns:a16="http://schemas.microsoft.com/office/drawing/2014/main" id="{457663A9-AEC3-41CA-9B3D-99C873EAA7DB}"/>
            </a:ext>
          </a:extLst>
        </xdr:cNvPr>
        <xdr:cNvSpPr>
          <a:spLocks noChangeAspect="1" noChangeArrowheads="1"/>
        </xdr:cNvSpPr>
      </xdr:nvSpPr>
      <xdr:spPr bwMode="auto">
        <a:xfrm>
          <a:off x="7629525" y="0"/>
          <a:ext cx="68407" cy="2655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0</xdr:row>
      <xdr:rowOff>0</xdr:rowOff>
    </xdr:from>
    <xdr:ext cx="68407" cy="265564"/>
    <xdr:sp macro="" textlink="">
      <xdr:nvSpPr>
        <xdr:cNvPr id="24" name="AutoShape 1" descr="VERBANK SECURITIES C.B.S.A.">
          <a:extLst>
            <a:ext uri="{FF2B5EF4-FFF2-40B4-BE49-F238E27FC236}">
              <a16:creationId xmlns:a16="http://schemas.microsoft.com/office/drawing/2014/main" id="{C580AF79-5AFC-43ED-9A4A-E09E4543752C}"/>
            </a:ext>
          </a:extLst>
        </xdr:cNvPr>
        <xdr:cNvSpPr>
          <a:spLocks noChangeAspect="1" noChangeArrowheads="1"/>
        </xdr:cNvSpPr>
      </xdr:nvSpPr>
      <xdr:spPr bwMode="auto">
        <a:xfrm>
          <a:off x="7629525" y="0"/>
          <a:ext cx="68407" cy="2655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68407" cy="257521"/>
    <xdr:sp macro="" textlink="">
      <xdr:nvSpPr>
        <xdr:cNvPr id="25" name="AutoShape 1" descr="VERBANK SECURITIES C.B.S.A.">
          <a:extLst>
            <a:ext uri="{FF2B5EF4-FFF2-40B4-BE49-F238E27FC236}">
              <a16:creationId xmlns:a16="http://schemas.microsoft.com/office/drawing/2014/main" id="{30727048-CD3A-4B98-AB38-C4AA4AA5A30E}"/>
            </a:ext>
          </a:extLst>
        </xdr:cNvPr>
        <xdr:cNvSpPr>
          <a:spLocks noChangeAspect="1" noChangeArrowheads="1"/>
        </xdr:cNvSpPr>
      </xdr:nvSpPr>
      <xdr:spPr bwMode="auto">
        <a:xfrm>
          <a:off x="9153525" y="0"/>
          <a:ext cx="68407" cy="257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0</xdr:row>
      <xdr:rowOff>0</xdr:rowOff>
    </xdr:from>
    <xdr:ext cx="68407" cy="265564"/>
    <xdr:sp macro="" textlink="">
      <xdr:nvSpPr>
        <xdr:cNvPr id="26" name="AutoShape 1" descr="VERBANK SECURITIES C.B.S.A.">
          <a:extLst>
            <a:ext uri="{FF2B5EF4-FFF2-40B4-BE49-F238E27FC236}">
              <a16:creationId xmlns:a16="http://schemas.microsoft.com/office/drawing/2014/main" id="{4B7F6C19-5477-4A8C-B617-8562941E8074}"/>
            </a:ext>
          </a:extLst>
        </xdr:cNvPr>
        <xdr:cNvSpPr>
          <a:spLocks noChangeAspect="1" noChangeArrowheads="1"/>
        </xdr:cNvSpPr>
      </xdr:nvSpPr>
      <xdr:spPr bwMode="auto">
        <a:xfrm>
          <a:off x="7629525" y="0"/>
          <a:ext cx="68407" cy="2655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0</xdr:row>
      <xdr:rowOff>0</xdr:rowOff>
    </xdr:from>
    <xdr:ext cx="68407" cy="265564"/>
    <xdr:sp macro="" textlink="">
      <xdr:nvSpPr>
        <xdr:cNvPr id="27" name="AutoShape 1" descr="VERBANK SECURITIES C.B.S.A.">
          <a:extLst>
            <a:ext uri="{FF2B5EF4-FFF2-40B4-BE49-F238E27FC236}">
              <a16:creationId xmlns:a16="http://schemas.microsoft.com/office/drawing/2014/main" id="{476FF1B5-43FA-420E-B266-EE6FD67CFD91}"/>
            </a:ext>
          </a:extLst>
        </xdr:cNvPr>
        <xdr:cNvSpPr>
          <a:spLocks noChangeAspect="1" noChangeArrowheads="1"/>
        </xdr:cNvSpPr>
      </xdr:nvSpPr>
      <xdr:spPr bwMode="auto">
        <a:xfrm>
          <a:off x="7629525" y="0"/>
          <a:ext cx="68407" cy="2655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68407" cy="257521"/>
    <xdr:sp macro="" textlink="">
      <xdr:nvSpPr>
        <xdr:cNvPr id="28" name="AutoShape 1" descr="VERBANK SECURITIES C.B.S.A.">
          <a:extLst>
            <a:ext uri="{FF2B5EF4-FFF2-40B4-BE49-F238E27FC236}">
              <a16:creationId xmlns:a16="http://schemas.microsoft.com/office/drawing/2014/main" id="{0FB29ADD-94F5-4AD4-A8C5-D24B252A004A}"/>
            </a:ext>
          </a:extLst>
        </xdr:cNvPr>
        <xdr:cNvSpPr>
          <a:spLocks noChangeAspect="1" noChangeArrowheads="1"/>
        </xdr:cNvSpPr>
      </xdr:nvSpPr>
      <xdr:spPr bwMode="auto">
        <a:xfrm>
          <a:off x="9153525" y="0"/>
          <a:ext cx="68407" cy="257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0</xdr:row>
      <xdr:rowOff>0</xdr:rowOff>
    </xdr:from>
    <xdr:ext cx="68407" cy="265564"/>
    <xdr:sp macro="" textlink="">
      <xdr:nvSpPr>
        <xdr:cNvPr id="29" name="AutoShape 1" descr="VERBANK SECURITIES C.B.S.A.">
          <a:extLst>
            <a:ext uri="{FF2B5EF4-FFF2-40B4-BE49-F238E27FC236}">
              <a16:creationId xmlns:a16="http://schemas.microsoft.com/office/drawing/2014/main" id="{F4BF8580-FE90-482A-92CB-EA7408EAAEC9}"/>
            </a:ext>
          </a:extLst>
        </xdr:cNvPr>
        <xdr:cNvSpPr>
          <a:spLocks noChangeAspect="1" noChangeArrowheads="1"/>
        </xdr:cNvSpPr>
      </xdr:nvSpPr>
      <xdr:spPr bwMode="auto">
        <a:xfrm>
          <a:off x="7629525" y="0"/>
          <a:ext cx="68407" cy="2655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0</xdr:row>
      <xdr:rowOff>0</xdr:rowOff>
    </xdr:from>
    <xdr:ext cx="68407" cy="265564"/>
    <xdr:sp macro="" textlink="">
      <xdr:nvSpPr>
        <xdr:cNvPr id="30" name="AutoShape 1" descr="VERBANK SECURITIES C.B.S.A.">
          <a:extLst>
            <a:ext uri="{FF2B5EF4-FFF2-40B4-BE49-F238E27FC236}">
              <a16:creationId xmlns:a16="http://schemas.microsoft.com/office/drawing/2014/main" id="{1E4A5B6D-411D-4385-AF56-D1EF1C9254F9}"/>
            </a:ext>
          </a:extLst>
        </xdr:cNvPr>
        <xdr:cNvSpPr>
          <a:spLocks noChangeAspect="1" noChangeArrowheads="1"/>
        </xdr:cNvSpPr>
      </xdr:nvSpPr>
      <xdr:spPr bwMode="auto">
        <a:xfrm>
          <a:off x="7629525" y="0"/>
          <a:ext cx="68407" cy="2655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68407" cy="257521"/>
    <xdr:sp macro="" textlink="">
      <xdr:nvSpPr>
        <xdr:cNvPr id="31" name="AutoShape 1" descr="VERBANK SECURITIES C.B.S.A.">
          <a:extLst>
            <a:ext uri="{FF2B5EF4-FFF2-40B4-BE49-F238E27FC236}">
              <a16:creationId xmlns:a16="http://schemas.microsoft.com/office/drawing/2014/main" id="{D80EDD03-D9C5-4D86-941A-6FEAE31743A0}"/>
            </a:ext>
          </a:extLst>
        </xdr:cNvPr>
        <xdr:cNvSpPr>
          <a:spLocks noChangeAspect="1" noChangeArrowheads="1"/>
        </xdr:cNvSpPr>
      </xdr:nvSpPr>
      <xdr:spPr bwMode="auto">
        <a:xfrm>
          <a:off x="9153525" y="0"/>
          <a:ext cx="68407" cy="257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0</xdr:row>
      <xdr:rowOff>0</xdr:rowOff>
    </xdr:from>
    <xdr:ext cx="68407" cy="265564"/>
    <xdr:sp macro="" textlink="">
      <xdr:nvSpPr>
        <xdr:cNvPr id="32" name="AutoShape 1" descr="VERBANK SECURITIES C.B.S.A.">
          <a:extLst>
            <a:ext uri="{FF2B5EF4-FFF2-40B4-BE49-F238E27FC236}">
              <a16:creationId xmlns:a16="http://schemas.microsoft.com/office/drawing/2014/main" id="{4A76AE7F-D4D7-4146-9133-7BBC62E7A772}"/>
            </a:ext>
          </a:extLst>
        </xdr:cNvPr>
        <xdr:cNvSpPr>
          <a:spLocks noChangeAspect="1" noChangeArrowheads="1"/>
        </xdr:cNvSpPr>
      </xdr:nvSpPr>
      <xdr:spPr bwMode="auto">
        <a:xfrm>
          <a:off x="7629525" y="0"/>
          <a:ext cx="68407" cy="2655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0</xdr:row>
      <xdr:rowOff>0</xdr:rowOff>
    </xdr:from>
    <xdr:ext cx="68407" cy="265564"/>
    <xdr:sp macro="" textlink="">
      <xdr:nvSpPr>
        <xdr:cNvPr id="33" name="AutoShape 1" descr="VERBANK SECURITIES C.B.S.A.">
          <a:extLst>
            <a:ext uri="{FF2B5EF4-FFF2-40B4-BE49-F238E27FC236}">
              <a16:creationId xmlns:a16="http://schemas.microsoft.com/office/drawing/2014/main" id="{0BC99396-AAC8-4B1B-9CE1-1C44A5344EDC}"/>
            </a:ext>
          </a:extLst>
        </xdr:cNvPr>
        <xdr:cNvSpPr>
          <a:spLocks noChangeAspect="1" noChangeArrowheads="1"/>
        </xdr:cNvSpPr>
      </xdr:nvSpPr>
      <xdr:spPr bwMode="auto">
        <a:xfrm>
          <a:off x="7629525" y="0"/>
          <a:ext cx="68407" cy="2655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68407" cy="271279"/>
    <xdr:sp macro="" textlink="">
      <xdr:nvSpPr>
        <xdr:cNvPr id="34" name="AutoShape 1" descr="VERBANK SECURITIES C.B.S.A.">
          <a:extLst>
            <a:ext uri="{FF2B5EF4-FFF2-40B4-BE49-F238E27FC236}">
              <a16:creationId xmlns:a16="http://schemas.microsoft.com/office/drawing/2014/main" id="{4CE86021-27CB-45DE-B6CA-102A6204EB1B}"/>
            </a:ext>
          </a:extLst>
        </xdr:cNvPr>
        <xdr:cNvSpPr>
          <a:spLocks noChangeAspect="1" noChangeArrowheads="1"/>
        </xdr:cNvSpPr>
      </xdr:nvSpPr>
      <xdr:spPr bwMode="auto">
        <a:xfrm>
          <a:off x="91535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68407" cy="271279"/>
    <xdr:sp macro="" textlink="">
      <xdr:nvSpPr>
        <xdr:cNvPr id="35" name="AutoShape 1" descr="VERBANK SECURITIES C.B.S.A.">
          <a:extLst>
            <a:ext uri="{FF2B5EF4-FFF2-40B4-BE49-F238E27FC236}">
              <a16:creationId xmlns:a16="http://schemas.microsoft.com/office/drawing/2014/main" id="{F1DDD0FF-66C9-4B09-BB47-AA47C9A74A25}"/>
            </a:ext>
          </a:extLst>
        </xdr:cNvPr>
        <xdr:cNvSpPr>
          <a:spLocks noChangeAspect="1" noChangeArrowheads="1"/>
        </xdr:cNvSpPr>
      </xdr:nvSpPr>
      <xdr:spPr bwMode="auto">
        <a:xfrm>
          <a:off x="91535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68407" cy="271279"/>
    <xdr:sp macro="" textlink="">
      <xdr:nvSpPr>
        <xdr:cNvPr id="36" name="AutoShape 1" descr="VERBANK SECURITIES C.B.S.A.">
          <a:extLst>
            <a:ext uri="{FF2B5EF4-FFF2-40B4-BE49-F238E27FC236}">
              <a16:creationId xmlns:a16="http://schemas.microsoft.com/office/drawing/2014/main" id="{DB297191-0A9A-4339-A084-E8B98D43BF72}"/>
            </a:ext>
          </a:extLst>
        </xdr:cNvPr>
        <xdr:cNvSpPr>
          <a:spLocks noChangeAspect="1" noChangeArrowheads="1"/>
        </xdr:cNvSpPr>
      </xdr:nvSpPr>
      <xdr:spPr bwMode="auto">
        <a:xfrm>
          <a:off x="91535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68407" cy="271279"/>
    <xdr:sp macro="" textlink="">
      <xdr:nvSpPr>
        <xdr:cNvPr id="37" name="AutoShape 1" descr="VERBANK SECURITIES C.B.S.A.">
          <a:extLst>
            <a:ext uri="{FF2B5EF4-FFF2-40B4-BE49-F238E27FC236}">
              <a16:creationId xmlns:a16="http://schemas.microsoft.com/office/drawing/2014/main" id="{C8955A8E-FE4C-497E-9334-4CCC2B8F4D86}"/>
            </a:ext>
          </a:extLst>
        </xdr:cNvPr>
        <xdr:cNvSpPr>
          <a:spLocks noChangeAspect="1" noChangeArrowheads="1"/>
        </xdr:cNvSpPr>
      </xdr:nvSpPr>
      <xdr:spPr bwMode="auto">
        <a:xfrm>
          <a:off x="91535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68407" cy="271279"/>
    <xdr:sp macro="" textlink="">
      <xdr:nvSpPr>
        <xdr:cNvPr id="38" name="AutoShape 1" descr="VERBANK SECURITIES C.B.S.A.">
          <a:extLst>
            <a:ext uri="{FF2B5EF4-FFF2-40B4-BE49-F238E27FC236}">
              <a16:creationId xmlns:a16="http://schemas.microsoft.com/office/drawing/2014/main" id="{6A11EFE4-1C27-4F27-BF05-119E955C42D5}"/>
            </a:ext>
          </a:extLst>
        </xdr:cNvPr>
        <xdr:cNvSpPr>
          <a:spLocks noChangeAspect="1" noChangeArrowheads="1"/>
        </xdr:cNvSpPr>
      </xdr:nvSpPr>
      <xdr:spPr bwMode="auto">
        <a:xfrm>
          <a:off x="91535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68407" cy="271279"/>
    <xdr:sp macro="" textlink="">
      <xdr:nvSpPr>
        <xdr:cNvPr id="39" name="AutoShape 1" descr="VERBANK SECURITIES C.B.S.A.">
          <a:extLst>
            <a:ext uri="{FF2B5EF4-FFF2-40B4-BE49-F238E27FC236}">
              <a16:creationId xmlns:a16="http://schemas.microsoft.com/office/drawing/2014/main" id="{40CAF366-F41C-43CC-B48D-9870056FD08A}"/>
            </a:ext>
          </a:extLst>
        </xdr:cNvPr>
        <xdr:cNvSpPr>
          <a:spLocks noChangeAspect="1" noChangeArrowheads="1"/>
        </xdr:cNvSpPr>
      </xdr:nvSpPr>
      <xdr:spPr bwMode="auto">
        <a:xfrm>
          <a:off x="91535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68407" cy="271279"/>
    <xdr:sp macro="" textlink="">
      <xdr:nvSpPr>
        <xdr:cNvPr id="40" name="AutoShape 1" descr="VERBANK SECURITIES C.B.S.A.">
          <a:extLst>
            <a:ext uri="{FF2B5EF4-FFF2-40B4-BE49-F238E27FC236}">
              <a16:creationId xmlns:a16="http://schemas.microsoft.com/office/drawing/2014/main" id="{0B8C34DE-E246-414A-B0A7-CE0E75FA2807}"/>
            </a:ext>
          </a:extLst>
        </xdr:cNvPr>
        <xdr:cNvSpPr>
          <a:spLocks noChangeAspect="1" noChangeArrowheads="1"/>
        </xdr:cNvSpPr>
      </xdr:nvSpPr>
      <xdr:spPr bwMode="auto">
        <a:xfrm>
          <a:off x="91535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68407" cy="271279"/>
    <xdr:sp macro="" textlink="">
      <xdr:nvSpPr>
        <xdr:cNvPr id="41" name="AutoShape 1" descr="VERBANK SECURITIES C.B.S.A.">
          <a:extLst>
            <a:ext uri="{FF2B5EF4-FFF2-40B4-BE49-F238E27FC236}">
              <a16:creationId xmlns:a16="http://schemas.microsoft.com/office/drawing/2014/main" id="{24B5EF29-496B-41E9-98D8-A614748EF822}"/>
            </a:ext>
          </a:extLst>
        </xdr:cNvPr>
        <xdr:cNvSpPr>
          <a:spLocks noChangeAspect="1" noChangeArrowheads="1"/>
        </xdr:cNvSpPr>
      </xdr:nvSpPr>
      <xdr:spPr bwMode="auto">
        <a:xfrm>
          <a:off x="91535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0</xdr:colOff>
      <xdr:row>0</xdr:row>
      <xdr:rowOff>0</xdr:rowOff>
    </xdr:from>
    <xdr:to>
      <xdr:col>6</xdr:col>
      <xdr:colOff>68407</xdr:colOff>
      <xdr:row>0</xdr:row>
      <xdr:rowOff>254346</xdr:rowOff>
    </xdr:to>
    <xdr:sp macro="" textlink="">
      <xdr:nvSpPr>
        <xdr:cNvPr id="42" name="AutoShape 1" descr="VERBANK SECURITIES C.B.S.A.">
          <a:extLst>
            <a:ext uri="{FF2B5EF4-FFF2-40B4-BE49-F238E27FC236}">
              <a16:creationId xmlns:a16="http://schemas.microsoft.com/office/drawing/2014/main" id="{2129E509-A863-4F5B-93CD-E825F199A0AF}"/>
            </a:ext>
          </a:extLst>
        </xdr:cNvPr>
        <xdr:cNvSpPr>
          <a:spLocks noChangeAspect="1" noChangeArrowheads="1"/>
        </xdr:cNvSpPr>
      </xdr:nvSpPr>
      <xdr:spPr bwMode="auto">
        <a:xfrm>
          <a:off x="9153525" y="0"/>
          <a:ext cx="68407" cy="254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0</xdr:row>
      <xdr:rowOff>0</xdr:rowOff>
    </xdr:from>
    <xdr:to>
      <xdr:col>5</xdr:col>
      <xdr:colOff>68407</xdr:colOff>
      <xdr:row>1</xdr:row>
      <xdr:rowOff>451</xdr:rowOff>
    </xdr:to>
    <xdr:sp macro="" textlink="">
      <xdr:nvSpPr>
        <xdr:cNvPr id="43" name="AutoShape 1" descr="VERBANK SECURITIES C.B.S.A.">
          <a:extLst>
            <a:ext uri="{FF2B5EF4-FFF2-40B4-BE49-F238E27FC236}">
              <a16:creationId xmlns:a16="http://schemas.microsoft.com/office/drawing/2014/main" id="{A4F69074-B6BC-4278-8C03-284172F4EADE}"/>
            </a:ext>
          </a:extLst>
        </xdr:cNvPr>
        <xdr:cNvSpPr>
          <a:spLocks noChangeAspect="1" noChangeArrowheads="1"/>
        </xdr:cNvSpPr>
      </xdr:nvSpPr>
      <xdr:spPr bwMode="auto">
        <a:xfrm>
          <a:off x="7629525" y="0"/>
          <a:ext cx="68407" cy="267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0</xdr:row>
      <xdr:rowOff>0</xdr:rowOff>
    </xdr:from>
    <xdr:to>
      <xdr:col>5</xdr:col>
      <xdr:colOff>68407</xdr:colOff>
      <xdr:row>1</xdr:row>
      <xdr:rowOff>451</xdr:rowOff>
    </xdr:to>
    <xdr:sp macro="" textlink="">
      <xdr:nvSpPr>
        <xdr:cNvPr id="44" name="AutoShape 1" descr="VERBANK SECURITIES C.B.S.A.">
          <a:extLst>
            <a:ext uri="{FF2B5EF4-FFF2-40B4-BE49-F238E27FC236}">
              <a16:creationId xmlns:a16="http://schemas.microsoft.com/office/drawing/2014/main" id="{3F40B4FD-381F-4CF1-B5CE-7ADBAB3EFEEE}"/>
            </a:ext>
          </a:extLst>
        </xdr:cNvPr>
        <xdr:cNvSpPr>
          <a:spLocks noChangeAspect="1" noChangeArrowheads="1"/>
        </xdr:cNvSpPr>
      </xdr:nvSpPr>
      <xdr:spPr bwMode="auto">
        <a:xfrm>
          <a:off x="7629525" y="0"/>
          <a:ext cx="68407" cy="267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0</xdr:row>
      <xdr:rowOff>0</xdr:rowOff>
    </xdr:from>
    <xdr:to>
      <xdr:col>6</xdr:col>
      <xdr:colOff>68407</xdr:colOff>
      <xdr:row>0</xdr:row>
      <xdr:rowOff>254346</xdr:rowOff>
    </xdr:to>
    <xdr:sp macro="" textlink="">
      <xdr:nvSpPr>
        <xdr:cNvPr id="45" name="AutoShape 1" descr="VERBANK SECURITIES C.B.S.A.">
          <a:extLst>
            <a:ext uri="{FF2B5EF4-FFF2-40B4-BE49-F238E27FC236}">
              <a16:creationId xmlns:a16="http://schemas.microsoft.com/office/drawing/2014/main" id="{1CD635F9-56C9-4389-8F71-2224A4C13948}"/>
            </a:ext>
          </a:extLst>
        </xdr:cNvPr>
        <xdr:cNvSpPr>
          <a:spLocks noChangeAspect="1" noChangeArrowheads="1"/>
        </xdr:cNvSpPr>
      </xdr:nvSpPr>
      <xdr:spPr bwMode="auto">
        <a:xfrm>
          <a:off x="9153525" y="0"/>
          <a:ext cx="68407" cy="254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0</xdr:row>
      <xdr:rowOff>0</xdr:rowOff>
    </xdr:from>
    <xdr:to>
      <xdr:col>5</xdr:col>
      <xdr:colOff>68407</xdr:colOff>
      <xdr:row>1</xdr:row>
      <xdr:rowOff>451</xdr:rowOff>
    </xdr:to>
    <xdr:sp macro="" textlink="">
      <xdr:nvSpPr>
        <xdr:cNvPr id="46" name="AutoShape 1" descr="VERBANK SECURITIES C.B.S.A.">
          <a:extLst>
            <a:ext uri="{FF2B5EF4-FFF2-40B4-BE49-F238E27FC236}">
              <a16:creationId xmlns:a16="http://schemas.microsoft.com/office/drawing/2014/main" id="{6B4B83A2-96AA-472F-A03D-A4F9322318FB}"/>
            </a:ext>
          </a:extLst>
        </xdr:cNvPr>
        <xdr:cNvSpPr>
          <a:spLocks noChangeAspect="1" noChangeArrowheads="1"/>
        </xdr:cNvSpPr>
      </xdr:nvSpPr>
      <xdr:spPr bwMode="auto">
        <a:xfrm>
          <a:off x="7629525" y="0"/>
          <a:ext cx="68407" cy="267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0</xdr:row>
      <xdr:rowOff>0</xdr:rowOff>
    </xdr:from>
    <xdr:to>
      <xdr:col>5</xdr:col>
      <xdr:colOff>68407</xdr:colOff>
      <xdr:row>1</xdr:row>
      <xdr:rowOff>451</xdr:rowOff>
    </xdr:to>
    <xdr:sp macro="" textlink="">
      <xdr:nvSpPr>
        <xdr:cNvPr id="47" name="AutoShape 1" descr="VERBANK SECURITIES C.B.S.A.">
          <a:extLst>
            <a:ext uri="{FF2B5EF4-FFF2-40B4-BE49-F238E27FC236}">
              <a16:creationId xmlns:a16="http://schemas.microsoft.com/office/drawing/2014/main" id="{5BFE846A-B6F3-4804-9479-612250315315}"/>
            </a:ext>
          </a:extLst>
        </xdr:cNvPr>
        <xdr:cNvSpPr>
          <a:spLocks noChangeAspect="1" noChangeArrowheads="1"/>
        </xdr:cNvSpPr>
      </xdr:nvSpPr>
      <xdr:spPr bwMode="auto">
        <a:xfrm>
          <a:off x="7629525" y="0"/>
          <a:ext cx="68407" cy="267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0</xdr:row>
      <xdr:rowOff>0</xdr:rowOff>
    </xdr:from>
    <xdr:to>
      <xdr:col>6</xdr:col>
      <xdr:colOff>68407</xdr:colOff>
      <xdr:row>0</xdr:row>
      <xdr:rowOff>254346</xdr:rowOff>
    </xdr:to>
    <xdr:sp macro="" textlink="">
      <xdr:nvSpPr>
        <xdr:cNvPr id="48" name="AutoShape 1" descr="VERBANK SECURITIES C.B.S.A.">
          <a:extLst>
            <a:ext uri="{FF2B5EF4-FFF2-40B4-BE49-F238E27FC236}">
              <a16:creationId xmlns:a16="http://schemas.microsoft.com/office/drawing/2014/main" id="{269E37D2-DABA-4D01-A0E7-EDD0028CB1CC}"/>
            </a:ext>
          </a:extLst>
        </xdr:cNvPr>
        <xdr:cNvSpPr>
          <a:spLocks noChangeAspect="1" noChangeArrowheads="1"/>
        </xdr:cNvSpPr>
      </xdr:nvSpPr>
      <xdr:spPr bwMode="auto">
        <a:xfrm>
          <a:off x="9153525" y="0"/>
          <a:ext cx="68407" cy="254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0</xdr:row>
      <xdr:rowOff>0</xdr:rowOff>
    </xdr:from>
    <xdr:to>
      <xdr:col>5</xdr:col>
      <xdr:colOff>68407</xdr:colOff>
      <xdr:row>1</xdr:row>
      <xdr:rowOff>451</xdr:rowOff>
    </xdr:to>
    <xdr:sp macro="" textlink="">
      <xdr:nvSpPr>
        <xdr:cNvPr id="49" name="AutoShape 1" descr="VERBANK SECURITIES C.B.S.A.">
          <a:extLst>
            <a:ext uri="{FF2B5EF4-FFF2-40B4-BE49-F238E27FC236}">
              <a16:creationId xmlns:a16="http://schemas.microsoft.com/office/drawing/2014/main" id="{DEF16E5B-58C6-4A85-B438-ADCEA8DF3CBB}"/>
            </a:ext>
          </a:extLst>
        </xdr:cNvPr>
        <xdr:cNvSpPr>
          <a:spLocks noChangeAspect="1" noChangeArrowheads="1"/>
        </xdr:cNvSpPr>
      </xdr:nvSpPr>
      <xdr:spPr bwMode="auto">
        <a:xfrm>
          <a:off x="7629525" y="0"/>
          <a:ext cx="68407" cy="267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0</xdr:row>
      <xdr:rowOff>0</xdr:rowOff>
    </xdr:from>
    <xdr:to>
      <xdr:col>5</xdr:col>
      <xdr:colOff>68407</xdr:colOff>
      <xdr:row>1</xdr:row>
      <xdr:rowOff>451</xdr:rowOff>
    </xdr:to>
    <xdr:sp macro="" textlink="">
      <xdr:nvSpPr>
        <xdr:cNvPr id="50" name="AutoShape 1" descr="VERBANK SECURITIES C.B.S.A.">
          <a:extLst>
            <a:ext uri="{FF2B5EF4-FFF2-40B4-BE49-F238E27FC236}">
              <a16:creationId xmlns:a16="http://schemas.microsoft.com/office/drawing/2014/main" id="{29286C64-C95E-406D-8D86-166A4716B687}"/>
            </a:ext>
          </a:extLst>
        </xdr:cNvPr>
        <xdr:cNvSpPr>
          <a:spLocks noChangeAspect="1" noChangeArrowheads="1"/>
        </xdr:cNvSpPr>
      </xdr:nvSpPr>
      <xdr:spPr bwMode="auto">
        <a:xfrm>
          <a:off x="7629525" y="0"/>
          <a:ext cx="68407" cy="267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0</xdr:row>
      <xdr:rowOff>0</xdr:rowOff>
    </xdr:from>
    <xdr:to>
      <xdr:col>6</xdr:col>
      <xdr:colOff>68407</xdr:colOff>
      <xdr:row>0</xdr:row>
      <xdr:rowOff>254346</xdr:rowOff>
    </xdr:to>
    <xdr:sp macro="" textlink="">
      <xdr:nvSpPr>
        <xdr:cNvPr id="51" name="AutoShape 1" descr="VERBANK SECURITIES C.B.S.A.">
          <a:extLst>
            <a:ext uri="{FF2B5EF4-FFF2-40B4-BE49-F238E27FC236}">
              <a16:creationId xmlns:a16="http://schemas.microsoft.com/office/drawing/2014/main" id="{56FCC139-8B39-4248-AD06-8ED0E70668A4}"/>
            </a:ext>
          </a:extLst>
        </xdr:cNvPr>
        <xdr:cNvSpPr>
          <a:spLocks noChangeAspect="1" noChangeArrowheads="1"/>
        </xdr:cNvSpPr>
      </xdr:nvSpPr>
      <xdr:spPr bwMode="auto">
        <a:xfrm>
          <a:off x="9153525" y="0"/>
          <a:ext cx="68407" cy="254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0</xdr:row>
      <xdr:rowOff>0</xdr:rowOff>
    </xdr:from>
    <xdr:to>
      <xdr:col>5</xdr:col>
      <xdr:colOff>68407</xdr:colOff>
      <xdr:row>1</xdr:row>
      <xdr:rowOff>451</xdr:rowOff>
    </xdr:to>
    <xdr:sp macro="" textlink="">
      <xdr:nvSpPr>
        <xdr:cNvPr id="52" name="AutoShape 1" descr="VERBANK SECURITIES C.B.S.A.">
          <a:extLst>
            <a:ext uri="{FF2B5EF4-FFF2-40B4-BE49-F238E27FC236}">
              <a16:creationId xmlns:a16="http://schemas.microsoft.com/office/drawing/2014/main" id="{EA09E6CD-8AB6-442E-A0C7-A00690A39084}"/>
            </a:ext>
          </a:extLst>
        </xdr:cNvPr>
        <xdr:cNvSpPr>
          <a:spLocks noChangeAspect="1" noChangeArrowheads="1"/>
        </xdr:cNvSpPr>
      </xdr:nvSpPr>
      <xdr:spPr bwMode="auto">
        <a:xfrm>
          <a:off x="7629525" y="0"/>
          <a:ext cx="68407" cy="267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0</xdr:row>
      <xdr:rowOff>0</xdr:rowOff>
    </xdr:from>
    <xdr:to>
      <xdr:col>5</xdr:col>
      <xdr:colOff>68407</xdr:colOff>
      <xdr:row>1</xdr:row>
      <xdr:rowOff>451</xdr:rowOff>
    </xdr:to>
    <xdr:sp macro="" textlink="">
      <xdr:nvSpPr>
        <xdr:cNvPr id="53" name="AutoShape 1" descr="VERBANK SECURITIES C.B.S.A.">
          <a:extLst>
            <a:ext uri="{FF2B5EF4-FFF2-40B4-BE49-F238E27FC236}">
              <a16:creationId xmlns:a16="http://schemas.microsoft.com/office/drawing/2014/main" id="{C80444FE-2930-406A-9467-DC797C465AC7}"/>
            </a:ext>
          </a:extLst>
        </xdr:cNvPr>
        <xdr:cNvSpPr>
          <a:spLocks noChangeAspect="1" noChangeArrowheads="1"/>
        </xdr:cNvSpPr>
      </xdr:nvSpPr>
      <xdr:spPr bwMode="auto">
        <a:xfrm>
          <a:off x="7629525" y="0"/>
          <a:ext cx="68407" cy="267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6</xdr:col>
      <xdr:colOff>0</xdr:colOff>
      <xdr:row>0</xdr:row>
      <xdr:rowOff>0</xdr:rowOff>
    </xdr:from>
    <xdr:ext cx="68407" cy="271279"/>
    <xdr:sp macro="" textlink="">
      <xdr:nvSpPr>
        <xdr:cNvPr id="54" name="AutoShape 1" descr="VERBANK SECURITIES C.B.S.A.">
          <a:extLst>
            <a:ext uri="{FF2B5EF4-FFF2-40B4-BE49-F238E27FC236}">
              <a16:creationId xmlns:a16="http://schemas.microsoft.com/office/drawing/2014/main" id="{7F1D3382-76E4-41EC-9304-5591EAB03AC8}"/>
            </a:ext>
          </a:extLst>
        </xdr:cNvPr>
        <xdr:cNvSpPr>
          <a:spLocks noChangeAspect="1" noChangeArrowheads="1"/>
        </xdr:cNvSpPr>
      </xdr:nvSpPr>
      <xdr:spPr bwMode="auto">
        <a:xfrm>
          <a:off x="91535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68407" cy="271279"/>
    <xdr:sp macro="" textlink="">
      <xdr:nvSpPr>
        <xdr:cNvPr id="55" name="AutoShape 1" descr="VERBANK SECURITIES C.B.S.A.">
          <a:extLst>
            <a:ext uri="{FF2B5EF4-FFF2-40B4-BE49-F238E27FC236}">
              <a16:creationId xmlns:a16="http://schemas.microsoft.com/office/drawing/2014/main" id="{57DADE9C-AC7C-4603-8D5F-794436A1B793}"/>
            </a:ext>
          </a:extLst>
        </xdr:cNvPr>
        <xdr:cNvSpPr>
          <a:spLocks noChangeAspect="1" noChangeArrowheads="1"/>
        </xdr:cNvSpPr>
      </xdr:nvSpPr>
      <xdr:spPr bwMode="auto">
        <a:xfrm>
          <a:off x="91535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68407" cy="271279"/>
    <xdr:sp macro="" textlink="">
      <xdr:nvSpPr>
        <xdr:cNvPr id="56" name="AutoShape 1" descr="VERBANK SECURITIES C.B.S.A.">
          <a:extLst>
            <a:ext uri="{FF2B5EF4-FFF2-40B4-BE49-F238E27FC236}">
              <a16:creationId xmlns:a16="http://schemas.microsoft.com/office/drawing/2014/main" id="{A19FF0D6-7DBD-4B2B-94E8-2565B723DA69}"/>
            </a:ext>
          </a:extLst>
        </xdr:cNvPr>
        <xdr:cNvSpPr>
          <a:spLocks noChangeAspect="1" noChangeArrowheads="1"/>
        </xdr:cNvSpPr>
      </xdr:nvSpPr>
      <xdr:spPr bwMode="auto">
        <a:xfrm>
          <a:off x="91535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68407" cy="271279"/>
    <xdr:sp macro="" textlink="">
      <xdr:nvSpPr>
        <xdr:cNvPr id="57" name="AutoShape 1" descr="VERBANK SECURITIES C.B.S.A.">
          <a:extLst>
            <a:ext uri="{FF2B5EF4-FFF2-40B4-BE49-F238E27FC236}">
              <a16:creationId xmlns:a16="http://schemas.microsoft.com/office/drawing/2014/main" id="{313AD09C-768F-4693-8212-38F6C706FB22}"/>
            </a:ext>
          </a:extLst>
        </xdr:cNvPr>
        <xdr:cNvSpPr>
          <a:spLocks noChangeAspect="1" noChangeArrowheads="1"/>
        </xdr:cNvSpPr>
      </xdr:nvSpPr>
      <xdr:spPr bwMode="auto">
        <a:xfrm>
          <a:off x="91535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68407" cy="271279"/>
    <xdr:sp macro="" textlink="">
      <xdr:nvSpPr>
        <xdr:cNvPr id="58" name="AutoShape 1" descr="VERBANK SECURITIES C.B.S.A.">
          <a:extLst>
            <a:ext uri="{FF2B5EF4-FFF2-40B4-BE49-F238E27FC236}">
              <a16:creationId xmlns:a16="http://schemas.microsoft.com/office/drawing/2014/main" id="{674CDA75-F811-426A-947D-06CAA5BBAFF2}"/>
            </a:ext>
          </a:extLst>
        </xdr:cNvPr>
        <xdr:cNvSpPr>
          <a:spLocks noChangeAspect="1" noChangeArrowheads="1"/>
        </xdr:cNvSpPr>
      </xdr:nvSpPr>
      <xdr:spPr bwMode="auto">
        <a:xfrm>
          <a:off x="91535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68407" cy="271279"/>
    <xdr:sp macro="" textlink="">
      <xdr:nvSpPr>
        <xdr:cNvPr id="59" name="AutoShape 1" descr="VERBANK SECURITIES C.B.S.A.">
          <a:extLst>
            <a:ext uri="{FF2B5EF4-FFF2-40B4-BE49-F238E27FC236}">
              <a16:creationId xmlns:a16="http://schemas.microsoft.com/office/drawing/2014/main" id="{AF425717-2078-45D0-ACC1-9E11BFAA58FA}"/>
            </a:ext>
          </a:extLst>
        </xdr:cNvPr>
        <xdr:cNvSpPr>
          <a:spLocks noChangeAspect="1" noChangeArrowheads="1"/>
        </xdr:cNvSpPr>
      </xdr:nvSpPr>
      <xdr:spPr bwMode="auto">
        <a:xfrm>
          <a:off x="91535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68407" cy="271279"/>
    <xdr:sp macro="" textlink="">
      <xdr:nvSpPr>
        <xdr:cNvPr id="60" name="AutoShape 1" descr="VERBANK SECURITIES C.B.S.A.">
          <a:extLst>
            <a:ext uri="{FF2B5EF4-FFF2-40B4-BE49-F238E27FC236}">
              <a16:creationId xmlns:a16="http://schemas.microsoft.com/office/drawing/2014/main" id="{F1F325B9-91BC-4437-93C7-FFC63AD99DE7}"/>
            </a:ext>
          </a:extLst>
        </xdr:cNvPr>
        <xdr:cNvSpPr>
          <a:spLocks noChangeAspect="1" noChangeArrowheads="1"/>
        </xdr:cNvSpPr>
      </xdr:nvSpPr>
      <xdr:spPr bwMode="auto">
        <a:xfrm>
          <a:off x="91535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0</xdr:row>
      <xdr:rowOff>0</xdr:rowOff>
    </xdr:from>
    <xdr:ext cx="68407" cy="271279"/>
    <xdr:sp macro="" textlink="">
      <xdr:nvSpPr>
        <xdr:cNvPr id="61" name="AutoShape 1" descr="VERBANK SECURITIES C.B.S.A.">
          <a:extLst>
            <a:ext uri="{FF2B5EF4-FFF2-40B4-BE49-F238E27FC236}">
              <a16:creationId xmlns:a16="http://schemas.microsoft.com/office/drawing/2014/main" id="{6F769B3A-C3ED-4F0F-BF12-6E52D13502B2}"/>
            </a:ext>
          </a:extLst>
        </xdr:cNvPr>
        <xdr:cNvSpPr>
          <a:spLocks noChangeAspect="1" noChangeArrowheads="1"/>
        </xdr:cNvSpPr>
      </xdr:nvSpPr>
      <xdr:spPr bwMode="auto">
        <a:xfrm>
          <a:off x="9153525" y="0"/>
          <a:ext cx="68407" cy="271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53787</xdr:colOff>
      <xdr:row>0</xdr:row>
      <xdr:rowOff>35859</xdr:rowOff>
    </xdr:from>
    <xdr:to>
      <xdr:col>1</xdr:col>
      <xdr:colOff>1640540</xdr:colOff>
      <xdr:row>3</xdr:row>
      <xdr:rowOff>137782</xdr:rowOff>
    </xdr:to>
    <xdr:pic>
      <xdr:nvPicPr>
        <xdr:cNvPr id="2" name="Imagen 1">
          <a:extLst>
            <a:ext uri="{FF2B5EF4-FFF2-40B4-BE49-F238E27FC236}">
              <a16:creationId xmlns:a16="http://schemas.microsoft.com/office/drawing/2014/main" id="{7F16A7EE-DAF5-4BA2-A20B-F73E77E5EB93}"/>
            </a:ext>
          </a:extLst>
        </xdr:cNvPr>
        <xdr:cNvPicPr>
          <a:picLocks noChangeAspect="1"/>
        </xdr:cNvPicPr>
      </xdr:nvPicPr>
      <xdr:blipFill>
        <a:blip xmlns:r="http://schemas.openxmlformats.org/officeDocument/2006/relationships" r:embed="rId1"/>
        <a:stretch>
          <a:fillRect/>
        </a:stretch>
      </xdr:blipFill>
      <xdr:spPr>
        <a:xfrm>
          <a:off x="251011" y="35859"/>
          <a:ext cx="1586753" cy="5860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53788</xdr:colOff>
      <xdr:row>0</xdr:row>
      <xdr:rowOff>26895</xdr:rowOff>
    </xdr:from>
    <xdr:to>
      <xdr:col>1</xdr:col>
      <xdr:colOff>1640541</xdr:colOff>
      <xdr:row>3</xdr:row>
      <xdr:rowOff>128818</xdr:rowOff>
    </xdr:to>
    <xdr:pic>
      <xdr:nvPicPr>
        <xdr:cNvPr id="2" name="Imagen 1">
          <a:extLst>
            <a:ext uri="{FF2B5EF4-FFF2-40B4-BE49-F238E27FC236}">
              <a16:creationId xmlns:a16="http://schemas.microsoft.com/office/drawing/2014/main" id="{5136DF62-D4A9-470A-999A-9BE90908006E}"/>
            </a:ext>
          </a:extLst>
        </xdr:cNvPr>
        <xdr:cNvPicPr>
          <a:picLocks noChangeAspect="1"/>
        </xdr:cNvPicPr>
      </xdr:nvPicPr>
      <xdr:blipFill>
        <a:blip xmlns:r="http://schemas.openxmlformats.org/officeDocument/2006/relationships" r:embed="rId1"/>
        <a:stretch>
          <a:fillRect/>
        </a:stretch>
      </xdr:blipFill>
      <xdr:spPr>
        <a:xfrm>
          <a:off x="244288" y="26895"/>
          <a:ext cx="1586753" cy="5876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43543</xdr:colOff>
      <xdr:row>0</xdr:row>
      <xdr:rowOff>21772</xdr:rowOff>
    </xdr:from>
    <xdr:to>
      <xdr:col>1</xdr:col>
      <xdr:colOff>1630296</xdr:colOff>
      <xdr:row>3</xdr:row>
      <xdr:rowOff>117932</xdr:rowOff>
    </xdr:to>
    <xdr:pic>
      <xdr:nvPicPr>
        <xdr:cNvPr id="2" name="Imagen 1">
          <a:extLst>
            <a:ext uri="{FF2B5EF4-FFF2-40B4-BE49-F238E27FC236}">
              <a16:creationId xmlns:a16="http://schemas.microsoft.com/office/drawing/2014/main" id="{6126AE22-A8EB-47A7-818F-782CB99E0D88}"/>
            </a:ext>
          </a:extLst>
        </xdr:cNvPr>
        <xdr:cNvPicPr>
          <a:picLocks noChangeAspect="1"/>
        </xdr:cNvPicPr>
      </xdr:nvPicPr>
      <xdr:blipFill>
        <a:blip xmlns:r="http://schemas.openxmlformats.org/officeDocument/2006/relationships" r:embed="rId1"/>
        <a:stretch>
          <a:fillRect/>
        </a:stretch>
      </xdr:blipFill>
      <xdr:spPr>
        <a:xfrm>
          <a:off x="239486" y="21772"/>
          <a:ext cx="1586753" cy="58601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1586753</xdr:colOff>
      <xdr:row>3</xdr:row>
      <xdr:rowOff>128817</xdr:rowOff>
    </xdr:to>
    <xdr:pic>
      <xdr:nvPicPr>
        <xdr:cNvPr id="3" name="Imagen 2">
          <a:extLst>
            <a:ext uri="{FF2B5EF4-FFF2-40B4-BE49-F238E27FC236}">
              <a16:creationId xmlns:a16="http://schemas.microsoft.com/office/drawing/2014/main" id="{7119B24D-A49C-4C44-BB17-5AE87ED22843}"/>
            </a:ext>
          </a:extLst>
        </xdr:cNvPr>
        <xdr:cNvPicPr>
          <a:picLocks noChangeAspect="1"/>
        </xdr:cNvPicPr>
      </xdr:nvPicPr>
      <xdr:blipFill>
        <a:blip xmlns:r="http://schemas.openxmlformats.org/officeDocument/2006/relationships" r:embed="rId1"/>
        <a:stretch>
          <a:fillRect/>
        </a:stretch>
      </xdr:blipFill>
      <xdr:spPr>
        <a:xfrm>
          <a:off x="197224" y="0"/>
          <a:ext cx="1586753" cy="58601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57150</xdr:rowOff>
    </xdr:from>
    <xdr:to>
      <xdr:col>1</xdr:col>
      <xdr:colOff>1586753</xdr:colOff>
      <xdr:row>3</xdr:row>
      <xdr:rowOff>128817</xdr:rowOff>
    </xdr:to>
    <xdr:pic>
      <xdr:nvPicPr>
        <xdr:cNvPr id="2" name="Imagen 1">
          <a:extLst>
            <a:ext uri="{FF2B5EF4-FFF2-40B4-BE49-F238E27FC236}">
              <a16:creationId xmlns:a16="http://schemas.microsoft.com/office/drawing/2014/main" id="{39DA8394-0C43-4472-AC07-537AB0C6ED69}"/>
            </a:ext>
          </a:extLst>
        </xdr:cNvPr>
        <xdr:cNvPicPr>
          <a:picLocks noChangeAspect="1"/>
        </xdr:cNvPicPr>
      </xdr:nvPicPr>
      <xdr:blipFill>
        <a:blip xmlns:r="http://schemas.openxmlformats.org/officeDocument/2006/relationships" r:embed="rId1"/>
        <a:stretch>
          <a:fillRect/>
        </a:stretch>
      </xdr:blipFill>
      <xdr:spPr>
        <a:xfrm>
          <a:off x="200025" y="57150"/>
          <a:ext cx="1586753" cy="58601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DocumentosAFPISA/Documentos%20compartidos/FM_FAMPLUS%20USD/AUM_NAV_CONTROL/2026/202603/FAMPLUSUSD_20260331_Control_NAV_diario.xlsx" TargetMode="External"/><Relationship Id="rId2" Type="http://schemas.openxmlformats.org/officeDocument/2006/relationships/externalLinkPath" Target="https://familiarcb.sharepoint.com/sites/DocumentosAFPISA/Documentos%20compartidos/FM_FAMPLUS%20USD/AUM_NAV_CONTROL/2026/202603/FAMPLUSUSD_20260331_Control_NAV_diario.xlsx" TargetMode="External"/><Relationship Id="rId1" Type="http://schemas.openxmlformats.org/officeDocument/2006/relationships/externalLinkPath" Target="/sites/DocumentosAFPISA/Documentos%20compartidos/FM_FAMPLUS%20USD/AUM_NAV_CONTROL/2026/202603/FAMPLUSUSD_20260331_Control_NAV_diario.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familiarcb.sharepoint.com/sites/DocumentosAFPISA/Documentos%20compartidos/FM_FAMPLUS%20USD/AUM_NAV_CONTROL/2025/202512/FAMPLUSUSD_20251230_Control_NAV_diario.xlsx" TargetMode="External"/><Relationship Id="rId1" Type="http://schemas.openxmlformats.org/officeDocument/2006/relationships/externalLinkPath" Target="https://familiarcb.sharepoint.com/sites/DocumentosAFPISA/Documentos%20compartidos/FM_FAMPLUS%20USD/AUM_NAV_CONTROL/2025/202512/FAMPLUSUSD_20251230_Control_NAV_di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SUMEN PORT"/>
      <sheetName val="FM FAMPLUSUSD"/>
      <sheetName val="BANCOS"/>
      <sheetName val="INVENTARIO RF"/>
      <sheetName val="TRADING"/>
      <sheetName val="ADM FEE"/>
      <sheetName val="GTOS DIFERIDOS"/>
      <sheetName val="Maturities"/>
      <sheetName val="PARAMETROS"/>
      <sheetName val="TABLAS"/>
    </sheetNames>
    <sheetDataSet>
      <sheetData sheetId="0" refreshError="1"/>
      <sheetData sheetId="1">
        <row r="305">
          <cell r="A305">
            <v>46112</v>
          </cell>
        </row>
      </sheetData>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SUMEN PORT"/>
      <sheetName val="FM FAMPLUSUSD"/>
      <sheetName val="BANCOS"/>
      <sheetName val="INVENTARIO RF"/>
      <sheetName val="TRADING"/>
      <sheetName val="ADM FEE"/>
      <sheetName val="GTOS DIFERIDOS"/>
      <sheetName val="Maturities"/>
      <sheetName val="CUST FEE BF"/>
      <sheetName val="PARAMETROS"/>
      <sheetName val="TABLAS"/>
    </sheetNames>
    <sheetDataSet>
      <sheetData sheetId="0" refreshError="1"/>
      <sheetData sheetId="1">
        <row r="214">
          <cell r="A214">
            <v>46021</v>
          </cell>
        </row>
      </sheetData>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6664F0D-EF95-4E06-9959-694EB8C2B608}" name="Tabla3" displayName="Tabla3" ref="A6:AD557" totalsRowShown="0" headerRowDxfId="111">
  <tableColumns count="30">
    <tableColumn id="1" xr3:uid="{B9E6C20C-C686-4013-8363-8480F1AA003C}" name="#Operación" dataDxfId="110" totalsRowDxfId="109"/>
    <tableColumn id="31" xr3:uid="{6F42E8F0-A20B-491F-936A-C6F670A722F3}" name="Emisor" dataDxfId="108" totalsRowDxfId="107"/>
    <tableColumn id="2" xr3:uid="{CBAEDEEC-FE7C-4862-8DD5-FEE72B2BBF62}" name="Código Emisión" dataDxfId="106" totalsRowDxfId="105"/>
    <tableColumn id="38" xr3:uid="{2B846455-85F1-4706-B3F4-5E542BC43FC4}" name="Instrumento" dataDxfId="104" totalsRowDxfId="103"/>
    <tableColumn id="32" xr3:uid="{A2FDDFAD-5C4E-4757-B95A-609DC5EF3031}" name="Calificación" dataDxfId="102" totalsRowDxfId="101"/>
    <tableColumn id="33" xr3:uid="{50EA416F-AC59-44BB-8BB8-49B013183783}" name="Sector" dataDxfId="100" totalsRowDxfId="99"/>
    <tableColumn id="34" xr3:uid="{695B2180-FA88-4FE0-AD1E-00C53DD8F805}" name="País" dataDxfId="98" totalsRowDxfId="97"/>
    <tableColumn id="3" xr3:uid="{179C0057-0932-41E7-B529-1B477D8C12CA}" name="Cantidad" dataDxfId="96" totalsRowDxfId="95"/>
    <tableColumn id="4" xr3:uid="{3E3D6C2C-E799-4095-9A4A-928F612AF0E2}" name="Cortes" dataDxfId="94" totalsRowDxfId="93" dataCellStyle="Millares [0]"/>
    <tableColumn id="5" xr3:uid="{B1F61480-723A-41DE-B948-A32695D84427}" name="Tasa de Interés" dataDxfId="92" totalsRowDxfId="91" dataCellStyle="Porcentaje"/>
    <tableColumn id="6" xr3:uid="{A2BE3319-1B27-45FA-8D2A-428A5349A46E}" name="Last coupon" dataDxfId="90" totalsRowDxfId="89"/>
    <tableColumn id="11" xr3:uid="{DEDCA98A-0A3C-470C-8DB0-7366876D8CB2}" name="Accrued" dataDxfId="88" totalsRowDxfId="87"/>
    <tableColumn id="7" xr3:uid="{AAFF50B6-EA75-48C0-9E38-C141752DD97C}" name="Precio Clean" dataDxfId="86">
      <calculatedColumnFormula>(SUM(U7:U514)/Tabla3[[#This Row],[Valor Nominal]])-Tabla3[[#This Row],[Accrued]]</calculatedColumnFormula>
    </tableColumn>
    <tableColumn id="8" xr3:uid="{F164F03C-BA8B-469F-9406-E9121473C5E7}" name="Precio Dirty" dataDxfId="85">
      <calculatedColumnFormula>(SUM(U7:U514)/Tabla3[[#This Row],[Valor Nominal]])</calculatedColumnFormula>
    </tableColumn>
    <tableColumn id="9" xr3:uid="{63A209F6-F969-4E4D-80F0-CD80A0AE40ED}" name="YTM" dataDxfId="84" totalsRowDxfId="83" dataCellStyle="Porcentaje"/>
    <tableColumn id="10" xr3:uid="{551C548B-75EF-4287-8FFB-B9B6F7037CDE}" name="TNA" dataDxfId="82" totalsRowDxfId="81"/>
    <tableColumn id="15" xr3:uid="{8C14EAAC-82A4-4362-95D5-CB9835D6C6CD}" name="Fecha de operación" dataDxfId="80" totalsRowDxfId="79"/>
    <tableColumn id="16" xr3:uid="{CF48B7F8-58C2-4CA1-A4C1-05862824DDD7}" name="Fecha de Vencimiento" dataDxfId="78" totalsRowDxfId="77"/>
    <tableColumn id="17" xr3:uid="{BC45B541-032A-4533-A873-E0337E031E94}" name="Moneda" dataDxfId="76" totalsRowDxfId="75"/>
    <tableColumn id="18" xr3:uid="{53D3B684-E07D-4AA0-9C29-3F373F179AC6}" name="Valor Nominal" dataDxfId="74" totalsRowDxfId="73" dataCellStyle="Millares [0]">
      <calculatedColumnFormula>Tabla3[[#This Row],[Cantidad]]*Tabla3[[#This Row],[Cortes]]</calculatedColumnFormula>
    </tableColumn>
    <tableColumn id="20" xr3:uid="{C574287B-8D22-48A4-8BA9-568EC79B9FDD}" name="Valor Presente o Contable" dataDxfId="72">
      <calculatedColumnFormula>IF(X7="VIgente",(T7/(1+O7)^((R7-$U$5)/365)))</calculatedColumnFormula>
    </tableColumn>
    <tableColumn id="21" xr3:uid="{64D2E93F-ED8B-4D96-AB05-D6DCB0811511}" name="Valor presente o contable2" dataDxfId="71">
      <calculatedColumnFormula>IF(X7="VIgente",(T7/(1+O7)^((R7-$V$5)/365)))</calculatedColumnFormula>
    </tableColumn>
    <tableColumn id="22" xr3:uid="{55782595-C064-4884-95A4-854E568A364C}" name="Valuación por devegamiento" dataDxfId="70">
      <calculatedColumnFormula>IF(Tabla3[[#This Row],[Fecha de operación]]=$C$1,0,U7-V7)</calculatedColumnFormula>
    </tableColumn>
    <tableColumn id="23" xr3:uid="{650140C5-5658-4D6B-9228-7416C1F7D178}" name="Estado" dataDxfId="69" totalsRowDxfId="68" dataCellStyle="Millares [0]">
      <calculatedColumnFormula>IF(R7&lt;=$U$5,"Vencido","Vigente")</calculatedColumnFormula>
    </tableColumn>
    <tableColumn id="24" xr3:uid="{02DF1678-F973-4290-9028-58A64CD4AD7F}" name="Periodicidad" dataDxfId="67" totalsRowDxfId="66" dataCellStyle="Millares [0]"/>
    <tableColumn id="25" xr3:uid="{B5E11C8A-E5B4-46AF-84A9-6F651860059A}" name="Plazo residual" dataDxfId="65" dataCellStyle="Millares [0]">
      <calculatedColumnFormula>+R7-$U$5</calculatedColumnFormula>
    </tableColumn>
    <tableColumn id="26" xr3:uid="{1D4B10E0-6374-4023-9BCB-FB869EE57B3A}" name="Duration" dataDxfId="64" totalsRowDxfId="63" dataCellStyle="Millares [0]"/>
    <tableColumn id="27" xr3:uid="{52932425-D2A7-4E82-B8AA-928845BB408B}" name="Modified Duration" dataDxfId="62" totalsRowDxfId="61" dataCellStyle="Millares [0]"/>
    <tableColumn id="28" xr3:uid="{8EAFD755-4AC4-448E-A6CA-F5233F399C95}" name="Custodio" dataDxfId="60" totalsRowDxfId="59" dataCellStyle="Millares [0]"/>
    <tableColumn id="29" xr3:uid="{53E73D35-DF86-48E5-855A-29AE8E3C2FD7}" name="Amortización k | cupón de intereses" dataDxfId="58" totalsRowDxfId="5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4847D72-4951-4534-B26D-E761BADB8421}" name="Tabla33" displayName="Tabla33" ref="A6:AD418" totalsRowShown="0" headerRowDxfId="56">
  <tableColumns count="30">
    <tableColumn id="1" xr3:uid="{27271B8A-C2DE-4D72-B831-1267581F2AEC}" name="#Operación" dataDxfId="55" totalsRowDxfId="54"/>
    <tableColumn id="31" xr3:uid="{55F8ED52-2704-49EA-987A-17F03815E335}" name="Emisor" dataDxfId="53" totalsRowDxfId="52"/>
    <tableColumn id="2" xr3:uid="{A66373E2-2BFA-4EDC-9FF6-0501E4524B7B}" name="Código Emisión" dataDxfId="51" totalsRowDxfId="50"/>
    <tableColumn id="38" xr3:uid="{3B2F6CDA-2110-42E7-BE8F-5952314DAFF0}" name="Instrumento" dataDxfId="49" totalsRowDxfId="48"/>
    <tableColumn id="32" xr3:uid="{1FA4BB59-1E78-4053-87C7-39C3896A93DB}" name="Calificación" dataDxfId="47" totalsRowDxfId="46"/>
    <tableColumn id="33" xr3:uid="{B95357F8-809E-4B53-9FBB-DD057D6FEBF9}" name="Sector" dataDxfId="45" totalsRowDxfId="44"/>
    <tableColumn id="34" xr3:uid="{D255BD8D-C05C-43D2-B82C-9DAA2A0CC82F}" name="País" dataDxfId="43" totalsRowDxfId="42"/>
    <tableColumn id="3" xr3:uid="{CA6BC03C-8D27-4E90-A3E6-7A7FB2ED2748}" name="Cantidad" dataDxfId="41" totalsRowDxfId="40"/>
    <tableColumn id="4" xr3:uid="{CB3A6F86-67E4-42F1-955A-F55B4CFAF8E3}" name="Cortes" dataDxfId="39" totalsRowDxfId="38" dataCellStyle="Millares [0]"/>
    <tableColumn id="5" xr3:uid="{03F50837-5D7B-426E-B223-A0D4448B541A}" name="Tasa de Interés" dataDxfId="37" totalsRowDxfId="36" dataCellStyle="Porcentaje"/>
    <tableColumn id="6" xr3:uid="{66078717-6318-4C14-BCAA-AF57C8806587}" name="Last coupon" dataDxfId="35" totalsRowDxfId="34"/>
    <tableColumn id="11" xr3:uid="{941F2BFC-0496-445E-9B47-04168F672A40}" name="Accrued" dataDxfId="33" totalsRowDxfId="32"/>
    <tableColumn id="7" xr3:uid="{398E64D8-1139-4F83-B90D-D17E81FFC3D4}" name="Precio Clean" dataDxfId="31">
      <calculatedColumnFormula>(SUM(U7:U418)/Tabla33[[#This Row],[Valor Nominal]])-Tabla33[[#This Row],[Accrued]]</calculatedColumnFormula>
    </tableColumn>
    <tableColumn id="8" xr3:uid="{B84E40F8-DAA9-4F12-8B28-7E6B20B8E70B}" name="Precio Dirty" dataDxfId="30">
      <calculatedColumnFormula>(SUM(U7:U418)/Tabla33[[#This Row],[Valor Nominal]])</calculatedColumnFormula>
    </tableColumn>
    <tableColumn id="9" xr3:uid="{A2F90BF2-E4A5-41B3-853A-E26889C2BD48}" name="YTM" dataDxfId="29" totalsRowDxfId="28" dataCellStyle="Porcentaje"/>
    <tableColumn id="10" xr3:uid="{350EC91F-3A75-452E-8F41-697ABFC81E06}" name="TNA" dataDxfId="27" totalsRowDxfId="26"/>
    <tableColumn id="15" xr3:uid="{15096838-FE7F-4BBF-B1A5-5AC423DE65BE}" name="Fecha de operación" dataDxfId="25" totalsRowDxfId="24"/>
    <tableColumn id="16" xr3:uid="{AED4FDB0-BB61-4989-8633-A4BCD9265595}" name="Fecha de Vencimiento" dataDxfId="23" totalsRowDxfId="22"/>
    <tableColumn id="17" xr3:uid="{08B8D20A-3F7A-4BF4-B1DC-E5E9191C1D08}" name="Moneda" dataDxfId="21" totalsRowDxfId="20"/>
    <tableColumn id="18" xr3:uid="{28A4EE45-6613-47D3-9200-4E9F1CF9FAE3}" name="Valor Nominal" dataDxfId="19" totalsRowDxfId="18" dataCellStyle="Millares [0]">
      <calculatedColumnFormula>Tabla33[[#This Row],[Cantidad]]*Tabla33[[#This Row],[Cortes]]</calculatedColumnFormula>
    </tableColumn>
    <tableColumn id="20" xr3:uid="{3B7C6092-CB35-4926-AF57-35B4405D07B4}" name="Valor Presente o Contable" dataDxfId="17">
      <calculatedColumnFormula>IF(X7="VIgente",(T7/(1+O7)^((R7-$U$5)/365)))</calculatedColumnFormula>
    </tableColumn>
    <tableColumn id="21" xr3:uid="{67891F83-448D-43C6-8CEA-5779E3BD2F35}" name="Valor presente o contable2" dataDxfId="16">
      <calculatedColumnFormula>IF(X7="VIgente",(T7/(1+O7)^((R7-$V$5)/365)))</calculatedColumnFormula>
    </tableColumn>
    <tableColumn id="22" xr3:uid="{9BFA7827-732F-42D3-BF99-ED79755FF121}" name="Valuación por devegamiento" dataDxfId="15">
      <calculatedColumnFormula>IF(Tabla33[[#This Row],[Fecha de operación]]=$C$1,0,U7-V7)</calculatedColumnFormula>
    </tableColumn>
    <tableColumn id="23" xr3:uid="{0CAFD2EC-E4F1-46DB-BC3B-FC3D03ED659D}" name="Estado" dataDxfId="14" totalsRowDxfId="13" dataCellStyle="Millares [0]">
      <calculatedColumnFormula>IF(R7&lt;=$U$5,"Vencido","Vigente")</calculatedColumnFormula>
    </tableColumn>
    <tableColumn id="24" xr3:uid="{5E5D7518-4C3B-4E42-8EF4-96403EFFEB47}" name="Periodicidad" dataDxfId="12" totalsRowDxfId="11" dataCellStyle="Millares [0]"/>
    <tableColumn id="25" xr3:uid="{32521D47-8D2D-41D8-A1DB-3849EA59A453}" name="Plazo residual" dataDxfId="10" totalsRowDxfId="9" dataCellStyle="Millares [0]">
      <calculatedColumnFormula>+R7-$U$5</calculatedColumnFormula>
    </tableColumn>
    <tableColumn id="26" xr3:uid="{5FBF665E-04FB-4C14-A122-6305ABD1A5A0}" name="Duration" dataDxfId="8" totalsRowDxfId="7" dataCellStyle="Millares [0]"/>
    <tableColumn id="27" xr3:uid="{3375C2F5-8A3B-43A1-B88F-97C20CF08937}" name="Modified Duration" dataDxfId="6" totalsRowDxfId="5" dataCellStyle="Millares [0]"/>
    <tableColumn id="28" xr3:uid="{7F7548E0-4F41-4C6F-BAB1-EE1638E444F1}" name="Custodio" dataDxfId="4" totalsRowDxfId="3" dataCellStyle="Millares [0]"/>
    <tableColumn id="29" xr3:uid="{01408E0F-2D29-4E35-97F9-9AF4960B8BE2}" name="Amortización k | cupón de intereses" dataDxfId="2" totalsRowDxfId="1"/>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3.bin"/><Relationship Id="rId7" Type="http://schemas.openxmlformats.org/officeDocument/2006/relationships/vmlDrawing" Target="../drawings/vmlDrawing1.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drawing" Target="../drawings/drawing4.xml"/><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16.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9.bin"/><Relationship Id="rId7" Type="http://schemas.openxmlformats.org/officeDocument/2006/relationships/vmlDrawing" Target="../drawings/vmlDrawing3.v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drawing" Target="../drawings/drawing6.xml"/><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vmlDrawing" Target="../drawings/vmlDrawing4.vml"/><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drawing" Target="../drawings/drawing7.xml"/><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vmlDrawing" Target="../drawings/vmlDrawing5.vml"/><Relationship Id="rId5" Type="http://schemas.openxmlformats.org/officeDocument/2006/relationships/drawing" Target="../drawings/drawing8.xml"/><Relationship Id="rId4"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2" tint="-0.499984740745262"/>
  </sheetPr>
  <dimension ref="B1:O58"/>
  <sheetViews>
    <sheetView showGridLines="0" topLeftCell="B2" zoomScale="70" zoomScaleNormal="70" workbookViewId="0">
      <pane ySplit="15" topLeftCell="A17" activePane="bottomLeft" state="frozen"/>
      <selection activeCell="F34" sqref="F34"/>
      <selection pane="bottomLeft" activeCell="F34" sqref="F34"/>
    </sheetView>
  </sheetViews>
  <sheetFormatPr baseColWidth="10" defaultColWidth="11.5703125" defaultRowHeight="14.25"/>
  <cols>
    <col min="1" max="1" width="2.85546875" style="27" customWidth="1"/>
    <col min="2" max="14" width="12.85546875" style="28" customWidth="1"/>
    <col min="15" max="16384" width="11.5703125" style="27"/>
  </cols>
  <sheetData>
    <row r="1" spans="2:15" hidden="1"/>
    <row r="6" spans="2:15" ht="18.75" customHeight="1">
      <c r="B6" s="716" t="s">
        <v>162</v>
      </c>
      <c r="C6" s="716"/>
      <c r="D6" s="716"/>
      <c r="E6" s="716"/>
      <c r="F6" s="716"/>
      <c r="G6" s="716"/>
      <c r="H6" s="716"/>
      <c r="I6" s="716"/>
      <c r="J6" s="716"/>
      <c r="K6" s="716"/>
      <c r="L6" s="716"/>
      <c r="M6" s="716"/>
      <c r="N6" s="716"/>
    </row>
    <row r="7" spans="2:15" ht="18.75" customHeight="1">
      <c r="B7" s="716"/>
      <c r="C7" s="716"/>
      <c r="D7" s="716"/>
      <c r="E7" s="716"/>
      <c r="F7" s="716"/>
      <c r="G7" s="716"/>
      <c r="H7" s="716"/>
      <c r="I7" s="716"/>
      <c r="J7" s="716"/>
      <c r="K7" s="716"/>
      <c r="L7" s="716"/>
      <c r="M7" s="716"/>
      <c r="N7" s="716"/>
    </row>
    <row r="8" spans="2:15" ht="18.75" customHeight="1">
      <c r="B8" s="716"/>
      <c r="C8" s="716"/>
      <c r="D8" s="716"/>
      <c r="E8" s="716"/>
      <c r="F8" s="716"/>
      <c r="G8" s="716"/>
      <c r="H8" s="716"/>
      <c r="I8" s="716"/>
      <c r="J8" s="716"/>
      <c r="K8" s="716"/>
      <c r="L8" s="716"/>
      <c r="M8" s="716"/>
      <c r="N8" s="716"/>
    </row>
    <row r="9" spans="2:15" ht="18.75" customHeight="1">
      <c r="B9" s="716"/>
      <c r="C9" s="716"/>
      <c r="D9" s="716"/>
      <c r="E9" s="716"/>
      <c r="F9" s="716"/>
      <c r="G9" s="716"/>
      <c r="H9" s="716"/>
      <c r="I9" s="716"/>
      <c r="J9" s="716"/>
      <c r="K9" s="716"/>
      <c r="L9" s="716"/>
      <c r="M9" s="716"/>
      <c r="N9" s="716"/>
    </row>
    <row r="10" spans="2:15" ht="18.75" customHeight="1">
      <c r="B10" s="716"/>
      <c r="C10" s="716"/>
      <c r="D10" s="716"/>
      <c r="E10" s="716"/>
      <c r="F10" s="716"/>
      <c r="G10" s="716"/>
      <c r="H10" s="716"/>
      <c r="I10" s="716"/>
      <c r="J10" s="716"/>
      <c r="K10" s="716"/>
      <c r="L10" s="716"/>
      <c r="M10" s="716"/>
      <c r="N10" s="716"/>
    </row>
    <row r="11" spans="2:15" ht="18.75" customHeight="1">
      <c r="B11" s="716"/>
      <c r="C11" s="716"/>
      <c r="D11" s="716"/>
      <c r="E11" s="716"/>
      <c r="F11" s="716"/>
      <c r="G11" s="716"/>
      <c r="H11" s="716"/>
      <c r="I11" s="716"/>
      <c r="J11" s="716"/>
      <c r="K11" s="716"/>
      <c r="L11" s="716"/>
      <c r="M11" s="716"/>
      <c r="N11" s="716"/>
    </row>
    <row r="12" spans="2:15" ht="18.75" customHeight="1">
      <c r="B12" s="716"/>
      <c r="C12" s="716"/>
      <c r="D12" s="716"/>
      <c r="E12" s="716"/>
      <c r="F12" s="716"/>
      <c r="G12" s="716"/>
      <c r="H12" s="716"/>
      <c r="I12" s="716"/>
      <c r="J12" s="716"/>
      <c r="K12" s="716"/>
      <c r="L12" s="716"/>
      <c r="M12" s="716"/>
      <c r="N12" s="716"/>
    </row>
    <row r="13" spans="2:15" ht="15.75">
      <c r="B13" s="29"/>
      <c r="C13" s="30"/>
      <c r="D13" s="29"/>
      <c r="E13" s="29"/>
      <c r="F13" s="29"/>
      <c r="G13" s="29"/>
      <c r="H13" s="29"/>
      <c r="I13" s="29"/>
      <c r="J13" s="29"/>
      <c r="K13" s="29"/>
      <c r="L13" s="29"/>
      <c r="M13" s="29"/>
      <c r="N13" s="29"/>
    </row>
    <row r="14" spans="2:15" ht="20.25">
      <c r="B14" s="715" t="s">
        <v>192</v>
      </c>
      <c r="C14" s="715"/>
      <c r="D14" s="715"/>
      <c r="E14" s="715"/>
      <c r="F14" s="715"/>
      <c r="G14" s="715"/>
      <c r="H14" s="715"/>
      <c r="I14" s="715"/>
      <c r="J14" s="715"/>
      <c r="K14" s="715"/>
      <c r="L14" s="715"/>
      <c r="M14" s="715"/>
      <c r="N14" s="715"/>
      <c r="O14" s="174"/>
    </row>
    <row r="15" spans="2:15" ht="20.25">
      <c r="B15" s="715" t="s">
        <v>151</v>
      </c>
      <c r="C15" s="715"/>
      <c r="D15" s="715"/>
      <c r="E15" s="715"/>
      <c r="F15" s="715"/>
      <c r="G15" s="715"/>
      <c r="H15" s="715"/>
      <c r="I15" s="715"/>
      <c r="J15" s="715"/>
      <c r="K15" s="715"/>
      <c r="L15" s="715"/>
      <c r="M15" s="715"/>
      <c r="N15" s="715"/>
      <c r="O15" s="174"/>
    </row>
    <row r="16" spans="2:15" ht="7.5" customHeight="1">
      <c r="B16" s="29"/>
      <c r="C16" s="30"/>
      <c r="D16" s="29"/>
      <c r="E16" s="29"/>
      <c r="F16" s="29"/>
      <c r="G16" s="29"/>
      <c r="H16" s="29"/>
      <c r="I16" s="29"/>
      <c r="J16" s="29"/>
      <c r="K16" s="29"/>
      <c r="L16" s="29"/>
      <c r="M16" s="29"/>
      <c r="N16" s="29"/>
    </row>
    <row r="17" spans="2:15" ht="15.75">
      <c r="B17" s="29"/>
      <c r="C17" s="30"/>
      <c r="D17" s="29"/>
      <c r="E17" s="29"/>
      <c r="F17" s="29"/>
      <c r="G17" s="29"/>
      <c r="H17" s="29"/>
      <c r="I17" s="29"/>
      <c r="J17" s="29"/>
      <c r="K17" s="29"/>
      <c r="L17" s="29"/>
      <c r="M17" s="29"/>
      <c r="N17" s="29"/>
    </row>
    <row r="18" spans="2:15" ht="15.75">
      <c r="B18" s="33"/>
      <c r="C18" s="33"/>
      <c r="D18" s="33"/>
      <c r="E18" s="33"/>
      <c r="F18" s="33"/>
      <c r="G18" s="34"/>
      <c r="H18" s="33"/>
      <c r="I18" s="33"/>
      <c r="J18" s="34"/>
      <c r="K18" s="34"/>
      <c r="L18" s="35"/>
      <c r="M18" s="33"/>
      <c r="N18" s="33"/>
    </row>
    <row r="19" spans="2:15" ht="15.75">
      <c r="B19" s="33"/>
      <c r="C19" s="33"/>
      <c r="D19" s="33"/>
      <c r="E19" s="33"/>
      <c r="F19" s="33"/>
      <c r="G19" s="34"/>
      <c r="H19" s="33"/>
      <c r="I19" s="33"/>
      <c r="J19" s="34"/>
      <c r="K19" s="34"/>
      <c r="L19" s="43" t="s">
        <v>219</v>
      </c>
      <c r="M19" s="33"/>
      <c r="N19" s="33"/>
    </row>
    <row r="20" spans="2:15" ht="15">
      <c r="B20" s="114"/>
      <c r="C20" s="114"/>
      <c r="D20" s="114"/>
      <c r="E20" s="114"/>
      <c r="F20" s="114"/>
      <c r="G20" s="115"/>
      <c r="H20" s="114"/>
      <c r="I20" s="114"/>
      <c r="J20" s="115"/>
      <c r="K20" s="115"/>
      <c r="L20" s="114"/>
      <c r="M20" s="114"/>
      <c r="N20" s="114"/>
      <c r="O20" s="116"/>
    </row>
    <row r="21" spans="2:15" s="32" customFormat="1" ht="16.5">
      <c r="B21" s="117"/>
      <c r="C21" s="117" t="s">
        <v>0</v>
      </c>
      <c r="D21" s="118"/>
      <c r="E21" s="119"/>
      <c r="F21" s="119"/>
      <c r="G21" s="120"/>
      <c r="H21" s="114"/>
      <c r="I21" s="114"/>
      <c r="J21" s="114"/>
      <c r="K21" s="120"/>
      <c r="L21" s="121" t="s">
        <v>0</v>
      </c>
      <c r="M21" s="114"/>
      <c r="N21" s="114"/>
      <c r="O21" s="116"/>
    </row>
    <row r="22" spans="2:15" s="32" customFormat="1" ht="16.5">
      <c r="B22" s="117"/>
      <c r="C22" s="117"/>
      <c r="D22" s="118"/>
      <c r="E22" s="119"/>
      <c r="F22" s="119"/>
      <c r="G22" s="122"/>
      <c r="H22" s="114"/>
      <c r="I22" s="114"/>
      <c r="J22" s="114"/>
      <c r="K22" s="122"/>
      <c r="L22" s="114"/>
      <c r="M22" s="114"/>
      <c r="N22" s="114"/>
      <c r="O22" s="116"/>
    </row>
    <row r="23" spans="2:15" s="32" customFormat="1" ht="16.5">
      <c r="B23" s="117"/>
      <c r="C23" s="117" t="s">
        <v>1</v>
      </c>
      <c r="D23" s="118"/>
      <c r="E23" s="119"/>
      <c r="F23" s="119"/>
      <c r="G23" s="120"/>
      <c r="H23" s="114"/>
      <c r="I23" s="114"/>
      <c r="J23" s="114"/>
      <c r="K23" s="120"/>
      <c r="L23" s="121" t="s">
        <v>1</v>
      </c>
      <c r="M23" s="114"/>
      <c r="N23" s="114"/>
      <c r="O23" s="116"/>
    </row>
    <row r="24" spans="2:15" s="32" customFormat="1" ht="16.5">
      <c r="B24" s="117"/>
      <c r="C24" s="117"/>
      <c r="D24" s="118"/>
      <c r="E24" s="119"/>
      <c r="F24" s="119"/>
      <c r="G24" s="122"/>
      <c r="H24" s="114"/>
      <c r="I24" s="114"/>
      <c r="J24" s="114"/>
      <c r="K24" s="122"/>
      <c r="L24" s="114"/>
      <c r="M24" s="114"/>
      <c r="N24" s="114"/>
      <c r="O24" s="116"/>
    </row>
    <row r="25" spans="2:15" s="32" customFormat="1" ht="16.5">
      <c r="B25" s="117"/>
      <c r="C25" s="117" t="s">
        <v>2</v>
      </c>
      <c r="D25" s="118"/>
      <c r="E25" s="119"/>
      <c r="F25" s="119"/>
      <c r="G25" s="120"/>
      <c r="H25" s="114"/>
      <c r="I25" s="114"/>
      <c r="J25" s="114"/>
      <c r="K25" s="120"/>
      <c r="L25" s="121" t="s">
        <v>2</v>
      </c>
      <c r="M25" s="120"/>
      <c r="N25" s="114"/>
      <c r="O25" s="116"/>
    </row>
    <row r="26" spans="2:15" s="32" customFormat="1" ht="16.5">
      <c r="B26" s="117"/>
      <c r="C26" s="117"/>
      <c r="D26" s="118"/>
      <c r="E26" s="119"/>
      <c r="F26" s="119"/>
      <c r="G26" s="122"/>
      <c r="H26" s="114"/>
      <c r="I26" s="114"/>
      <c r="J26" s="114"/>
      <c r="K26" s="122"/>
      <c r="L26" s="121"/>
      <c r="M26" s="114"/>
      <c r="N26" s="114"/>
      <c r="O26" s="116"/>
    </row>
    <row r="27" spans="2:15" s="32" customFormat="1" ht="16.5">
      <c r="B27" s="117"/>
      <c r="C27" s="117" t="s">
        <v>3</v>
      </c>
      <c r="D27" s="118"/>
      <c r="E27" s="119"/>
      <c r="F27" s="119"/>
      <c r="G27" s="120"/>
      <c r="H27" s="114"/>
      <c r="I27" s="114"/>
      <c r="J27" s="114"/>
      <c r="K27" s="120"/>
      <c r="L27" s="121" t="s">
        <v>3</v>
      </c>
      <c r="M27" s="114"/>
      <c r="N27" s="114"/>
      <c r="O27" s="116"/>
    </row>
    <row r="28" spans="2:15" s="32" customFormat="1" ht="16.5">
      <c r="B28" s="117"/>
      <c r="C28" s="117"/>
      <c r="D28" s="118"/>
      <c r="E28" s="119"/>
      <c r="F28" s="119"/>
      <c r="G28" s="122"/>
      <c r="H28" s="114"/>
      <c r="I28" s="114"/>
      <c r="J28" s="114"/>
      <c r="K28" s="122"/>
      <c r="L28" s="121"/>
      <c r="M28" s="114"/>
      <c r="N28" s="114"/>
      <c r="O28" s="116"/>
    </row>
    <row r="29" spans="2:15" s="32" customFormat="1" ht="16.5">
      <c r="B29" s="117"/>
      <c r="C29" s="117" t="s">
        <v>220</v>
      </c>
      <c r="D29" s="118"/>
      <c r="E29" s="119"/>
      <c r="F29" s="119"/>
      <c r="G29" s="120"/>
      <c r="H29" s="114"/>
      <c r="I29" s="114"/>
      <c r="J29" s="114"/>
      <c r="K29" s="123"/>
      <c r="L29" s="121" t="s">
        <v>221</v>
      </c>
      <c r="M29" s="121"/>
      <c r="N29" s="114"/>
      <c r="O29" s="116"/>
    </row>
    <row r="30" spans="2:15" s="32" customFormat="1" ht="16.5">
      <c r="B30" s="117"/>
      <c r="C30" s="117"/>
      <c r="D30" s="118"/>
      <c r="E30" s="119"/>
      <c r="F30" s="119"/>
      <c r="G30" s="122"/>
      <c r="H30" s="114"/>
      <c r="I30" s="114"/>
      <c r="J30" s="114"/>
      <c r="K30" s="122"/>
      <c r="L30" s="121"/>
      <c r="M30" s="114"/>
      <c r="N30" s="114"/>
      <c r="O30" s="116"/>
    </row>
    <row r="31" spans="2:15" s="32" customFormat="1" ht="16.5">
      <c r="B31" s="117"/>
      <c r="C31" s="117" t="s">
        <v>222</v>
      </c>
      <c r="D31" s="118"/>
      <c r="E31" s="119"/>
      <c r="F31" s="119"/>
      <c r="G31" s="120"/>
      <c r="H31" s="114"/>
      <c r="I31" s="114"/>
      <c r="J31" s="114"/>
      <c r="K31" s="123"/>
      <c r="L31" s="121" t="s">
        <v>223</v>
      </c>
      <c r="M31" s="114"/>
      <c r="N31" s="114"/>
      <c r="O31" s="116"/>
    </row>
    <row r="32" spans="2:15" s="31" customFormat="1" ht="16.5">
      <c r="B32" s="124"/>
      <c r="C32" s="124"/>
      <c r="D32" s="118"/>
      <c r="E32" s="119"/>
      <c r="F32" s="119"/>
      <c r="G32" s="120"/>
      <c r="H32" s="114"/>
      <c r="I32" s="114"/>
      <c r="J32" s="114"/>
      <c r="K32" s="125"/>
      <c r="L32" s="121"/>
      <c r="M32" s="114"/>
      <c r="N32" s="114"/>
      <c r="O32" s="116"/>
    </row>
    <row r="33" spans="2:15" s="32" customFormat="1" ht="16.5">
      <c r="B33" s="117"/>
      <c r="C33" s="117" t="s">
        <v>224</v>
      </c>
      <c r="D33" s="118"/>
      <c r="E33" s="119"/>
      <c r="F33" s="119"/>
      <c r="G33" s="120"/>
      <c r="H33" s="114"/>
      <c r="I33" s="114"/>
      <c r="J33" s="114"/>
      <c r="K33" s="123"/>
      <c r="L33" s="121" t="s">
        <v>225</v>
      </c>
      <c r="M33" s="114"/>
      <c r="N33" s="114"/>
      <c r="O33" s="116"/>
    </row>
    <row r="34" spans="2:15" s="31" customFormat="1" ht="16.5">
      <c r="B34" s="124"/>
      <c r="C34" s="124"/>
      <c r="D34" s="118"/>
      <c r="E34" s="119"/>
      <c r="F34" s="119"/>
      <c r="G34" s="120"/>
      <c r="H34" s="114"/>
      <c r="I34" s="114"/>
      <c r="J34" s="114"/>
      <c r="K34" s="125"/>
      <c r="L34" s="121"/>
      <c r="M34" s="114"/>
      <c r="N34" s="114"/>
      <c r="O34" s="116"/>
    </row>
    <row r="35" spans="2:15" s="32" customFormat="1" ht="16.5">
      <c r="B35" s="117"/>
      <c r="C35" s="117" t="s">
        <v>226</v>
      </c>
      <c r="D35" s="118"/>
      <c r="E35" s="119"/>
      <c r="F35" s="119"/>
      <c r="G35" s="120"/>
      <c r="H35" s="114"/>
      <c r="I35" s="114"/>
      <c r="J35" s="114"/>
      <c r="K35" s="123"/>
      <c r="L35" s="121" t="s">
        <v>227</v>
      </c>
      <c r="M35" s="114"/>
      <c r="N35" s="114"/>
      <c r="O35" s="116"/>
    </row>
    <row r="36" spans="2:15" s="31" customFormat="1" ht="16.5">
      <c r="B36" s="124"/>
      <c r="C36" s="124"/>
      <c r="D36" s="118"/>
      <c r="E36" s="119"/>
      <c r="F36" s="119"/>
      <c r="G36" s="120"/>
      <c r="H36" s="114"/>
      <c r="I36" s="114"/>
      <c r="J36" s="114"/>
      <c r="K36" s="125"/>
      <c r="L36" s="121"/>
      <c r="M36" s="114"/>
      <c r="N36" s="114"/>
      <c r="O36" s="116"/>
    </row>
    <row r="37" spans="2:15" s="32" customFormat="1" ht="16.5">
      <c r="B37" s="37"/>
      <c r="C37" s="117" t="s">
        <v>4</v>
      </c>
      <c r="D37" s="118"/>
      <c r="E37" s="119"/>
      <c r="F37" s="119"/>
      <c r="G37" s="120"/>
      <c r="H37" s="114"/>
      <c r="I37" s="114"/>
      <c r="J37" s="114"/>
      <c r="K37" s="123"/>
      <c r="L37" s="121" t="s">
        <v>119</v>
      </c>
      <c r="M37" s="114"/>
      <c r="N37" s="36"/>
    </row>
    <row r="38" spans="2:15" s="31" customFormat="1" ht="16.5">
      <c r="B38" s="38"/>
      <c r="C38" s="38"/>
      <c r="D38" s="39"/>
      <c r="E38" s="40"/>
      <c r="F38" s="40"/>
      <c r="G38" s="41"/>
      <c r="H38" s="33"/>
      <c r="I38" s="33"/>
      <c r="J38" s="33"/>
      <c r="K38" s="42"/>
      <c r="L38" s="33"/>
      <c r="M38" s="33"/>
      <c r="N38" s="33"/>
    </row>
    <row r="39" spans="2:15" s="31" customFormat="1">
      <c r="B39" s="28"/>
      <c r="C39" s="28"/>
      <c r="D39" s="28"/>
      <c r="E39" s="28"/>
      <c r="F39" s="28"/>
      <c r="G39" s="28"/>
      <c r="H39" s="28"/>
      <c r="I39" s="28"/>
      <c r="J39" s="28"/>
      <c r="K39" s="28"/>
      <c r="L39" s="28"/>
      <c r="M39" s="28"/>
      <c r="N39" s="28"/>
    </row>
    <row r="40" spans="2:15" s="31" customFormat="1">
      <c r="B40" s="28"/>
      <c r="C40" s="28"/>
      <c r="D40" s="28"/>
      <c r="E40" s="28"/>
      <c r="F40" s="28"/>
      <c r="G40" s="28"/>
      <c r="H40" s="28"/>
      <c r="I40" s="28"/>
      <c r="J40" s="28"/>
      <c r="K40" s="28"/>
      <c r="L40" s="28"/>
      <c r="M40" s="28"/>
      <c r="N40" s="28"/>
    </row>
    <row r="41" spans="2:15" s="31" customFormat="1">
      <c r="B41" s="28"/>
      <c r="C41" s="28"/>
      <c r="D41" s="28"/>
      <c r="E41" s="28"/>
      <c r="F41" s="28"/>
      <c r="G41" s="28"/>
      <c r="H41" s="28"/>
      <c r="I41" s="28"/>
      <c r="J41" s="28"/>
      <c r="K41" s="28"/>
      <c r="L41" s="28"/>
      <c r="M41" s="28"/>
      <c r="N41" s="28"/>
    </row>
    <row r="42" spans="2:15" s="31" customFormat="1">
      <c r="B42" s="28"/>
      <c r="C42" s="28"/>
      <c r="D42" s="28"/>
      <c r="E42" s="28"/>
      <c r="F42" s="28"/>
      <c r="G42" s="28"/>
      <c r="H42" s="28"/>
      <c r="I42" s="28"/>
      <c r="J42" s="28"/>
      <c r="K42" s="28"/>
      <c r="L42" s="28"/>
      <c r="M42" s="28"/>
      <c r="N42" s="28"/>
    </row>
    <row r="43" spans="2:15" s="31" customFormat="1">
      <c r="B43" s="28"/>
      <c r="C43" s="28"/>
      <c r="D43" s="28"/>
      <c r="E43" s="28"/>
      <c r="F43" s="28"/>
      <c r="G43" s="28"/>
      <c r="H43" s="28"/>
      <c r="I43" s="28"/>
      <c r="J43" s="28"/>
      <c r="K43" s="28"/>
      <c r="L43" s="28"/>
      <c r="M43" s="28"/>
      <c r="N43" s="28"/>
    </row>
    <row r="44" spans="2:15" s="31" customFormat="1">
      <c r="B44" s="28"/>
      <c r="C44" s="28"/>
      <c r="D44" s="28"/>
      <c r="E44" s="28"/>
      <c r="F44" s="28"/>
      <c r="G44" s="28"/>
      <c r="H44" s="28"/>
      <c r="I44" s="28"/>
      <c r="J44" s="28"/>
      <c r="K44" s="28"/>
      <c r="L44" s="28"/>
      <c r="M44" s="28"/>
      <c r="N44" s="28"/>
    </row>
    <row r="47" spans="2:15">
      <c r="D47" s="62" t="s">
        <v>147</v>
      </c>
      <c r="E47" s="717"/>
      <c r="F47" s="717"/>
      <c r="G47" s="63"/>
      <c r="I47" s="60"/>
      <c r="K47" s="59"/>
      <c r="L47" s="260" t="s">
        <v>148</v>
      </c>
    </row>
    <row r="48" spans="2:15">
      <c r="D48" s="64" t="s">
        <v>116</v>
      </c>
      <c r="E48" s="718"/>
      <c r="F48" s="718"/>
      <c r="G48" s="65"/>
      <c r="I48" s="60"/>
      <c r="K48" s="64"/>
      <c r="L48" s="261" t="s">
        <v>117</v>
      </c>
    </row>
    <row r="49" spans="4:11" ht="15.75">
      <c r="D49" s="46"/>
      <c r="E49" s="46"/>
      <c r="F49" s="47"/>
      <c r="G49" s="46"/>
      <c r="H49" s="257"/>
      <c r="I49" s="46"/>
      <c r="K49" s="46"/>
    </row>
    <row r="50" spans="4:11" ht="15.75">
      <c r="D50" s="46"/>
      <c r="E50" s="46"/>
      <c r="F50" s="47"/>
      <c r="G50" s="46"/>
      <c r="H50" s="257"/>
      <c r="I50" s="46"/>
      <c r="K50" s="46"/>
    </row>
    <row r="51" spans="4:11" ht="15.75">
      <c r="D51" s="46"/>
      <c r="E51" s="46"/>
      <c r="F51" s="47"/>
      <c r="G51" s="46"/>
      <c r="H51" s="257"/>
      <c r="I51" s="46"/>
      <c r="K51" s="46"/>
    </row>
    <row r="52" spans="4:11" ht="15.75">
      <c r="D52" s="46"/>
      <c r="E52" s="46"/>
      <c r="F52" s="47"/>
      <c r="G52" s="46"/>
      <c r="H52" s="257"/>
      <c r="I52" s="46"/>
      <c r="K52" s="46"/>
    </row>
    <row r="53" spans="4:11" ht="15.75">
      <c r="D53" s="46"/>
      <c r="E53" s="46"/>
      <c r="F53" s="47"/>
      <c r="G53" s="46"/>
      <c r="H53" s="257"/>
      <c r="I53" s="46"/>
      <c r="K53" s="46"/>
    </row>
    <row r="54" spans="4:11" ht="15">
      <c r="D54" s="46"/>
      <c r="G54" s="46"/>
      <c r="H54" s="713" t="s">
        <v>173</v>
      </c>
      <c r="I54" s="713"/>
      <c r="K54" s="46"/>
    </row>
    <row r="55" spans="4:11" ht="15">
      <c r="D55" s="46"/>
      <c r="G55" s="46"/>
      <c r="H55" s="714" t="s">
        <v>174</v>
      </c>
      <c r="I55" s="714"/>
      <c r="K55" s="59"/>
    </row>
    <row r="56" spans="4:11" ht="15">
      <c r="D56" s="75"/>
      <c r="E56" s="51"/>
      <c r="F56" s="51"/>
      <c r="G56" s="51"/>
      <c r="I56" s="46"/>
      <c r="K56" s="75"/>
    </row>
    <row r="57" spans="4:11">
      <c r="D57" s="51"/>
      <c r="E57" s="51"/>
      <c r="F57" s="51"/>
      <c r="G57" s="51"/>
      <c r="I57" s="51"/>
      <c r="K57" s="51"/>
    </row>
    <row r="58" spans="4:11" ht="15.75">
      <c r="D58" s="46"/>
      <c r="E58" s="46"/>
      <c r="F58" s="47"/>
      <c r="G58" s="46"/>
      <c r="I58" s="46"/>
      <c r="K58" s="46"/>
    </row>
  </sheetData>
  <mergeCells count="7">
    <mergeCell ref="H54:I54"/>
    <mergeCell ref="H55:I55"/>
    <mergeCell ref="B15:N15"/>
    <mergeCell ref="B14:N14"/>
    <mergeCell ref="B6:N12"/>
    <mergeCell ref="E47:F47"/>
    <mergeCell ref="E48:F48"/>
  </mergeCells>
  <hyperlinks>
    <hyperlink ref="L21" location="'Activo Neto'!A1" display="'Activo Neto'!A1" xr:uid="{D98BF293-EB69-40CA-A8D4-6E6B94308BDC}"/>
    <hyperlink ref="L23" location="'Estado de Ingresos y Egresos'!A1" display="'Estado de Ingresos y Egresos'!A1" xr:uid="{EE791E5F-1207-4741-8286-79B668E9A73E}"/>
    <hyperlink ref="L27" location="'VARIACION DEL ACTIVO NETO'!A1" display="Variación del Activo Neto" xr:uid="{B3E5B71E-3497-4656-A0E8-7FF6B20A506F}"/>
    <hyperlink ref="L29" location="'Nota 1 a Nota 3.7'!A1" display="Nota 1 a Nota 3.7" xr:uid="{943072D1-B02C-4791-AFD1-3F43ECC5A0DD}"/>
    <hyperlink ref="L25" location="'FLUJO DE EFECTIVO'!A1" display="Flujos de Efectivo'!A1" xr:uid="{5BF98B03-B851-410B-B3CE-AD5F9F36D599}"/>
    <hyperlink ref="L31" location="'Nota 3.8 a Nota 4.1'!A1" display="Nota 3.8 a Nota 4.1" xr:uid="{B290D4FC-C33D-44F5-8E33-4E708C037AAF}"/>
    <hyperlink ref="L33" location="'Nota 4.2'!A1" display="'Nota 4.2'!A1" xr:uid="{88DB2171-1C51-4AC7-9CFA-BC2F58CC7D07}"/>
    <hyperlink ref="L35" location="'Nota 4.3 a Nota 4.11'!Área_de_impresión" display="Nota 4.3 a Nota 4.11" xr:uid="{94CFB7A4-9B26-400A-AD10-FC420339A7E0}"/>
    <hyperlink ref="L37" location="'Nota 5 a Nota 8'!A1" display="'Nota 5 a Nota 8'!A1" xr:uid="{FE16895C-F908-473A-8B6A-783A6F1A361E}"/>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B934D-30ED-4AE2-9551-6B05EF603849}">
  <sheetPr codeName="Hoja1">
    <tabColor theme="6"/>
  </sheetPr>
  <dimension ref="A1:AT560"/>
  <sheetViews>
    <sheetView showGridLines="0" topLeftCell="AK1" zoomScaleNormal="100" workbookViewId="0">
      <pane ySplit="6" topLeftCell="A25" activePane="bottomLeft" state="frozen"/>
      <selection activeCell="R387" sqref="R387"/>
      <selection pane="bottomLeft" activeCell="AP34" sqref="AP34"/>
    </sheetView>
  </sheetViews>
  <sheetFormatPr baseColWidth="10" defaultColWidth="11.42578125" defaultRowHeight="12.75"/>
  <cols>
    <col min="1" max="1" width="6" style="437" customWidth="1"/>
    <col min="2" max="2" width="34.140625" style="437" customWidth="1"/>
    <col min="3" max="3" width="50" style="437" customWidth="1"/>
    <col min="4" max="4" width="23.5703125" style="437" bestFit="1" customWidth="1"/>
    <col min="5" max="5" width="15" style="437" bestFit="1" customWidth="1"/>
    <col min="6" max="6" width="15.140625" style="437" customWidth="1"/>
    <col min="7" max="7" width="9.140625" style="437" bestFit="1" customWidth="1"/>
    <col min="8" max="8" width="8.42578125" style="437" customWidth="1"/>
    <col min="9" max="9" width="14.140625" style="437" bestFit="1" customWidth="1"/>
    <col min="10" max="10" width="12.85546875" style="437" bestFit="1" customWidth="1"/>
    <col min="11" max="11" width="14.85546875" style="437" bestFit="1" customWidth="1"/>
    <col min="12" max="12" width="13.85546875" style="437" bestFit="1" customWidth="1"/>
    <col min="13" max="13" width="15.140625" style="437" bestFit="1" customWidth="1"/>
    <col min="14" max="14" width="12.85546875" style="437" customWidth="1"/>
    <col min="15" max="15" width="13.7109375" style="437" bestFit="1" customWidth="1"/>
    <col min="16" max="16" width="12.28515625" style="437" bestFit="1" customWidth="1"/>
    <col min="17" max="17" width="13.28515625" style="437" bestFit="1" customWidth="1"/>
    <col min="18" max="18" width="15.5703125" style="437" bestFit="1" customWidth="1"/>
    <col min="19" max="19" width="10" style="437" customWidth="1"/>
    <col min="20" max="22" width="15.5703125" style="437" bestFit="1" customWidth="1"/>
    <col min="23" max="23" width="12.42578125" style="437" bestFit="1" customWidth="1"/>
    <col min="24" max="24" width="10.85546875" style="437" bestFit="1" customWidth="1"/>
    <col min="25" max="25" width="11.42578125" style="437" bestFit="1" customWidth="1"/>
    <col min="26" max="26" width="11.28515625" style="437" bestFit="1" customWidth="1"/>
    <col min="27" max="27" width="10.85546875" style="437" bestFit="1" customWidth="1"/>
    <col min="28" max="28" width="8.85546875" style="437" bestFit="1" customWidth="1"/>
    <col min="29" max="29" width="14.42578125" style="437" customWidth="1"/>
    <col min="30" max="30" width="16.28515625" style="437" customWidth="1"/>
    <col min="31" max="31" width="17.28515625" style="437" customWidth="1"/>
    <col min="32" max="32" width="17.5703125" style="437" bestFit="1" customWidth="1"/>
    <col min="33" max="33" width="17.28515625" style="605" customWidth="1"/>
    <col min="34" max="34" width="16.7109375" style="605" bestFit="1" customWidth="1"/>
    <col min="35" max="36" width="33.28515625" style="605" customWidth="1"/>
    <col min="37" max="37" width="16.7109375" style="605" bestFit="1" customWidth="1"/>
    <col min="38" max="39" width="15.140625" style="606" bestFit="1" customWidth="1"/>
    <col min="40" max="40" width="16.28515625" style="607" bestFit="1" customWidth="1"/>
    <col min="41" max="41" width="62.140625" style="607" bestFit="1" customWidth="1"/>
    <col min="42" max="42" width="15.7109375" style="608" bestFit="1" customWidth="1"/>
    <col min="43" max="43" width="15.85546875" style="608" bestFit="1" customWidth="1"/>
    <col min="44" max="44" width="15.140625" style="609" bestFit="1" customWidth="1"/>
    <col min="45" max="45" width="11.5703125" style="607" bestFit="1" customWidth="1"/>
    <col min="46" max="46" width="11.42578125" style="607"/>
    <col min="47" max="16384" width="11.42578125" style="437"/>
  </cols>
  <sheetData>
    <row r="1" spans="1:44" ht="16.5" thickBot="1">
      <c r="B1" s="438" t="s">
        <v>411</v>
      </c>
      <c r="C1" s="439">
        <f>+'[1]FM FAMPLUSUSD'!A305</f>
        <v>46112</v>
      </c>
      <c r="D1" s="440"/>
      <c r="E1" s="440"/>
      <c r="F1" s="440"/>
      <c r="G1" s="440"/>
      <c r="I1" s="441">
        <f>+C3-1.38%-0.07%</f>
        <v>4.9916262692128385E-2</v>
      </c>
      <c r="J1" s="442"/>
      <c r="K1" s="444"/>
      <c r="M1" s="442"/>
      <c r="N1" s="493"/>
      <c r="P1" s="442"/>
      <c r="Q1" s="443"/>
      <c r="R1" s="442"/>
      <c r="T1" s="440"/>
      <c r="U1" s="444"/>
      <c r="W1" s="440"/>
    </row>
    <row r="2" spans="1:44" ht="16.5" customHeight="1" thickBot="1">
      <c r="B2" s="446" t="s">
        <v>412</v>
      </c>
      <c r="C2" s="610">
        <f>ROUND((SUM(Tabla3[Valor Presente o Contable])),2)</f>
        <v>19360935.390000001</v>
      </c>
      <c r="D2" s="719" t="s">
        <v>413</v>
      </c>
      <c r="E2" s="719"/>
      <c r="F2" s="719"/>
      <c r="G2" s="447">
        <f>SUMPRODUCT(Tabla3[Valor Presente o Contable],Tabla3[Plazo residual])/SUM(Tabla3[Valor Presente o Contable])</f>
        <v>804.02840575781249</v>
      </c>
      <c r="H2" s="448"/>
      <c r="I2" s="441">
        <f>+C4-1.38%</f>
        <v>4.9207810599933684E-2</v>
      </c>
      <c r="J2" s="442"/>
      <c r="K2" s="444"/>
      <c r="M2" s="444"/>
      <c r="N2" s="444"/>
      <c r="P2" s="440"/>
      <c r="Q2" s="444"/>
      <c r="S2" s="449"/>
      <c r="T2" s="442"/>
      <c r="U2" s="444"/>
      <c r="V2" s="440"/>
      <c r="W2" s="444"/>
      <c r="Y2" s="440"/>
      <c r="AA2" s="450"/>
      <c r="AB2" s="440"/>
      <c r="AE2" s="451"/>
      <c r="AO2" s="611"/>
    </row>
    <row r="3" spans="1:44" ht="15.75">
      <c r="B3" s="452" t="s">
        <v>414</v>
      </c>
      <c r="C3" s="612">
        <f>SUMPRODUCT(Tabla3[YTM],Tabla3[Valor Presente o Contable])/SUM(Tabla3[Valor Presente o Contable])</f>
        <v>6.4416262692128384E-2</v>
      </c>
      <c r="D3" s="452" t="s">
        <v>415</v>
      </c>
      <c r="E3" s="452"/>
      <c r="F3" s="454"/>
      <c r="G3" s="455">
        <f>SUMPRODUCT(Tabla3[Valor Presente o Contable],Tabla3[Duration])/SUM(Tabla3[Valor Presente o Contable])</f>
        <v>2.1955641155915644</v>
      </c>
      <c r="I3" s="456"/>
      <c r="K3" s="450"/>
      <c r="L3" s="440"/>
      <c r="M3" s="444"/>
      <c r="N3" s="444"/>
      <c r="O3" s="444"/>
      <c r="P3" s="457"/>
      <c r="Q3" s="458"/>
      <c r="R3" s="449"/>
      <c r="S3" s="449"/>
      <c r="T3" s="458"/>
      <c r="V3" s="440"/>
      <c r="W3" s="444"/>
      <c r="X3" s="440"/>
      <c r="Y3" s="440"/>
      <c r="AA3" s="444"/>
      <c r="AB3" s="450"/>
      <c r="AE3" s="451"/>
      <c r="AO3" s="611"/>
    </row>
    <row r="4" spans="1:44" ht="15.75">
      <c r="B4" s="452" t="s">
        <v>416</v>
      </c>
      <c r="C4" s="612">
        <f>SUMPRODUCT(Tabla3[TNA],Tabla3[Valor Presente o Contable])/SUM(Tabla3[Valor Presente o Contable])</f>
        <v>6.3007810599933683E-2</v>
      </c>
      <c r="D4" s="452" t="s">
        <v>417</v>
      </c>
      <c r="E4" s="452"/>
      <c r="F4" s="454"/>
      <c r="G4" s="459">
        <f>SUMPRODUCT(Tabla3[Valor Presente o Contable],Tabla3[Modified Duration])/SUM(Tabla3[Valor Presente o Contable])</f>
        <v>2.1446194732514021</v>
      </c>
      <c r="H4" s="452" t="s">
        <v>418</v>
      </c>
      <c r="I4" s="452"/>
      <c r="J4" s="454"/>
      <c r="K4" s="460">
        <f>SUM(Tabla3[Valuación por devegamiento])</f>
        <v>3291.247858052302</v>
      </c>
      <c r="L4" s="461"/>
      <c r="M4" s="462"/>
      <c r="N4" s="457"/>
      <c r="O4" s="444"/>
      <c r="Q4" s="457"/>
      <c r="R4" s="443"/>
      <c r="S4" s="463"/>
      <c r="U4" s="464"/>
      <c r="V4" s="464"/>
      <c r="W4" s="440"/>
      <c r="X4" s="450"/>
      <c r="Y4" s="450"/>
      <c r="AA4" s="444"/>
      <c r="AB4" s="450"/>
      <c r="AE4" s="451"/>
      <c r="AO4" s="613"/>
    </row>
    <row r="5" spans="1:44" ht="15.75">
      <c r="D5" s="450"/>
      <c r="J5" s="465"/>
      <c r="M5" s="466"/>
      <c r="N5" s="450"/>
      <c r="O5" s="450"/>
      <c r="P5" s="450"/>
      <c r="Q5" s="458"/>
      <c r="R5" s="458"/>
      <c r="U5" s="467">
        <f>C1</f>
        <v>46112</v>
      </c>
      <c r="V5" s="467">
        <f>U5-1</f>
        <v>46111</v>
      </c>
      <c r="W5" s="468">
        <f>SUM(Tabla3[Valuación por devegamiento])</f>
        <v>3291.247858052302</v>
      </c>
      <c r="X5" s="449"/>
      <c r="Y5" s="440"/>
      <c r="AA5" s="444"/>
      <c r="AB5" s="450"/>
      <c r="AE5" s="469"/>
      <c r="AG5" s="470">
        <f>+SUM(AG7:AG557)</f>
        <v>19334000</v>
      </c>
      <c r="AH5" s="470">
        <f>+SUM(AH7:AH557)</f>
        <v>3058466.5727698687</v>
      </c>
      <c r="AI5" s="470">
        <f>+SUM(AI7:AI557)</f>
        <v>2906363.6275643837</v>
      </c>
      <c r="AJ5" s="470">
        <f>+SUM(AJ7:AJ557)</f>
        <v>23163.242109549068</v>
      </c>
      <c r="AK5" s="470">
        <f>+SUM(AK7:AK557)</f>
        <v>-148330.7979856201</v>
      </c>
      <c r="AL5" s="614">
        <f>AG5+AH5-AI5+AJ5+AK5</f>
        <v>19360935.389329415</v>
      </c>
      <c r="AM5" s="615">
        <f>+AL5-C2</f>
        <v>-6.7058578133583069E-4</v>
      </c>
    </row>
    <row r="6" spans="1:44" ht="25.5">
      <c r="A6" s="472" t="s">
        <v>419</v>
      </c>
      <c r="B6" s="472" t="s">
        <v>50</v>
      </c>
      <c r="C6" s="472" t="s">
        <v>420</v>
      </c>
      <c r="D6" s="472" t="s">
        <v>49</v>
      </c>
      <c r="E6" s="472" t="s">
        <v>421</v>
      </c>
      <c r="F6" s="472" t="s">
        <v>51</v>
      </c>
      <c r="G6" s="472" t="s">
        <v>52</v>
      </c>
      <c r="H6" s="473" t="s">
        <v>190</v>
      </c>
      <c r="I6" s="472" t="s">
        <v>422</v>
      </c>
      <c r="J6" s="472" t="s">
        <v>56</v>
      </c>
      <c r="K6" s="472" t="s">
        <v>423</v>
      </c>
      <c r="L6" s="472" t="s">
        <v>424</v>
      </c>
      <c r="M6" s="472" t="s">
        <v>425</v>
      </c>
      <c r="N6" s="472" t="s">
        <v>426</v>
      </c>
      <c r="O6" s="472" t="s">
        <v>427</v>
      </c>
      <c r="P6" s="472" t="s">
        <v>428</v>
      </c>
      <c r="Q6" s="472" t="s">
        <v>429</v>
      </c>
      <c r="R6" s="472" t="s">
        <v>430</v>
      </c>
      <c r="S6" s="472" t="s">
        <v>55</v>
      </c>
      <c r="T6" s="472" t="s">
        <v>431</v>
      </c>
      <c r="U6" s="472" t="s">
        <v>432</v>
      </c>
      <c r="V6" s="472" t="s">
        <v>433</v>
      </c>
      <c r="W6" s="472" t="s">
        <v>434</v>
      </c>
      <c r="X6" s="472" t="s">
        <v>435</v>
      </c>
      <c r="Y6" s="472" t="s">
        <v>436</v>
      </c>
      <c r="Z6" s="472" t="s">
        <v>437</v>
      </c>
      <c r="AA6" s="472" t="s">
        <v>438</v>
      </c>
      <c r="AB6" s="472" t="s">
        <v>439</v>
      </c>
      <c r="AC6" s="472" t="s">
        <v>440</v>
      </c>
      <c r="AD6" s="472" t="s">
        <v>441</v>
      </c>
      <c r="AE6" s="458"/>
      <c r="AG6" s="616" t="s">
        <v>442</v>
      </c>
      <c r="AH6" s="616" t="s">
        <v>443</v>
      </c>
      <c r="AI6" s="616" t="s">
        <v>444</v>
      </c>
      <c r="AJ6" s="616" t="s">
        <v>445</v>
      </c>
      <c r="AK6" s="616" t="s">
        <v>446</v>
      </c>
    </row>
    <row r="7" spans="1:44" ht="15">
      <c r="A7" s="475">
        <v>1</v>
      </c>
      <c r="B7" s="475" t="s">
        <v>447</v>
      </c>
      <c r="C7" s="475" t="s">
        <v>448</v>
      </c>
      <c r="D7" s="475" t="s">
        <v>294</v>
      </c>
      <c r="E7" s="475" t="s">
        <v>449</v>
      </c>
      <c r="F7" s="475" t="s">
        <v>297</v>
      </c>
      <c r="G7" s="475" t="s">
        <v>298</v>
      </c>
      <c r="H7" s="476">
        <v>50</v>
      </c>
      <c r="I7" s="477">
        <v>1000</v>
      </c>
      <c r="J7" s="478">
        <v>6.5000000000000002E-2</v>
      </c>
      <c r="K7" s="479">
        <f>_xlfn.MAXIFS(R:R,C:C,C7,AD:AD,"Cupón de interés",X:X,"Vencido")</f>
        <v>46049</v>
      </c>
      <c r="L7" s="478">
        <f>+Tabla3[[#This Row],[Tasa de Interés]]*($U$5-Tabla3[[#This Row],[Last coupon]])/365</f>
        <v>1.1219178082191781E-2</v>
      </c>
      <c r="M7" s="617">
        <f>+Tabla3[[#This Row],[Precio Dirty]]-Tabla3[[#This Row],[Accrued]]</f>
        <v>1.000214425280751</v>
      </c>
      <c r="N7" s="617">
        <f>SUMIFS(U:U,C:C,C7,Q:Q,Q7)/SUMIFS(T:T,C:C,C7,Q:Q,Q7,AD:AD,"Amortización de K")</f>
        <v>1.0114336033629427</v>
      </c>
      <c r="O7" s="482">
        <v>6.6508695483207689E-2</v>
      </c>
      <c r="P7" s="483">
        <v>6.4911470005821315E-2</v>
      </c>
      <c r="Q7" s="484">
        <v>45812</v>
      </c>
      <c r="R7" s="484">
        <v>47238</v>
      </c>
      <c r="S7" s="475" t="s">
        <v>146</v>
      </c>
      <c r="T7" s="485">
        <f>Tabla3[[#This Row],[Cantidad]]*Tabla3[[#This Row],[Cortes]]</f>
        <v>50000</v>
      </c>
      <c r="U7" s="486">
        <f t="shared" ref="U7:U68" si="0">IF(X7="VIgente",(T7/(1+O7)^((R7-$U$5)/365)))</f>
        <v>40992.248757582915</v>
      </c>
      <c r="V7" s="487">
        <f t="shared" ref="V7:V68" si="1">IF(X7="VIgente",(T7/(1+O7)^((R7-$V$5)/365)))</f>
        <v>40985.017867207411</v>
      </c>
      <c r="W7" s="487">
        <f>IF(Tabla3[[#This Row],[Fecha de operación]]=$C$1,0,U7-V7)</f>
        <v>7.2308903755038045</v>
      </c>
      <c r="X7" s="488" t="str">
        <f t="shared" ref="X7:X8" si="2">IF(R7&lt;=$U$5,"Vencido","Vigente")</f>
        <v>Vigente</v>
      </c>
      <c r="Y7" s="489" t="s">
        <v>450</v>
      </c>
      <c r="Z7" s="488">
        <f t="shared" ref="Z7:Z8" si="3">+R7-$U$5</f>
        <v>1126</v>
      </c>
      <c r="AA7" s="477">
        <f>IF(Y7="Mensual",DURATION($C$1,$C$1+Z7*12,J7/12,O7/12,1)/12,DURATION($C$1,R7,J7,O7,IF(Y7="Cupón cero",1,IF(Y7="Al vencimiento",1,IF(Y7="Anual",1,IF(Y7="Semestral",2,IF(Y7="Trimestral",4,"")))))))</f>
        <v>2.7882992062030123</v>
      </c>
      <c r="AB7" s="477">
        <f>IF(Y7="Mensual",MDURATION($C$1,$C$1+Z7*12,J7/12,O7/12,1)/12,MDURATION($C$1,R7,J7,O7,IF(Y7="Cupón cero",1,IF(Y7="Al vencimiento",1,IF(Y7="Anual",1,IF(Y7="Semestral",2,IF(Y7="Trimestral",4,"")))))))</f>
        <v>2.7426959241966546</v>
      </c>
      <c r="AC7" s="488" t="s">
        <v>451</v>
      </c>
      <c r="AD7" s="488" t="s">
        <v>452</v>
      </c>
      <c r="AE7" s="458"/>
      <c r="AG7" s="605">
        <f>+IF(Tabla3[[#This Row],[Amortización k | cupón de intereses]]="Amortización de K",Tabla3[[#This Row],[Valor Nominal]],0)</f>
        <v>50000</v>
      </c>
      <c r="AH7" s="605">
        <f>+IF(AND(Tabla3[[#This Row],[Amortización k | cupón de intereses]]="Cupón de interés",Tabla3[[#This Row],[Estado]]="Vigente"),Tabla3[[#This Row],[Valor Nominal]],0)</f>
        <v>0</v>
      </c>
      <c r="AI7" s="618">
        <f>+IF(Tabla3[[#This Row],[Amortización k | cupón de intereses]]="Amortización de K",SUMIFS($AH$7:$AH$557,Tabla3[Código Emisión],Tabla3[[#This Row],[Código Emisión]],Tabla3[Fecha de operación],Tabla3[[#This Row],[Fecha de operación]]),0)-Tabla3[[#This Row],[Accrued]]*Tabla3[[#This Row],[Valor Nominal]]</f>
        <v>10026.02714589041</v>
      </c>
      <c r="AJ7" s="605">
        <f>+IF(Tabla3[[#This Row],[Amortización k | cupón de intereses]]="Amortización de K",IF(Tabla3[[#This Row],[Precio Clean]]&gt;1,Tabla3[[#This Row],[Valor Nominal]]*(Tabla3[[#This Row],[Precio Clean]]-1),0),0)</f>
        <v>10.721264037549805</v>
      </c>
      <c r="AK7" s="605">
        <f>+IF(Tabla3[[#This Row],[Amortización k | cupón de intereses]]="Amortización de K",IF(Tabla3[[#This Row],[Precio Clean]]&lt;1,Tabla3[[#This Row],[Valor Nominal]]*(Tabla3[[#This Row],[Precio Clean]]-1),0),0)</f>
        <v>0</v>
      </c>
    </row>
    <row r="8" spans="1:44">
      <c r="B8" s="437" t="str">
        <f>+B7</f>
        <v>Banco Basa SA</v>
      </c>
      <c r="C8" s="437" t="str">
        <f>+C7</f>
        <v>PYBAM01F0358</v>
      </c>
      <c r="D8" s="437" t="str">
        <f>+D7</f>
        <v>Bonos Financieros</v>
      </c>
      <c r="E8" s="437" t="str">
        <f>+E7</f>
        <v>AA-py</v>
      </c>
      <c r="F8" s="437" t="s">
        <v>297</v>
      </c>
      <c r="G8" s="437" t="s">
        <v>298</v>
      </c>
      <c r="H8" s="437">
        <f>+H7</f>
        <v>50</v>
      </c>
      <c r="I8" s="492">
        <v>16.739726000000001</v>
      </c>
      <c r="J8" s="451"/>
      <c r="L8" s="442"/>
      <c r="M8" s="493"/>
      <c r="N8" s="493"/>
      <c r="O8" s="494">
        <f>$O$7</f>
        <v>6.6508695483207689E-2</v>
      </c>
      <c r="P8" s="494">
        <f>$P$7</f>
        <v>6.4911470005821315E-2</v>
      </c>
      <c r="Q8" s="450">
        <f>+Q7</f>
        <v>45812</v>
      </c>
      <c r="R8" s="450">
        <v>47238</v>
      </c>
      <c r="S8" s="437" t="s">
        <v>146</v>
      </c>
      <c r="T8" s="495">
        <f>Tabla3[[#This Row],[Cantidad]]*Tabla3[[#This Row],[Cortes]]</f>
        <v>836.98630000000003</v>
      </c>
      <c r="U8" s="496">
        <f t="shared" si="0"/>
        <v>686.19901232577843</v>
      </c>
      <c r="V8" s="497">
        <f t="shared" si="1"/>
        <v>686.0779692021564</v>
      </c>
      <c r="W8" s="497">
        <f>IF(Tabla3[[#This Row],[Fecha de operación]]=$C$1,0,U8-V8)</f>
        <v>0.12104312362203018</v>
      </c>
      <c r="X8" s="469" t="str">
        <f t="shared" si="2"/>
        <v>Vigente</v>
      </c>
      <c r="Y8" s="498"/>
      <c r="Z8" s="469">
        <f t="shared" si="3"/>
        <v>1126</v>
      </c>
      <c r="AA8" s="477">
        <f>+AA7</f>
        <v>2.7882992062030123</v>
      </c>
      <c r="AB8" s="492">
        <f>AB7</f>
        <v>2.7426959241966546</v>
      </c>
      <c r="AC8" s="469" t="s">
        <v>451</v>
      </c>
      <c r="AD8" s="469" t="s">
        <v>454</v>
      </c>
      <c r="AE8" s="458"/>
      <c r="AG8" s="605">
        <f>+IF(Tabla3[[#This Row],[Amortización k | cupón de intereses]]="Amortización de K",Tabla3[[#This Row],[Valor Nominal]],0)</f>
        <v>0</v>
      </c>
      <c r="AH8" s="605">
        <f>+IF(AND(Tabla3[[#This Row],[Amortización k | cupón de intereses]]="Cupón de interés",Tabla3[[#This Row],[Estado]]="Vigente"),Tabla3[[#This Row],[Valor Nominal]],0)</f>
        <v>836.98630000000003</v>
      </c>
      <c r="AI8" s="618">
        <f>+IF(Tabla3[[#This Row],[Amortización k | cupón de intereses]]="Amortización de K",SUMIFS($AH$7:$AH$557,Tabla3[Código Emisión],Tabla3[[#This Row],[Código Emisión]],Tabla3[Fecha de operación],Tabla3[[#This Row],[Fecha de operación]]),0)-Tabla3[[#This Row],[Accrued]]*Tabla3[[#This Row],[Valor Nominal]]</f>
        <v>0</v>
      </c>
      <c r="AJ8" s="605">
        <f>+IF(Tabla3[[#This Row],[Amortización k | cupón de intereses]]="Amortización de K",IF(Tabla3[[#This Row],[Precio Clean]]&gt;1,Tabla3[[#This Row],[Valor Nominal]]*(Tabla3[[#This Row],[Precio Clean]]-1),0),0)</f>
        <v>0</v>
      </c>
      <c r="AK8" s="605">
        <f>+IF(Tabla3[[#This Row],[Amortización k | cupón de intereses]]="Amortización de K",IF(Tabla3[[#This Row],[Precio Clean]]&lt;1,Tabla3[[#This Row],[Valor Nominal]]*(Tabla3[[#This Row],[Precio Clean]]-1),0),0)</f>
        <v>0</v>
      </c>
      <c r="AO8" s="619" t="s">
        <v>453</v>
      </c>
      <c r="AP8" s="620">
        <f ca="1">+AP9+AP10-AP11+AP12+AP13</f>
        <v>15513941.811402742</v>
      </c>
      <c r="AQ8" s="608">
        <f>+SUMIFS(Tabla3[Valor Presente o Contable],Tabla3[Instrumento],AO8)</f>
        <v>15513941.811402731</v>
      </c>
      <c r="AR8" s="621">
        <f ca="1">+AP8-AQ8</f>
        <v>0</v>
      </c>
    </row>
    <row r="9" spans="1:44">
      <c r="B9" s="437" t="str">
        <f>+B8</f>
        <v>Banco Basa SA</v>
      </c>
      <c r="C9" s="437" t="str">
        <f t="shared" ref="C9:H24" si="4">+C8</f>
        <v>PYBAM01F0358</v>
      </c>
      <c r="D9" s="437" t="str">
        <f>+D8</f>
        <v>Bonos Financieros</v>
      </c>
      <c r="E9" s="437" t="str">
        <f>+E8</f>
        <v>AA-py</v>
      </c>
      <c r="F9" s="437" t="str">
        <f t="shared" ref="F9:H16" si="5">+F8</f>
        <v>Financiero</v>
      </c>
      <c r="G9" s="437" t="str">
        <f t="shared" si="5"/>
        <v>Paraguay</v>
      </c>
      <c r="H9" s="437">
        <f t="shared" si="5"/>
        <v>50</v>
      </c>
      <c r="I9" s="492">
        <v>16.205479</v>
      </c>
      <c r="J9" s="451"/>
      <c r="L9" s="442"/>
      <c r="M9" s="493"/>
      <c r="N9" s="493"/>
      <c r="O9" s="494">
        <f>+O8</f>
        <v>6.6508695483207689E-2</v>
      </c>
      <c r="P9" s="494">
        <f>+P8</f>
        <v>6.4911470005821315E-2</v>
      </c>
      <c r="Q9" s="450">
        <f>+Q8</f>
        <v>45812</v>
      </c>
      <c r="R9" s="450">
        <v>47144</v>
      </c>
      <c r="S9" s="437" t="s">
        <v>146</v>
      </c>
      <c r="T9" s="495">
        <f>Tabla3[[#This Row],[Cantidad]]*Tabla3[[#This Row],[Cortes]]</f>
        <v>810.27395000000001</v>
      </c>
      <c r="U9" s="496">
        <f t="shared" si="0"/>
        <v>675.40676579282388</v>
      </c>
      <c r="V9" s="497">
        <f t="shared" si="1"/>
        <v>675.28762638402475</v>
      </c>
      <c r="W9" s="497">
        <f>IF(Tabla3[[#This Row],[Fecha de operación]]=$C$1,0,U9-V9)</f>
        <v>0.11913940879912843</v>
      </c>
      <c r="X9" s="469" t="str">
        <f>IF(R9&lt;=$U$5,"Vencido","Vigente")</f>
        <v>Vigente</v>
      </c>
      <c r="Y9" s="498"/>
      <c r="Z9" s="469">
        <f>+R9-$U$5</f>
        <v>1032</v>
      </c>
      <c r="AA9" s="492">
        <f t="shared" ref="AA9:AB24" si="6">AA8</f>
        <v>2.7882992062030123</v>
      </c>
      <c r="AB9" s="492">
        <f t="shared" si="6"/>
        <v>2.7426959241966546</v>
      </c>
      <c r="AC9" s="469" t="s">
        <v>451</v>
      </c>
      <c r="AD9" s="469" t="s">
        <v>454</v>
      </c>
      <c r="AE9" s="458"/>
      <c r="AG9" s="605">
        <f>+IF(Tabla3[[#This Row],[Amortización k | cupón de intereses]]="Amortización de K",Tabla3[[#This Row],[Valor Nominal]],0)</f>
        <v>0</v>
      </c>
      <c r="AH9" s="605">
        <f>+IF(AND(Tabla3[[#This Row],[Amortización k | cupón de intereses]]="Cupón de interés",Tabla3[[#This Row],[Estado]]="Vigente"),Tabla3[[#This Row],[Valor Nominal]],0)</f>
        <v>810.27395000000001</v>
      </c>
      <c r="AI9" s="618">
        <f>+IF(Tabla3[[#This Row],[Amortización k | cupón de intereses]]="Amortización de K",SUMIFS($AH$7:$AH$557,Tabla3[Código Emisión],Tabla3[[#This Row],[Código Emisión]],Tabla3[Fecha de operación],Tabla3[[#This Row],[Fecha de operación]]),0)-Tabla3[[#This Row],[Accrued]]*Tabla3[[#This Row],[Valor Nominal]]</f>
        <v>0</v>
      </c>
      <c r="AJ9" s="605">
        <f>+IF(Tabla3[[#This Row],[Amortización k | cupón de intereses]]="Amortización de K",IF(Tabla3[[#This Row],[Precio Clean]]&gt;1,Tabla3[[#This Row],[Valor Nominal]]*(Tabla3[[#This Row],[Precio Clean]]-1),0),0)</f>
        <v>0</v>
      </c>
      <c r="AK9" s="605">
        <f>+IF(Tabla3[[#This Row],[Amortización k | cupón de intereses]]="Amortización de K",IF(Tabla3[[#This Row],[Precio Clean]]&lt;1,Tabla3[[#This Row],[Valor Nominal]]*(Tabla3[[#This Row],[Precio Clean]]-1),0),0)</f>
        <v>0</v>
      </c>
      <c r="AN9" s="659">
        <v>12010115001001</v>
      </c>
      <c r="AO9" s="660" t="s">
        <v>455</v>
      </c>
      <c r="AP9" s="661">
        <f ca="1">+SUMIF(Tabla3[Instrumento],$AO$8,$AG$7:$AG$520)</f>
        <v>15384000</v>
      </c>
      <c r="AR9" s="622"/>
    </row>
    <row r="10" spans="1:44">
      <c r="B10" s="437" t="str">
        <f t="shared" ref="B10:B31" si="7">+B9</f>
        <v>Banco Basa SA</v>
      </c>
      <c r="C10" s="437" t="str">
        <f t="shared" si="4"/>
        <v>PYBAM01F0358</v>
      </c>
      <c r="D10" s="437" t="str">
        <f t="shared" si="4"/>
        <v>Bonos Financieros</v>
      </c>
      <c r="E10" s="437" t="str">
        <f t="shared" si="4"/>
        <v>AA-py</v>
      </c>
      <c r="F10" s="437" t="str">
        <f t="shared" si="5"/>
        <v>Financiero</v>
      </c>
      <c r="G10" s="437" t="str">
        <f t="shared" si="5"/>
        <v>Paraguay</v>
      </c>
      <c r="H10" s="437">
        <f t="shared" si="5"/>
        <v>50</v>
      </c>
      <c r="I10" s="492">
        <v>16.205479</v>
      </c>
      <c r="J10" s="451"/>
      <c r="L10" s="442"/>
      <c r="M10" s="493"/>
      <c r="N10" s="493"/>
      <c r="O10" s="494">
        <f t="shared" ref="O10:Q25" si="8">+O9</f>
        <v>6.6508695483207689E-2</v>
      </c>
      <c r="P10" s="494">
        <f t="shared" si="8"/>
        <v>6.4911470005821315E-2</v>
      </c>
      <c r="Q10" s="450">
        <f t="shared" si="8"/>
        <v>45812</v>
      </c>
      <c r="R10" s="450">
        <v>47053</v>
      </c>
      <c r="S10" s="437" t="s">
        <v>146</v>
      </c>
      <c r="T10" s="495">
        <f>Tabla3[[#This Row],[Cantidad]]*Tabla3[[#This Row],[Cortes]]</f>
        <v>810.27395000000001</v>
      </c>
      <c r="U10" s="496">
        <f t="shared" si="0"/>
        <v>686.33690709845359</v>
      </c>
      <c r="V10" s="497">
        <f t="shared" si="1"/>
        <v>686.21583965067236</v>
      </c>
      <c r="W10" s="497">
        <f>IF(Tabla3[[#This Row],[Fecha de operación]]=$C$1,0,U10-V10)</f>
        <v>0.12106744778122902</v>
      </c>
      <c r="X10" s="469" t="str">
        <f>IF(R10&lt;=$U$5,"Vencido","Vigente")</f>
        <v>Vigente</v>
      </c>
      <c r="Y10" s="498"/>
      <c r="Z10" s="469">
        <f>+R10-$U$5</f>
        <v>941</v>
      </c>
      <c r="AA10" s="492">
        <f t="shared" si="6"/>
        <v>2.7882992062030123</v>
      </c>
      <c r="AB10" s="492">
        <f t="shared" si="6"/>
        <v>2.7426959241966546</v>
      </c>
      <c r="AC10" s="469" t="s">
        <v>451</v>
      </c>
      <c r="AD10" s="469" t="s">
        <v>454</v>
      </c>
      <c r="AE10" s="553"/>
      <c r="AF10" s="623"/>
      <c r="AG10" s="605">
        <f>+IF(Tabla3[[#This Row],[Amortización k | cupón de intereses]]="Amortización de K",Tabla3[[#This Row],[Valor Nominal]],0)</f>
        <v>0</v>
      </c>
      <c r="AH10" s="605">
        <f>+IF(AND(Tabla3[[#This Row],[Amortización k | cupón de intereses]]="Cupón de interés",Tabla3[[#This Row],[Estado]]="Vigente"),Tabla3[[#This Row],[Valor Nominal]],0)</f>
        <v>810.27395000000001</v>
      </c>
      <c r="AI10" s="618">
        <f>+IF(Tabla3[[#This Row],[Amortización k | cupón de intereses]]="Amortización de K",SUMIFS($AH$7:$AH$557,Tabla3[Código Emisión],Tabla3[[#This Row],[Código Emisión]],Tabla3[Fecha de operación],Tabla3[[#This Row],[Fecha de operación]]),0)-Tabla3[[#This Row],[Accrued]]*Tabla3[[#This Row],[Valor Nominal]]</f>
        <v>0</v>
      </c>
      <c r="AJ10" s="605">
        <f>+IF(Tabla3[[#This Row],[Amortización k | cupón de intereses]]="Amortización de K",IF(Tabla3[[#This Row],[Precio Clean]]&gt;1,Tabla3[[#This Row],[Valor Nominal]]*(Tabla3[[#This Row],[Precio Clean]]-1),0),0)</f>
        <v>0</v>
      </c>
      <c r="AK10" s="605">
        <f>+IF(Tabla3[[#This Row],[Amortización k | cupón de intereses]]="Amortización de K",IF(Tabla3[[#This Row],[Precio Clean]]&lt;1,Tabla3[[#This Row],[Valor Nominal]]*(Tabla3[[#This Row],[Precio Clean]]-1),0),0)</f>
        <v>0</v>
      </c>
      <c r="AN10" s="659">
        <v>13080225001001</v>
      </c>
      <c r="AO10" s="660" t="s">
        <v>456</v>
      </c>
      <c r="AP10" s="661">
        <f ca="1">+SUMIF(Tabla3[Instrumento],$AO$8,$AH$7:$AH$197)</f>
        <v>2041255.1013698655</v>
      </c>
      <c r="AR10" s="622"/>
    </row>
    <row r="11" spans="1:44">
      <c r="B11" s="437" t="str">
        <f t="shared" si="7"/>
        <v>Banco Basa SA</v>
      </c>
      <c r="C11" s="437" t="str">
        <f t="shared" si="4"/>
        <v>PYBAM01F0358</v>
      </c>
      <c r="D11" s="437" t="str">
        <f t="shared" si="4"/>
        <v>Bonos Financieros</v>
      </c>
      <c r="E11" s="437" t="str">
        <f t="shared" si="4"/>
        <v>AA-py</v>
      </c>
      <c r="F11" s="437" t="str">
        <f t="shared" si="5"/>
        <v>Financiero</v>
      </c>
      <c r="G11" s="437" t="str">
        <f t="shared" si="5"/>
        <v>Paraguay</v>
      </c>
      <c r="H11" s="437">
        <f t="shared" si="5"/>
        <v>50</v>
      </c>
      <c r="I11" s="492">
        <v>16.205479</v>
      </c>
      <c r="J11" s="451"/>
      <c r="L11" s="442"/>
      <c r="M11" s="493"/>
      <c r="N11" s="493"/>
      <c r="O11" s="494">
        <f t="shared" si="8"/>
        <v>6.6508695483207689E-2</v>
      </c>
      <c r="P11" s="494">
        <f t="shared" si="8"/>
        <v>6.4911470005821315E-2</v>
      </c>
      <c r="Q11" s="450">
        <f t="shared" si="8"/>
        <v>45812</v>
      </c>
      <c r="R11" s="450">
        <v>46962</v>
      </c>
      <c r="S11" s="437" t="s">
        <v>146</v>
      </c>
      <c r="T11" s="495">
        <f>Tabla3[[#This Row],[Cantidad]]*Tabla3[[#This Row],[Cortes]]</f>
        <v>810.27395000000001</v>
      </c>
      <c r="U11" s="496">
        <f t="shared" si="0"/>
        <v>697.44393142482227</v>
      </c>
      <c r="V11" s="497">
        <f t="shared" si="1"/>
        <v>697.32090473650806</v>
      </c>
      <c r="W11" s="497">
        <f>IF(Tabla3[[#This Row],[Fecha de operación]]=$C$1,0,U11-V11)</f>
        <v>0.12302668831421215</v>
      </c>
      <c r="X11" s="469" t="str">
        <f>IF(R11&lt;=$U$5,"Vencido","Vigente")</f>
        <v>Vigente</v>
      </c>
      <c r="Y11" s="498"/>
      <c r="Z11" s="469">
        <f>+R11-$U$5</f>
        <v>850</v>
      </c>
      <c r="AA11" s="492">
        <f t="shared" si="6"/>
        <v>2.7882992062030123</v>
      </c>
      <c r="AB11" s="492">
        <f t="shared" si="6"/>
        <v>2.7426959241966546</v>
      </c>
      <c r="AC11" s="469" t="s">
        <v>451</v>
      </c>
      <c r="AD11" s="469" t="s">
        <v>454</v>
      </c>
      <c r="AE11" s="553"/>
      <c r="AG11" s="605">
        <f>+IF(Tabla3[[#This Row],[Amortización k | cupón de intereses]]="Amortización de K",Tabla3[[#This Row],[Valor Nominal]],0)</f>
        <v>0</v>
      </c>
      <c r="AH11" s="605">
        <f>+IF(AND(Tabla3[[#This Row],[Amortización k | cupón de intereses]]="Cupón de interés",Tabla3[[#This Row],[Estado]]="Vigente"),Tabla3[[#This Row],[Valor Nominal]],0)</f>
        <v>810.27395000000001</v>
      </c>
      <c r="AI11" s="618">
        <f>+IF(Tabla3[[#This Row],[Amortización k | cupón de intereses]]="Amortización de K",SUMIFS($AH$7:$AH$557,Tabla3[Código Emisión],Tabla3[[#This Row],[Código Emisión]],Tabla3[Fecha de operación],Tabla3[[#This Row],[Fecha de operación]]),0)-Tabla3[[#This Row],[Accrued]]*Tabla3[[#This Row],[Valor Nominal]]</f>
        <v>0</v>
      </c>
      <c r="AJ11" s="605">
        <f>+IF(Tabla3[[#This Row],[Amortización k | cupón de intereses]]="Amortización de K",IF(Tabla3[[#This Row],[Precio Clean]]&gt;1,Tabla3[[#This Row],[Valor Nominal]]*(Tabla3[[#This Row],[Precio Clean]]-1),0),0)</f>
        <v>0</v>
      </c>
      <c r="AK11" s="605">
        <f>+IF(Tabla3[[#This Row],[Amortización k | cupón de intereses]]="Amortización de K",IF(Tabla3[[#This Row],[Precio Clean]]&lt;1,Tabla3[[#This Row],[Valor Nominal]]*(Tabla3[[#This Row],[Precio Clean]]-1),0),0)</f>
        <v>0</v>
      </c>
      <c r="AN11" s="659">
        <v>13080225901001</v>
      </c>
      <c r="AO11" s="662" t="s">
        <v>457</v>
      </c>
      <c r="AP11" s="661">
        <f ca="1">+SUMIF(Tabla3[Instrumento],$AO8,$AI$7:$AI$384)</f>
        <v>1928680.9232876713</v>
      </c>
      <c r="AR11" s="622"/>
    </row>
    <row r="12" spans="1:44">
      <c r="B12" s="437" t="str">
        <f t="shared" si="7"/>
        <v>Banco Basa SA</v>
      </c>
      <c r="C12" s="437" t="str">
        <f t="shared" si="4"/>
        <v>PYBAM01F0358</v>
      </c>
      <c r="D12" s="437" t="str">
        <f t="shared" si="4"/>
        <v>Bonos Financieros</v>
      </c>
      <c r="E12" s="437" t="str">
        <f t="shared" si="4"/>
        <v>AA-py</v>
      </c>
      <c r="F12" s="437" t="str">
        <f t="shared" si="5"/>
        <v>Financiero</v>
      </c>
      <c r="G12" s="437" t="str">
        <f t="shared" si="5"/>
        <v>Paraguay</v>
      </c>
      <c r="H12" s="437">
        <f t="shared" si="5"/>
        <v>50</v>
      </c>
      <c r="I12" s="492">
        <v>16.739726000000001</v>
      </c>
      <c r="J12" s="451"/>
      <c r="L12" s="442"/>
      <c r="M12" s="493"/>
      <c r="N12" s="493"/>
      <c r="O12" s="494">
        <f t="shared" si="8"/>
        <v>6.6508695483207689E-2</v>
      </c>
      <c r="P12" s="494">
        <f t="shared" si="8"/>
        <v>6.4911470005821315E-2</v>
      </c>
      <c r="Q12" s="450">
        <f t="shared" si="8"/>
        <v>45812</v>
      </c>
      <c r="R12" s="450">
        <v>46871</v>
      </c>
      <c r="S12" s="437" t="s">
        <v>146</v>
      </c>
      <c r="T12" s="495">
        <f>Tabla3[[#This Row],[Cantidad]]*Tabla3[[#This Row],[Cortes]]</f>
        <v>836.98630000000003</v>
      </c>
      <c r="U12" s="496">
        <f t="shared" si="0"/>
        <v>732.09546889620401</v>
      </c>
      <c r="V12" s="497">
        <f t="shared" si="1"/>
        <v>731.96632979697335</v>
      </c>
      <c r="W12" s="497">
        <f>IF(Tabla3[[#This Row],[Fecha de operación]]=$C$1,0,U12-V12)</f>
        <v>0.12913909923065603</v>
      </c>
      <c r="X12" s="469" t="str">
        <f t="shared" ref="X12:X33" si="9">IF(R12&lt;=$U$5,"Vencido","Vigente")</f>
        <v>Vigente</v>
      </c>
      <c r="Y12" s="498"/>
      <c r="Z12" s="469">
        <f t="shared" ref="Z12:Z33" si="10">+R12-$U$5</f>
        <v>759</v>
      </c>
      <c r="AA12" s="499">
        <f t="shared" si="6"/>
        <v>2.7882992062030123</v>
      </c>
      <c r="AB12" s="499">
        <f t="shared" si="6"/>
        <v>2.7426959241966546</v>
      </c>
      <c r="AC12" s="469" t="s">
        <v>451</v>
      </c>
      <c r="AD12" s="469" t="s">
        <v>454</v>
      </c>
      <c r="AG12" s="605">
        <f>+IF(Tabla3[[#This Row],[Amortización k | cupón de intereses]]="Amortización de K",Tabla3[[#This Row],[Valor Nominal]],0)</f>
        <v>0</v>
      </c>
      <c r="AH12" s="605">
        <f>+IF(AND(Tabla3[[#This Row],[Amortización k | cupón de intereses]]="Cupón de interés",Tabla3[[#This Row],[Estado]]="Vigente"),Tabla3[[#This Row],[Valor Nominal]],0)</f>
        <v>836.98630000000003</v>
      </c>
      <c r="AI12" s="618">
        <f>+IF(Tabla3[[#This Row],[Amortización k | cupón de intereses]]="Amortización de K",SUMIFS($AH$7:$AH$557,Tabla3[Código Emisión],Tabla3[[#This Row],[Código Emisión]],Tabla3[Fecha de operación],Tabla3[[#This Row],[Fecha de operación]]),0)-Tabla3[[#This Row],[Accrued]]*Tabla3[[#This Row],[Valor Nominal]]</f>
        <v>0</v>
      </c>
      <c r="AJ12" s="605">
        <f>+IF(Tabla3[[#This Row],[Amortización k | cupón de intereses]]="Amortización de K",IF(Tabla3[[#This Row],[Precio Clean]]&gt;1,Tabla3[[#This Row],[Valor Nominal]]*(Tabla3[[#This Row],[Precio Clean]]-1),0),0)</f>
        <v>0</v>
      </c>
      <c r="AK12" s="605">
        <f>+IF(Tabla3[[#This Row],[Amortización k | cupón de intereses]]="Amortización de K",IF(Tabla3[[#This Row],[Precio Clean]]&lt;1,Tabla3[[#This Row],[Valor Nominal]]*(Tabla3[[#This Row],[Precio Clean]]-1),0),0)</f>
        <v>0</v>
      </c>
      <c r="AN12" s="659">
        <v>12010121001001</v>
      </c>
      <c r="AO12" s="660" t="s">
        <v>458</v>
      </c>
      <c r="AP12" s="661">
        <f ca="1">+SUMIF(Tabla3[Instrumento],$AO8,$AJ$7:$AJ$384)</f>
        <v>23120.017815000931</v>
      </c>
      <c r="AR12" s="622"/>
    </row>
    <row r="13" spans="1:44">
      <c r="B13" s="437" t="str">
        <f t="shared" si="7"/>
        <v>Banco Basa SA</v>
      </c>
      <c r="C13" s="437" t="str">
        <f t="shared" si="4"/>
        <v>PYBAM01F0358</v>
      </c>
      <c r="D13" s="437" t="str">
        <f t="shared" si="4"/>
        <v>Bonos Financieros</v>
      </c>
      <c r="E13" s="437" t="str">
        <f t="shared" si="4"/>
        <v>AA-py</v>
      </c>
      <c r="F13" s="437" t="str">
        <f t="shared" si="5"/>
        <v>Financiero</v>
      </c>
      <c r="G13" s="437" t="str">
        <f t="shared" si="5"/>
        <v>Paraguay</v>
      </c>
      <c r="H13" s="437">
        <f t="shared" si="5"/>
        <v>50</v>
      </c>
      <c r="I13" s="492">
        <v>16.205479</v>
      </c>
      <c r="J13" s="451"/>
      <c r="L13" s="442"/>
      <c r="M13" s="493"/>
      <c r="N13" s="493"/>
      <c r="O13" s="494">
        <f t="shared" si="8"/>
        <v>6.6508695483207689E-2</v>
      </c>
      <c r="P13" s="494">
        <f t="shared" si="8"/>
        <v>6.4911470005821315E-2</v>
      </c>
      <c r="Q13" s="450">
        <f t="shared" si="8"/>
        <v>45812</v>
      </c>
      <c r="R13" s="450">
        <v>46777</v>
      </c>
      <c r="S13" s="437" t="s">
        <v>146</v>
      </c>
      <c r="T13" s="495">
        <f>Tabla3[[#This Row],[Cantidad]]*Tabla3[[#This Row],[Cortes]]</f>
        <v>810.27395000000001</v>
      </c>
      <c r="U13" s="496">
        <f t="shared" si="0"/>
        <v>720.58138239350342</v>
      </c>
      <c r="V13" s="497">
        <f t="shared" si="1"/>
        <v>720.45427433916041</v>
      </c>
      <c r="W13" s="497">
        <f>IF(Tabla3[[#This Row],[Fecha de operación]]=$C$1,0,U13-V13)</f>
        <v>0.12710805434301164</v>
      </c>
      <c r="X13" s="469" t="str">
        <f t="shared" si="9"/>
        <v>Vigente</v>
      </c>
      <c r="Y13" s="498"/>
      <c r="Z13" s="469">
        <f t="shared" si="10"/>
        <v>665</v>
      </c>
      <c r="AA13" s="499">
        <f t="shared" si="6"/>
        <v>2.7882992062030123</v>
      </c>
      <c r="AB13" s="499">
        <f t="shared" si="6"/>
        <v>2.7426959241966546</v>
      </c>
      <c r="AC13" s="469" t="s">
        <v>451</v>
      </c>
      <c r="AD13" s="469" t="s">
        <v>454</v>
      </c>
      <c r="AG13" s="605">
        <f>+IF(Tabla3[[#This Row],[Amortización k | cupón de intereses]]="Amortización de K",Tabla3[[#This Row],[Valor Nominal]],0)</f>
        <v>0</v>
      </c>
      <c r="AH13" s="605">
        <f>+IF(AND(Tabla3[[#This Row],[Amortización k | cupón de intereses]]="Cupón de interés",Tabla3[[#This Row],[Estado]]="Vigente"),Tabla3[[#This Row],[Valor Nominal]],0)</f>
        <v>810.27395000000001</v>
      </c>
      <c r="AI13" s="618">
        <f>+IF(Tabla3[[#This Row],[Amortización k | cupón de intereses]]="Amortización de K",SUMIFS($AH$7:$AH$557,Tabla3[Código Emisión],Tabla3[[#This Row],[Código Emisión]],Tabla3[Fecha de operación],Tabla3[[#This Row],[Fecha de operación]]),0)-Tabla3[[#This Row],[Accrued]]*Tabla3[[#This Row],[Valor Nominal]]</f>
        <v>0</v>
      </c>
      <c r="AJ13" s="605">
        <f>+IF(Tabla3[[#This Row],[Amortización k | cupón de intereses]]="Amortización de K",IF(Tabla3[[#This Row],[Precio Clean]]&gt;1,Tabla3[[#This Row],[Valor Nominal]]*(Tabla3[[#This Row],[Precio Clean]]-1),0),0)</f>
        <v>0</v>
      </c>
      <c r="AK13" s="605">
        <f>+IF(Tabla3[[#This Row],[Amortización k | cupón de intereses]]="Amortización de K",IF(Tabla3[[#This Row],[Precio Clean]]&lt;1,Tabla3[[#This Row],[Valor Nominal]]*(Tabla3[[#This Row],[Precio Clean]]-1),0),0)</f>
        <v>0</v>
      </c>
      <c r="AN13" s="659">
        <v>22010110001001</v>
      </c>
      <c r="AO13" s="660" t="s">
        <v>459</v>
      </c>
      <c r="AP13" s="661">
        <f ca="1">+SUMIF(Tabla3[Instrumento],$AO8,$AK$7:$AK$384)</f>
        <v>-5752.3844944538705</v>
      </c>
      <c r="AR13" s="622"/>
    </row>
    <row r="14" spans="1:44">
      <c r="B14" s="437" t="str">
        <f t="shared" si="7"/>
        <v>Banco Basa SA</v>
      </c>
      <c r="C14" s="437" t="str">
        <f t="shared" si="4"/>
        <v>PYBAM01F0358</v>
      </c>
      <c r="D14" s="437" t="str">
        <f t="shared" si="4"/>
        <v>Bonos Financieros</v>
      </c>
      <c r="E14" s="437" t="str">
        <f t="shared" si="4"/>
        <v>AA-py</v>
      </c>
      <c r="F14" s="437" t="str">
        <f t="shared" si="5"/>
        <v>Financiero</v>
      </c>
      <c r="G14" s="437" t="str">
        <f t="shared" si="5"/>
        <v>Paraguay</v>
      </c>
      <c r="H14" s="437">
        <f t="shared" si="5"/>
        <v>50</v>
      </c>
      <c r="I14" s="492">
        <v>16.205479</v>
      </c>
      <c r="J14" s="451"/>
      <c r="L14" s="442"/>
      <c r="M14" s="493"/>
      <c r="N14" s="493"/>
      <c r="O14" s="494">
        <f t="shared" si="8"/>
        <v>6.6508695483207689E-2</v>
      </c>
      <c r="P14" s="494">
        <f t="shared" si="8"/>
        <v>6.4911470005821315E-2</v>
      </c>
      <c r="Q14" s="450">
        <f t="shared" si="8"/>
        <v>45812</v>
      </c>
      <c r="R14" s="450">
        <v>46686</v>
      </c>
      <c r="S14" s="437" t="s">
        <v>146</v>
      </c>
      <c r="T14" s="495">
        <f>Tabla3[[#This Row],[Cantidad]]*Tabla3[[#This Row],[Cortes]]</f>
        <v>810.27395000000001</v>
      </c>
      <c r="U14" s="496">
        <f t="shared" si="0"/>
        <v>732.24258676790976</v>
      </c>
      <c r="V14" s="497">
        <f t="shared" si="1"/>
        <v>732.11342171759736</v>
      </c>
      <c r="W14" s="497">
        <f>IF(Tabla3[[#This Row],[Fecha de operación]]=$C$1,0,U14-V14)</f>
        <v>0.12916505031239467</v>
      </c>
      <c r="X14" s="469" t="str">
        <f t="shared" si="9"/>
        <v>Vigente</v>
      </c>
      <c r="Y14" s="498"/>
      <c r="Z14" s="469">
        <f t="shared" si="10"/>
        <v>574</v>
      </c>
      <c r="AA14" s="499">
        <f t="shared" si="6"/>
        <v>2.7882992062030123</v>
      </c>
      <c r="AB14" s="499">
        <f t="shared" si="6"/>
        <v>2.7426959241966546</v>
      </c>
      <c r="AC14" s="469" t="s">
        <v>451</v>
      </c>
      <c r="AD14" s="469" t="s">
        <v>454</v>
      </c>
      <c r="AG14" s="605">
        <f>+IF(Tabla3[[#This Row],[Amortización k | cupón de intereses]]="Amortización de K",Tabla3[[#This Row],[Valor Nominal]],0)</f>
        <v>0</v>
      </c>
      <c r="AH14" s="605">
        <f>+IF(AND(Tabla3[[#This Row],[Amortización k | cupón de intereses]]="Cupón de interés",Tabla3[[#This Row],[Estado]]="Vigente"),Tabla3[[#This Row],[Valor Nominal]],0)</f>
        <v>810.27395000000001</v>
      </c>
      <c r="AI14" s="618">
        <f>+IF(Tabla3[[#This Row],[Amortización k | cupón de intereses]]="Amortización de K",SUMIFS($AH$7:$AH$557,Tabla3[Código Emisión],Tabla3[[#This Row],[Código Emisión]],Tabla3[Fecha de operación],Tabla3[[#This Row],[Fecha de operación]]),0)-Tabla3[[#This Row],[Accrued]]*Tabla3[[#This Row],[Valor Nominal]]</f>
        <v>0</v>
      </c>
      <c r="AJ14" s="605">
        <f>+IF(Tabla3[[#This Row],[Amortización k | cupón de intereses]]="Amortización de K",IF(Tabla3[[#This Row],[Precio Clean]]&gt;1,Tabla3[[#This Row],[Valor Nominal]]*(Tabla3[[#This Row],[Precio Clean]]-1),0),0)</f>
        <v>0</v>
      </c>
      <c r="AK14" s="605">
        <f>+IF(Tabla3[[#This Row],[Amortización k | cupón de intereses]]="Amortización de K",IF(Tabla3[[#This Row],[Precio Clean]]&lt;1,Tabla3[[#This Row],[Valor Nominal]]*(Tabla3[[#This Row],[Precio Clean]]-1),0),0)</f>
        <v>0</v>
      </c>
      <c r="AR14" s="622"/>
    </row>
    <row r="15" spans="1:44">
      <c r="B15" s="437" t="str">
        <f t="shared" si="7"/>
        <v>Banco Basa SA</v>
      </c>
      <c r="C15" s="437" t="str">
        <f t="shared" si="4"/>
        <v>PYBAM01F0358</v>
      </c>
      <c r="D15" s="437" t="str">
        <f t="shared" si="4"/>
        <v>Bonos Financieros</v>
      </c>
      <c r="E15" s="437" t="str">
        <f t="shared" si="4"/>
        <v>AA-py</v>
      </c>
      <c r="F15" s="437" t="str">
        <f t="shared" si="5"/>
        <v>Financiero</v>
      </c>
      <c r="G15" s="437" t="str">
        <f t="shared" si="5"/>
        <v>Paraguay</v>
      </c>
      <c r="H15" s="437">
        <f t="shared" si="5"/>
        <v>50</v>
      </c>
      <c r="I15" s="492">
        <v>16.205479</v>
      </c>
      <c r="J15" s="451"/>
      <c r="L15" s="442"/>
      <c r="M15" s="493"/>
      <c r="N15" s="493"/>
      <c r="O15" s="494">
        <f t="shared" si="8"/>
        <v>6.6508695483207689E-2</v>
      </c>
      <c r="P15" s="494">
        <f t="shared" si="8"/>
        <v>6.4911470005821315E-2</v>
      </c>
      <c r="Q15" s="450">
        <f t="shared" si="8"/>
        <v>45812</v>
      </c>
      <c r="R15" s="450">
        <v>46595</v>
      </c>
      <c r="S15" s="437" t="s">
        <v>146</v>
      </c>
      <c r="T15" s="495">
        <f>Tabla3[[#This Row],[Cantidad]]*Tabla3[[#This Row],[Cortes]]</f>
        <v>810.27395000000001</v>
      </c>
      <c r="U15" s="496">
        <f t="shared" si="0"/>
        <v>744.09250499308212</v>
      </c>
      <c r="V15" s="497">
        <f t="shared" si="1"/>
        <v>743.96124965833178</v>
      </c>
      <c r="W15" s="497">
        <f>IF(Tabla3[[#This Row],[Fecha de operación]]=$C$1,0,U15-V15)</f>
        <v>0.13125533475033535</v>
      </c>
      <c r="X15" s="469" t="str">
        <f t="shared" si="9"/>
        <v>Vigente</v>
      </c>
      <c r="Y15" s="498"/>
      <c r="Z15" s="469">
        <f t="shared" si="10"/>
        <v>483</v>
      </c>
      <c r="AA15" s="499">
        <f t="shared" si="6"/>
        <v>2.7882992062030123</v>
      </c>
      <c r="AB15" s="499">
        <f t="shared" si="6"/>
        <v>2.7426959241966546</v>
      </c>
      <c r="AC15" s="469" t="s">
        <v>451</v>
      </c>
      <c r="AD15" s="469" t="s">
        <v>454</v>
      </c>
      <c r="AG15" s="605">
        <f>+IF(Tabla3[[#This Row],[Amortización k | cupón de intereses]]="Amortización de K",Tabla3[[#This Row],[Valor Nominal]],0)</f>
        <v>0</v>
      </c>
      <c r="AH15" s="605">
        <f>+IF(AND(Tabla3[[#This Row],[Amortización k | cupón de intereses]]="Cupón de interés",Tabla3[[#This Row],[Estado]]="Vigente"),Tabla3[[#This Row],[Valor Nominal]],0)</f>
        <v>810.27395000000001</v>
      </c>
      <c r="AI15" s="618">
        <f>+IF(Tabla3[[#This Row],[Amortización k | cupón de intereses]]="Amortización de K",SUMIFS($AH$7:$AH$557,Tabla3[Código Emisión],Tabla3[[#This Row],[Código Emisión]],Tabla3[Fecha de operación],Tabla3[[#This Row],[Fecha de operación]]),0)-Tabla3[[#This Row],[Accrued]]*Tabla3[[#This Row],[Valor Nominal]]</f>
        <v>0</v>
      </c>
      <c r="AJ15" s="605">
        <f>+IF(Tabla3[[#This Row],[Amortización k | cupón de intereses]]="Amortización de K",IF(Tabla3[[#This Row],[Precio Clean]]&gt;1,Tabla3[[#This Row],[Valor Nominal]]*(Tabla3[[#This Row],[Precio Clean]]-1),0),0)</f>
        <v>0</v>
      </c>
      <c r="AK15" s="605">
        <f>+IF(Tabla3[[#This Row],[Amortización k | cupón de intereses]]="Amortización de K",IF(Tabla3[[#This Row],[Precio Clean]]&lt;1,Tabla3[[#This Row],[Valor Nominal]]*(Tabla3[[#This Row],[Precio Clean]]-1),0),0)</f>
        <v>0</v>
      </c>
      <c r="AN15" s="624"/>
      <c r="AO15" s="619" t="s">
        <v>460</v>
      </c>
      <c r="AP15" s="620">
        <f ca="1">+AP16+AP17-AP18+AP19+AP20</f>
        <v>202287.05991098649</v>
      </c>
      <c r="AQ15" s="608">
        <f>+SUMIFS(Tabla3[Valor Presente o Contable],Tabla3[Instrumento],AO15)</f>
        <v>202287.05991098649</v>
      </c>
      <c r="AR15" s="621">
        <f ca="1">+AP15-AQ15</f>
        <v>0</v>
      </c>
    </row>
    <row r="16" spans="1:44">
      <c r="B16" s="437" t="str">
        <f t="shared" si="7"/>
        <v>Banco Basa SA</v>
      </c>
      <c r="C16" s="437" t="str">
        <f t="shared" si="4"/>
        <v>PYBAM01F0358</v>
      </c>
      <c r="D16" s="437" t="str">
        <f t="shared" si="4"/>
        <v>Bonos Financieros</v>
      </c>
      <c r="E16" s="437" t="str">
        <f t="shared" si="4"/>
        <v>AA-py</v>
      </c>
      <c r="F16" s="437" t="str">
        <f t="shared" si="5"/>
        <v>Financiero</v>
      </c>
      <c r="G16" s="437" t="str">
        <f t="shared" si="5"/>
        <v>Paraguay</v>
      </c>
      <c r="H16" s="437">
        <f t="shared" si="5"/>
        <v>50</v>
      </c>
      <c r="I16" s="492">
        <v>16.205479</v>
      </c>
      <c r="J16" s="451"/>
      <c r="L16" s="442"/>
      <c r="M16" s="493"/>
      <c r="N16" s="493"/>
      <c r="O16" s="494">
        <f t="shared" si="8"/>
        <v>6.6508695483207689E-2</v>
      </c>
      <c r="P16" s="494">
        <f t="shared" si="8"/>
        <v>6.4911470005821315E-2</v>
      </c>
      <c r="Q16" s="450">
        <f t="shared" si="8"/>
        <v>45812</v>
      </c>
      <c r="R16" s="450">
        <v>46504</v>
      </c>
      <c r="S16" s="437" t="s">
        <v>146</v>
      </c>
      <c r="T16" s="495">
        <f>Tabla3[[#This Row],[Cantidad]]*Tabla3[[#This Row],[Cortes]]</f>
        <v>810.27395000000001</v>
      </c>
      <c r="U16" s="496">
        <f t="shared" si="0"/>
        <v>756.13419103465947</v>
      </c>
      <c r="V16" s="497">
        <f t="shared" si="1"/>
        <v>756.00081158829437</v>
      </c>
      <c r="W16" s="497">
        <f>IF(Tabla3[[#This Row],[Fecha de operación]]=$C$1,0,U16-V16)</f>
        <v>0.13337944636509746</v>
      </c>
      <c r="X16" s="469" t="str">
        <f t="shared" si="9"/>
        <v>Vigente</v>
      </c>
      <c r="Y16" s="498"/>
      <c r="Z16" s="469">
        <f t="shared" si="10"/>
        <v>392</v>
      </c>
      <c r="AA16" s="499">
        <f t="shared" si="6"/>
        <v>2.7882992062030123</v>
      </c>
      <c r="AB16" s="499">
        <f t="shared" si="6"/>
        <v>2.7426959241966546</v>
      </c>
      <c r="AC16" s="469" t="s">
        <v>451</v>
      </c>
      <c r="AD16" s="469" t="s">
        <v>454</v>
      </c>
      <c r="AG16" s="605">
        <f>+IF(Tabla3[[#This Row],[Amortización k | cupón de intereses]]="Amortización de K",Tabla3[[#This Row],[Valor Nominal]],0)</f>
        <v>0</v>
      </c>
      <c r="AH16" s="605">
        <f>+IF(AND(Tabla3[[#This Row],[Amortización k | cupón de intereses]]="Cupón de interés",Tabla3[[#This Row],[Estado]]="Vigente"),Tabla3[[#This Row],[Valor Nominal]],0)</f>
        <v>810.27395000000001</v>
      </c>
      <c r="AI16" s="618">
        <f>+IF(Tabla3[[#This Row],[Amortización k | cupón de intereses]]="Amortización de K",SUMIFS($AH$7:$AH$557,Tabla3[Código Emisión],Tabla3[[#This Row],[Código Emisión]],Tabla3[Fecha de operación],Tabla3[[#This Row],[Fecha de operación]]),0)-Tabla3[[#This Row],[Accrued]]*Tabla3[[#This Row],[Valor Nominal]]</f>
        <v>0</v>
      </c>
      <c r="AJ16" s="605">
        <f>+IF(Tabla3[[#This Row],[Amortización k | cupón de intereses]]="Amortización de K",IF(Tabla3[[#This Row],[Precio Clean]]&gt;1,Tabla3[[#This Row],[Valor Nominal]]*(Tabla3[[#This Row],[Precio Clean]]-1),0),0)</f>
        <v>0</v>
      </c>
      <c r="AK16" s="605">
        <f>+IF(Tabla3[[#This Row],[Amortización k | cupón de intereses]]="Amortización de K",IF(Tabla3[[#This Row],[Precio Clean]]&lt;1,Tabla3[[#This Row],[Valor Nominal]]*(Tabla3[[#This Row],[Precio Clean]]-1),0),0)</f>
        <v>0</v>
      </c>
      <c r="AN16" s="659">
        <v>12010115004001</v>
      </c>
      <c r="AO16" s="660" t="s">
        <v>461</v>
      </c>
      <c r="AP16" s="661">
        <f ca="1">+SUMIF(Tabla3[Instrumento],$AO$15,$AG$7:$AG$520)</f>
        <v>200000</v>
      </c>
      <c r="AR16" s="622"/>
    </row>
    <row r="17" spans="1:44">
      <c r="B17" s="437" t="str">
        <f t="shared" si="7"/>
        <v>Banco Basa SA</v>
      </c>
      <c r="C17" s="437" t="str">
        <f t="shared" si="4"/>
        <v>PYBAM01F0358</v>
      </c>
      <c r="D17" s="437" t="str">
        <f t="shared" si="4"/>
        <v>Bonos Financieros</v>
      </c>
      <c r="E17" s="437" t="str">
        <f t="shared" si="4"/>
        <v>AA-py</v>
      </c>
      <c r="F17" s="437" t="str">
        <f t="shared" si="4"/>
        <v>Financiero</v>
      </c>
      <c r="G17" s="437" t="str">
        <f t="shared" si="4"/>
        <v>Paraguay</v>
      </c>
      <c r="H17" s="437">
        <f t="shared" si="4"/>
        <v>50</v>
      </c>
      <c r="I17" s="492">
        <v>16.205479</v>
      </c>
      <c r="J17" s="451"/>
      <c r="L17" s="442"/>
      <c r="M17" s="493"/>
      <c r="N17" s="493"/>
      <c r="O17" s="494">
        <f t="shared" si="8"/>
        <v>6.6508695483207689E-2</v>
      </c>
      <c r="P17" s="494">
        <f t="shared" si="8"/>
        <v>6.4911470005821315E-2</v>
      </c>
      <c r="Q17" s="450">
        <f t="shared" si="8"/>
        <v>45812</v>
      </c>
      <c r="R17" s="450">
        <v>46413</v>
      </c>
      <c r="S17" s="437" t="s">
        <v>146</v>
      </c>
      <c r="T17" s="495">
        <f>Tabla3[[#This Row],[Cantidad]]*Tabla3[[#This Row],[Cortes]]</f>
        <v>810.27395000000001</v>
      </c>
      <c r="U17" s="496">
        <f t="shared" si="0"/>
        <v>768.3707482807589</v>
      </c>
      <c r="V17" s="497">
        <f t="shared" si="1"/>
        <v>768.23521034817509</v>
      </c>
      <c r="W17" s="497">
        <f>IF(Tabla3[[#This Row],[Fecha de operación]]=$C$1,0,U17-V17)</f>
        <v>0.13553793258381575</v>
      </c>
      <c r="X17" s="469" t="str">
        <f t="shared" si="9"/>
        <v>Vigente</v>
      </c>
      <c r="Y17" s="498"/>
      <c r="Z17" s="469">
        <f t="shared" si="10"/>
        <v>301</v>
      </c>
      <c r="AA17" s="499">
        <f t="shared" si="6"/>
        <v>2.7882992062030123</v>
      </c>
      <c r="AB17" s="499">
        <f t="shared" si="6"/>
        <v>2.7426959241966546</v>
      </c>
      <c r="AC17" s="469" t="s">
        <v>451</v>
      </c>
      <c r="AD17" s="469" t="s">
        <v>454</v>
      </c>
      <c r="AG17" s="605">
        <f>+IF(Tabla3[[#This Row],[Amortización k | cupón de intereses]]="Amortización de K",Tabla3[[#This Row],[Valor Nominal]],0)</f>
        <v>0</v>
      </c>
      <c r="AH17" s="605">
        <f>+IF(AND(Tabla3[[#This Row],[Amortización k | cupón de intereses]]="Cupón de interés",Tabla3[[#This Row],[Estado]]="Vigente"),Tabla3[[#This Row],[Valor Nominal]],0)</f>
        <v>810.27395000000001</v>
      </c>
      <c r="AI17" s="618">
        <f>+IF(Tabla3[[#This Row],[Amortización k | cupón de intereses]]="Amortización de K",SUMIFS($AH$7:$AH$557,Tabla3[Código Emisión],Tabla3[[#This Row],[Código Emisión]],Tabla3[Fecha de operación],Tabla3[[#This Row],[Fecha de operación]]),0)-Tabla3[[#This Row],[Accrued]]*Tabla3[[#This Row],[Valor Nominal]]</f>
        <v>0</v>
      </c>
      <c r="AJ17" s="605">
        <f>+IF(Tabla3[[#This Row],[Amortización k | cupón de intereses]]="Amortización de K",IF(Tabla3[[#This Row],[Precio Clean]]&gt;1,Tabla3[[#This Row],[Valor Nominal]]*(Tabla3[[#This Row],[Precio Clean]]-1),0),0)</f>
        <v>0</v>
      </c>
      <c r="AK17" s="605">
        <f>+IF(Tabla3[[#This Row],[Amortización k | cupón de intereses]]="Amortización de K",IF(Tabla3[[#This Row],[Precio Clean]]&lt;1,Tabla3[[#This Row],[Valor Nominal]]*(Tabla3[[#This Row],[Precio Clean]]-1),0),0)</f>
        <v>0</v>
      </c>
      <c r="AN17" s="659">
        <v>13080225004001</v>
      </c>
      <c r="AO17" s="660" t="s">
        <v>462</v>
      </c>
      <c r="AP17" s="661">
        <f ca="1">+SUMIF(Tabla3[Instrumento],$AO$15,$AH$7:$AH$197)</f>
        <v>42347.944200000005</v>
      </c>
      <c r="AR17" s="622"/>
    </row>
    <row r="18" spans="1:44">
      <c r="B18" s="437" t="str">
        <f t="shared" si="7"/>
        <v>Banco Basa SA</v>
      </c>
      <c r="C18" s="437" t="str">
        <f t="shared" si="4"/>
        <v>PYBAM01F0358</v>
      </c>
      <c r="D18" s="437" t="str">
        <f t="shared" si="4"/>
        <v>Bonos Financieros</v>
      </c>
      <c r="E18" s="437" t="str">
        <f t="shared" si="4"/>
        <v>AA-py</v>
      </c>
      <c r="F18" s="437" t="str">
        <f t="shared" si="4"/>
        <v>Financiero</v>
      </c>
      <c r="G18" s="437" t="str">
        <f t="shared" si="4"/>
        <v>Paraguay</v>
      </c>
      <c r="H18" s="437">
        <f t="shared" si="4"/>
        <v>50</v>
      </c>
      <c r="I18" s="492">
        <v>16.205479</v>
      </c>
      <c r="J18" s="451"/>
      <c r="L18" s="442"/>
      <c r="M18" s="493"/>
      <c r="N18" s="493"/>
      <c r="O18" s="494">
        <f t="shared" si="8"/>
        <v>6.6508695483207689E-2</v>
      </c>
      <c r="P18" s="494">
        <f t="shared" si="8"/>
        <v>6.4911470005821315E-2</v>
      </c>
      <c r="Q18" s="450">
        <f t="shared" si="8"/>
        <v>45812</v>
      </c>
      <c r="R18" s="450">
        <v>46322</v>
      </c>
      <c r="S18" s="437" t="s">
        <v>146</v>
      </c>
      <c r="T18" s="495">
        <f>Tabla3[[#This Row],[Cantidad]]*Tabla3[[#This Row],[Cortes]]</f>
        <v>810.27395000000001</v>
      </c>
      <c r="U18" s="496">
        <f t="shared" si="0"/>
        <v>780.80533034178211</v>
      </c>
      <c r="V18" s="497">
        <f t="shared" si="1"/>
        <v>780.66759899208967</v>
      </c>
      <c r="W18" s="497">
        <f>IF(Tabla3[[#This Row],[Fecha de operación]]=$C$1,0,U18-V18)</f>
        <v>0.13773134969244438</v>
      </c>
      <c r="X18" s="469" t="str">
        <f t="shared" si="9"/>
        <v>Vigente</v>
      </c>
      <c r="Y18" s="498"/>
      <c r="Z18" s="469">
        <f t="shared" si="10"/>
        <v>210</v>
      </c>
      <c r="AA18" s="499">
        <f t="shared" si="6"/>
        <v>2.7882992062030123</v>
      </c>
      <c r="AB18" s="499">
        <f t="shared" si="6"/>
        <v>2.7426959241966546</v>
      </c>
      <c r="AC18" s="469" t="s">
        <v>451</v>
      </c>
      <c r="AD18" s="469" t="s">
        <v>454</v>
      </c>
      <c r="AG18" s="605">
        <f>+IF(Tabla3[[#This Row],[Amortización k | cupón de intereses]]="Amortización de K",Tabla3[[#This Row],[Valor Nominal]],0)</f>
        <v>0</v>
      </c>
      <c r="AH18" s="605">
        <f>+IF(AND(Tabla3[[#This Row],[Amortización k | cupón de intereses]]="Cupón de interés",Tabla3[[#This Row],[Estado]]="Vigente"),Tabla3[[#This Row],[Valor Nominal]],0)</f>
        <v>810.27395000000001</v>
      </c>
      <c r="AI18" s="618">
        <f>+IF(Tabla3[[#This Row],[Amortización k | cupón de intereses]]="Amortización de K",SUMIFS($AH$7:$AH$557,Tabla3[Código Emisión],Tabla3[[#This Row],[Código Emisión]],Tabla3[Fecha de operación],Tabla3[[#This Row],[Fecha de operación]]),0)-Tabla3[[#This Row],[Accrued]]*Tabla3[[#This Row],[Valor Nominal]]</f>
        <v>0</v>
      </c>
      <c r="AJ18" s="605">
        <f>+IF(Tabla3[[#This Row],[Amortización k | cupón de intereses]]="Amortización de K",IF(Tabla3[[#This Row],[Precio Clean]]&gt;1,Tabla3[[#This Row],[Valor Nominal]]*(Tabla3[[#This Row],[Precio Clean]]-1),0),0)</f>
        <v>0</v>
      </c>
      <c r="AK18" s="605">
        <f>+IF(Tabla3[[#This Row],[Amortización k | cupón de intereses]]="Amortización de K",IF(Tabla3[[#This Row],[Precio Clean]]&lt;1,Tabla3[[#This Row],[Valor Nominal]]*(Tabla3[[#This Row],[Precio Clean]]-1),0),0)</f>
        <v>0</v>
      </c>
      <c r="AN18" s="659">
        <v>13080225904001</v>
      </c>
      <c r="AO18" s="660" t="s">
        <v>463</v>
      </c>
      <c r="AP18" s="661">
        <f ca="1">+SUMIF(Tabla3[Instrumento],$AO15,$AI$7:$AI$384)</f>
        <v>40104.108583561647</v>
      </c>
      <c r="AR18" s="622"/>
    </row>
    <row r="19" spans="1:44">
      <c r="B19" s="437" t="str">
        <f t="shared" si="7"/>
        <v>Banco Basa SA</v>
      </c>
      <c r="C19" s="437" t="str">
        <f t="shared" si="4"/>
        <v>PYBAM01F0358</v>
      </c>
      <c r="D19" s="437" t="str">
        <f t="shared" si="4"/>
        <v>Bonos Financieros</v>
      </c>
      <c r="E19" s="437" t="str">
        <f t="shared" si="4"/>
        <v>AA-py</v>
      </c>
      <c r="F19" s="437" t="str">
        <f t="shared" si="4"/>
        <v>Financiero</v>
      </c>
      <c r="G19" s="437" t="str">
        <f t="shared" si="4"/>
        <v>Paraguay</v>
      </c>
      <c r="H19" s="437">
        <f t="shared" si="4"/>
        <v>50</v>
      </c>
      <c r="I19" s="492">
        <v>16.205479</v>
      </c>
      <c r="J19" s="451"/>
      <c r="L19" s="442"/>
      <c r="M19" s="493"/>
      <c r="N19" s="493"/>
      <c r="O19" s="494">
        <f t="shared" si="8"/>
        <v>6.6508695483207689E-2</v>
      </c>
      <c r="P19" s="494">
        <f t="shared" si="8"/>
        <v>6.4911470005821315E-2</v>
      </c>
      <c r="Q19" s="450">
        <f t="shared" si="8"/>
        <v>45812</v>
      </c>
      <c r="R19" s="450">
        <v>46231</v>
      </c>
      <c r="S19" s="437" t="s">
        <v>146</v>
      </c>
      <c r="T19" s="495">
        <f>Tabla3[[#This Row],[Cantidad]]*Tabla3[[#This Row],[Cortes]]</f>
        <v>810.27395000000001</v>
      </c>
      <c r="U19" s="496">
        <f t="shared" si="0"/>
        <v>793.44114186316449</v>
      </c>
      <c r="V19" s="497">
        <f t="shared" si="1"/>
        <v>793.30118160018503</v>
      </c>
      <c r="W19" s="497">
        <f>IF(Tabla3[[#This Row],[Fecha de operación]]=$C$1,0,U19-V19)</f>
        <v>0.13996026297945718</v>
      </c>
      <c r="X19" s="469" t="str">
        <f t="shared" si="9"/>
        <v>Vigente</v>
      </c>
      <c r="Y19" s="498"/>
      <c r="Z19" s="469">
        <f t="shared" si="10"/>
        <v>119</v>
      </c>
      <c r="AA19" s="499">
        <f t="shared" si="6"/>
        <v>2.7882992062030123</v>
      </c>
      <c r="AB19" s="499">
        <f t="shared" si="6"/>
        <v>2.7426959241966546</v>
      </c>
      <c r="AC19" s="469" t="s">
        <v>451</v>
      </c>
      <c r="AD19" s="469" t="s">
        <v>454</v>
      </c>
      <c r="AG19" s="605">
        <f>+IF(Tabla3[[#This Row],[Amortización k | cupón de intereses]]="Amortización de K",Tabla3[[#This Row],[Valor Nominal]],0)</f>
        <v>0</v>
      </c>
      <c r="AH19" s="605">
        <f>+IF(AND(Tabla3[[#This Row],[Amortización k | cupón de intereses]]="Cupón de interés",Tabla3[[#This Row],[Estado]]="Vigente"),Tabla3[[#This Row],[Valor Nominal]],0)</f>
        <v>810.27395000000001</v>
      </c>
      <c r="AI19" s="618">
        <f>+IF(Tabla3[[#This Row],[Amortización k | cupón de intereses]]="Amortización de K",SUMIFS($AH$7:$AH$557,Tabla3[Código Emisión],Tabla3[[#This Row],[Código Emisión]],Tabla3[Fecha de operación],Tabla3[[#This Row],[Fecha de operación]]),0)-Tabla3[[#This Row],[Accrued]]*Tabla3[[#This Row],[Valor Nominal]]</f>
        <v>0</v>
      </c>
      <c r="AJ19" s="605">
        <f>+IF(Tabla3[[#This Row],[Amortización k | cupón de intereses]]="Amortización de K",IF(Tabla3[[#This Row],[Precio Clean]]&gt;1,Tabla3[[#This Row],[Valor Nominal]]*(Tabla3[[#This Row],[Precio Clean]]-1),0),0)</f>
        <v>0</v>
      </c>
      <c r="AK19" s="605">
        <f>+IF(Tabla3[[#This Row],[Amortización k | cupón de intereses]]="Amortización de K",IF(Tabla3[[#This Row],[Precio Clean]]&lt;1,Tabla3[[#This Row],[Valor Nominal]]*(Tabla3[[#This Row],[Precio Clean]]-1),0),0)</f>
        <v>0</v>
      </c>
      <c r="AN19" s="659">
        <v>12010121004001</v>
      </c>
      <c r="AO19" s="660" t="s">
        <v>464</v>
      </c>
      <c r="AP19" s="661">
        <f ca="1">+SUMIF(Tabla3[Instrumento],$AO15,$AJ$7:$AJ$384)</f>
        <v>43.224294548138701</v>
      </c>
      <c r="AR19" s="622"/>
    </row>
    <row r="20" spans="1:44">
      <c r="B20" s="437" t="str">
        <f t="shared" si="7"/>
        <v>Banco Basa SA</v>
      </c>
      <c r="C20" s="437" t="str">
        <f t="shared" si="4"/>
        <v>PYBAM01F0358</v>
      </c>
      <c r="D20" s="437" t="str">
        <f t="shared" si="4"/>
        <v>Bonos Financieros</v>
      </c>
      <c r="E20" s="437" t="str">
        <f t="shared" si="4"/>
        <v>AA-py</v>
      </c>
      <c r="F20" s="437" t="str">
        <f t="shared" si="4"/>
        <v>Financiero</v>
      </c>
      <c r="G20" s="437" t="str">
        <f t="shared" si="4"/>
        <v>Paraguay</v>
      </c>
      <c r="H20" s="437">
        <f t="shared" si="4"/>
        <v>50</v>
      </c>
      <c r="I20" s="492">
        <v>16.205479</v>
      </c>
      <c r="J20" s="451"/>
      <c r="L20" s="442"/>
      <c r="M20" s="493"/>
      <c r="N20" s="493"/>
      <c r="O20" s="494">
        <f t="shared" si="8"/>
        <v>6.6508695483207689E-2</v>
      </c>
      <c r="P20" s="494">
        <f t="shared" si="8"/>
        <v>6.4911470005821315E-2</v>
      </c>
      <c r="Q20" s="450">
        <f t="shared" si="8"/>
        <v>45812</v>
      </c>
      <c r="R20" s="450">
        <v>46140</v>
      </c>
      <c r="S20" s="437" t="s">
        <v>146</v>
      </c>
      <c r="T20" s="495">
        <f>Tabla3[[#This Row],[Cantidad]]*Tabla3[[#This Row],[Cortes]]</f>
        <v>810.27395000000001</v>
      </c>
      <c r="U20" s="496">
        <f t="shared" si="0"/>
        <v>806.28143935127821</v>
      </c>
      <c r="V20" s="497">
        <f t="shared" si="1"/>
        <v>806.13921410439718</v>
      </c>
      <c r="W20" s="497">
        <f>IF(Tabla3[[#This Row],[Fecha de operación]]=$C$1,0,U20-V20)</f>
        <v>0.14222524688102567</v>
      </c>
      <c r="X20" s="469" t="str">
        <f t="shared" si="9"/>
        <v>Vigente</v>
      </c>
      <c r="Y20" s="498"/>
      <c r="Z20" s="469">
        <f t="shared" si="10"/>
        <v>28</v>
      </c>
      <c r="AA20" s="499">
        <f t="shared" si="6"/>
        <v>2.7882992062030123</v>
      </c>
      <c r="AB20" s="499">
        <f t="shared" si="6"/>
        <v>2.7426959241966546</v>
      </c>
      <c r="AC20" s="469" t="s">
        <v>451</v>
      </c>
      <c r="AD20" s="469" t="s">
        <v>454</v>
      </c>
      <c r="AG20" s="605">
        <f>+IF(Tabla3[[#This Row],[Amortización k | cupón de intereses]]="Amortización de K",Tabla3[[#This Row],[Valor Nominal]],0)</f>
        <v>0</v>
      </c>
      <c r="AH20" s="605">
        <f>+IF(AND(Tabla3[[#This Row],[Amortización k | cupón de intereses]]="Cupón de interés",Tabla3[[#This Row],[Estado]]="Vigente"),Tabla3[[#This Row],[Valor Nominal]],0)</f>
        <v>810.27395000000001</v>
      </c>
      <c r="AI20" s="618">
        <f>+IF(Tabla3[[#This Row],[Amortización k | cupón de intereses]]="Amortización de K",SUMIFS($AH$7:$AH$557,Tabla3[Código Emisión],Tabla3[[#This Row],[Código Emisión]],Tabla3[Fecha de operación],Tabla3[[#This Row],[Fecha de operación]]),0)-Tabla3[[#This Row],[Accrued]]*Tabla3[[#This Row],[Valor Nominal]]</f>
        <v>0</v>
      </c>
      <c r="AJ20" s="605">
        <f>+IF(Tabla3[[#This Row],[Amortización k | cupón de intereses]]="Amortización de K",IF(Tabla3[[#This Row],[Precio Clean]]&gt;1,Tabla3[[#This Row],[Valor Nominal]]*(Tabla3[[#This Row],[Precio Clean]]-1),0),0)</f>
        <v>0</v>
      </c>
      <c r="AK20" s="605">
        <f>+IF(Tabla3[[#This Row],[Amortización k | cupón de intereses]]="Amortización de K",IF(Tabla3[[#This Row],[Precio Clean]]&lt;1,Tabla3[[#This Row],[Valor Nominal]]*(Tabla3[[#This Row],[Precio Clean]]-1),0),0)</f>
        <v>0</v>
      </c>
      <c r="AN20" s="463">
        <v>22010110004001</v>
      </c>
      <c r="AO20" s="607" t="s">
        <v>465</v>
      </c>
      <c r="AP20" s="608">
        <f ca="1">+SUMIF(Tabla3[Instrumento],$AO15,$AK$7:$AK$384)</f>
        <v>0</v>
      </c>
      <c r="AR20" s="622"/>
    </row>
    <row r="21" spans="1:44">
      <c r="B21" s="437" t="str">
        <f t="shared" si="7"/>
        <v>Banco Basa SA</v>
      </c>
      <c r="C21" s="437" t="str">
        <f t="shared" si="4"/>
        <v>PYBAM01F0358</v>
      </c>
      <c r="D21" s="437" t="str">
        <f t="shared" si="4"/>
        <v>Bonos Financieros</v>
      </c>
      <c r="E21" s="437" t="str">
        <f t="shared" si="4"/>
        <v>AA-py</v>
      </c>
      <c r="F21" s="437" t="str">
        <f t="shared" si="4"/>
        <v>Financiero</v>
      </c>
      <c r="G21" s="437" t="str">
        <f t="shared" si="4"/>
        <v>Paraguay</v>
      </c>
      <c r="H21" s="437">
        <f t="shared" si="4"/>
        <v>50</v>
      </c>
      <c r="I21" s="492">
        <v>16.205479</v>
      </c>
      <c r="J21" s="451"/>
      <c r="L21" s="442"/>
      <c r="M21" s="493"/>
      <c r="N21" s="493"/>
      <c r="O21" s="494">
        <f t="shared" si="8"/>
        <v>6.6508695483207689E-2</v>
      </c>
      <c r="P21" s="494">
        <f t="shared" si="8"/>
        <v>6.4911470005821315E-2</v>
      </c>
      <c r="Q21" s="450">
        <f t="shared" si="8"/>
        <v>45812</v>
      </c>
      <c r="R21" s="450">
        <v>46049</v>
      </c>
      <c r="S21" s="437" t="s">
        <v>146</v>
      </c>
      <c r="T21" s="495">
        <f>Tabla3[[#This Row],[Cantidad]]*Tabla3[[#This Row],[Cortes]]</f>
        <v>810.27395000000001</v>
      </c>
      <c r="U21" s="496" t="b">
        <f t="shared" si="0"/>
        <v>0</v>
      </c>
      <c r="V21" s="497" t="b">
        <f t="shared" si="1"/>
        <v>0</v>
      </c>
      <c r="W21" s="497">
        <f>IF(Tabla3[[#This Row],[Fecha de operación]]=$C$1,0,U21-V21)</f>
        <v>0</v>
      </c>
      <c r="X21" s="469" t="str">
        <f t="shared" si="9"/>
        <v>Vencido</v>
      </c>
      <c r="Y21" s="498"/>
      <c r="Z21" s="469">
        <f t="shared" si="10"/>
        <v>-63</v>
      </c>
      <c r="AA21" s="499">
        <f t="shared" si="6"/>
        <v>2.7882992062030123</v>
      </c>
      <c r="AB21" s="499">
        <f t="shared" si="6"/>
        <v>2.7426959241966546</v>
      </c>
      <c r="AC21" s="469" t="s">
        <v>451</v>
      </c>
      <c r="AD21" s="469" t="s">
        <v>454</v>
      </c>
      <c r="AG21" s="605">
        <f>+IF(Tabla3[[#This Row],[Amortización k | cupón de intereses]]="Amortización de K",Tabla3[[#This Row],[Valor Nominal]],0)</f>
        <v>0</v>
      </c>
      <c r="AH21" s="605">
        <f>+IF(AND(Tabla3[[#This Row],[Amortización k | cupón de intereses]]="Cupón de interés",Tabla3[[#This Row],[Estado]]="Vigente"),Tabla3[[#This Row],[Valor Nominal]],0)</f>
        <v>0</v>
      </c>
      <c r="AI21" s="618">
        <f>+IF(Tabla3[[#This Row],[Amortización k | cupón de intereses]]="Amortización de K",SUMIFS($AH$7:$AH$557,Tabla3[Código Emisión],Tabla3[[#This Row],[Código Emisión]],Tabla3[Fecha de operación],Tabla3[[#This Row],[Fecha de operación]]),0)-Tabla3[[#This Row],[Accrued]]*Tabla3[[#This Row],[Valor Nominal]]</f>
        <v>0</v>
      </c>
      <c r="AJ21" s="605">
        <f>+IF(Tabla3[[#This Row],[Amortización k | cupón de intereses]]="Amortización de K",IF(Tabla3[[#This Row],[Precio Clean]]&gt;1,Tabla3[[#This Row],[Valor Nominal]]*(Tabla3[[#This Row],[Precio Clean]]-1),0),0)</f>
        <v>0</v>
      </c>
      <c r="AK21" s="605">
        <f>+IF(Tabla3[[#This Row],[Amortización k | cupón de intereses]]="Amortización de K",IF(Tabla3[[#This Row],[Precio Clean]]&lt;1,Tabla3[[#This Row],[Valor Nominal]]*(Tabla3[[#This Row],[Precio Clean]]-1),0),0)</f>
        <v>0</v>
      </c>
      <c r="AN21" s="463"/>
      <c r="AR21" s="622"/>
    </row>
    <row r="22" spans="1:44">
      <c r="B22" s="437" t="str">
        <f t="shared" si="7"/>
        <v>Banco Basa SA</v>
      </c>
      <c r="C22" s="437" t="str">
        <f t="shared" si="4"/>
        <v>PYBAM01F0358</v>
      </c>
      <c r="D22" s="437" t="str">
        <f t="shared" si="4"/>
        <v>Bonos Financieros</v>
      </c>
      <c r="E22" s="437" t="str">
        <f t="shared" si="4"/>
        <v>AA-py</v>
      </c>
      <c r="F22" s="437" t="str">
        <f t="shared" si="4"/>
        <v>Financiero</v>
      </c>
      <c r="G22" s="437" t="str">
        <f t="shared" si="4"/>
        <v>Paraguay</v>
      </c>
      <c r="H22" s="437">
        <f t="shared" si="4"/>
        <v>50</v>
      </c>
      <c r="I22" s="492">
        <v>16.205479</v>
      </c>
      <c r="J22" s="451"/>
      <c r="L22" s="442"/>
      <c r="M22" s="493"/>
      <c r="N22" s="493"/>
      <c r="O22" s="494">
        <f t="shared" si="8"/>
        <v>6.6508695483207689E-2</v>
      </c>
      <c r="P22" s="494">
        <f t="shared" si="8"/>
        <v>6.4911470005821315E-2</v>
      </c>
      <c r="Q22" s="450">
        <f t="shared" si="8"/>
        <v>45812</v>
      </c>
      <c r="R22" s="450">
        <v>45958</v>
      </c>
      <c r="S22" s="437" t="s">
        <v>146</v>
      </c>
      <c r="T22" s="495">
        <f>Tabla3[[#This Row],[Cantidad]]*Tabla3[[#This Row],[Cortes]]</f>
        <v>810.27395000000001</v>
      </c>
      <c r="U22" s="496" t="b">
        <f t="shared" si="0"/>
        <v>0</v>
      </c>
      <c r="V22" s="497" t="b">
        <f t="shared" si="1"/>
        <v>0</v>
      </c>
      <c r="W22" s="497">
        <f>IF(Tabla3[[#This Row],[Fecha de operación]]=$C$1,0,U22-V22)</f>
        <v>0</v>
      </c>
      <c r="X22" s="469" t="str">
        <f t="shared" si="9"/>
        <v>Vencido</v>
      </c>
      <c r="Y22" s="498"/>
      <c r="Z22" s="469">
        <f t="shared" si="10"/>
        <v>-154</v>
      </c>
      <c r="AA22" s="499">
        <f t="shared" si="6"/>
        <v>2.7882992062030123</v>
      </c>
      <c r="AB22" s="499">
        <f t="shared" si="6"/>
        <v>2.7426959241966546</v>
      </c>
      <c r="AC22" s="469" t="s">
        <v>451</v>
      </c>
      <c r="AD22" s="469" t="s">
        <v>454</v>
      </c>
      <c r="AG22" s="605">
        <f>+IF(Tabla3[[#This Row],[Amortización k | cupón de intereses]]="Amortización de K",Tabla3[[#This Row],[Valor Nominal]],0)</f>
        <v>0</v>
      </c>
      <c r="AH22" s="605">
        <f>+IF(AND(Tabla3[[#This Row],[Amortización k | cupón de intereses]]="Cupón de interés",Tabla3[[#This Row],[Estado]]="Vigente"),Tabla3[[#This Row],[Valor Nominal]],0)</f>
        <v>0</v>
      </c>
      <c r="AI22" s="618">
        <f>+IF(Tabla3[[#This Row],[Amortización k | cupón de intereses]]="Amortización de K",SUMIFS($AH$7:$AH$557,Tabla3[Código Emisión],Tabla3[[#This Row],[Código Emisión]],Tabla3[Fecha de operación],Tabla3[[#This Row],[Fecha de operación]]),0)-Tabla3[[#This Row],[Accrued]]*Tabla3[[#This Row],[Valor Nominal]]</f>
        <v>0</v>
      </c>
      <c r="AJ22" s="605">
        <f>+IF(Tabla3[[#This Row],[Amortización k | cupón de intereses]]="Amortización de K",IF(Tabla3[[#This Row],[Precio Clean]]&gt;1,Tabla3[[#This Row],[Valor Nominal]]*(Tabla3[[#This Row],[Precio Clean]]-1),0),0)</f>
        <v>0</v>
      </c>
      <c r="AK22" s="605">
        <f>+IF(Tabla3[[#This Row],[Amortización k | cupón de intereses]]="Amortización de K",IF(Tabla3[[#This Row],[Precio Clean]]&lt;1,Tabla3[[#This Row],[Valor Nominal]]*(Tabla3[[#This Row],[Precio Clean]]-1),0),0)</f>
        <v>0</v>
      </c>
      <c r="AN22" s="463"/>
      <c r="AO22" s="490" t="s">
        <v>466</v>
      </c>
      <c r="AP22" s="491">
        <f ca="1">+AP23+AP24-AP25+AP26+AP27</f>
        <v>1944067.4921363902</v>
      </c>
      <c r="AQ22" s="608">
        <f>+SUMIFS(Tabla3[Valor Presente o Contable],Tabla3[Instrumento],AO22)</f>
        <v>1944067.4921363892</v>
      </c>
      <c r="AR22" s="444">
        <f ca="1">+AP22-AQ22</f>
        <v>0</v>
      </c>
    </row>
    <row r="23" spans="1:44" ht="15">
      <c r="A23" s="500">
        <f>+A7+1</f>
        <v>2</v>
      </c>
      <c r="B23" s="475" t="s">
        <v>447</v>
      </c>
      <c r="C23" s="475" t="s">
        <v>467</v>
      </c>
      <c r="D23" s="475" t="s">
        <v>453</v>
      </c>
      <c r="E23" s="475" t="s">
        <v>449</v>
      </c>
      <c r="F23" s="475" t="s">
        <v>297</v>
      </c>
      <c r="G23" s="475" t="s">
        <v>298</v>
      </c>
      <c r="H23" s="475">
        <v>2</v>
      </c>
      <c r="I23" s="477">
        <v>100000</v>
      </c>
      <c r="J23" s="478">
        <v>5.1499999999999997E-2</v>
      </c>
      <c r="K23" s="479">
        <f>_xlfn.MAXIFS(R:R,C:C,C23,AD:AD,"Cupón de interés",X:X,"Vencido")</f>
        <v>46111</v>
      </c>
      <c r="L23" s="478">
        <f>+Tabla3[[#This Row],[Tasa de Interés]]*($U$5-Tabla3[[#This Row],[Last coupon]])/365</f>
        <v>1.410958904109589E-4</v>
      </c>
      <c r="M23" s="480">
        <f>+Tabla3[[#This Row],[Precio Dirty]]-Tabla3[[#This Row],[Accrued]]</f>
        <v>0.98378122774745269</v>
      </c>
      <c r="N23" s="481">
        <f>SUMIFS(U:U,C:C,C23,Q:Q,Q23)/SUMIFS(T:T,C:C,C23,Q:Q,Q23,AD:AD,"Amortización de K")</f>
        <v>0.98392232363786369</v>
      </c>
      <c r="O23" s="482">
        <v>6.6607305407524117E-2</v>
      </c>
      <c r="P23" s="482">
        <v>6.500542768207751E-2</v>
      </c>
      <c r="Q23" s="484">
        <v>45812</v>
      </c>
      <c r="R23" s="484">
        <v>46568</v>
      </c>
      <c r="S23" s="475" t="s">
        <v>146</v>
      </c>
      <c r="T23" s="485">
        <f>Tabla3[[#This Row],[Cantidad]]*Tabla3[[#This Row],[Cortes]]</f>
        <v>200000</v>
      </c>
      <c r="U23" s="486">
        <f t="shared" si="0"/>
        <v>184520.01636618041</v>
      </c>
      <c r="V23" s="487">
        <f t="shared" si="1"/>
        <v>184487.42094431745</v>
      </c>
      <c r="W23" s="487">
        <f>IF(Tabla3[[#This Row],[Fecha de operación]]=$C$1,0,U23-V23)</f>
        <v>32.595421862963121</v>
      </c>
      <c r="X23" s="488" t="str">
        <f t="shared" si="9"/>
        <v>Vigente</v>
      </c>
      <c r="Y23" s="489" t="s">
        <v>450</v>
      </c>
      <c r="Z23" s="488">
        <f t="shared" si="10"/>
        <v>456</v>
      </c>
      <c r="AA23" s="477">
        <f>IF(Y23="Mensual",DURATION($C$1,$C$1+Z23*12,J23/12,O23/12,1)/12,DURATION($C$1,R23,J23,O23,IF(Y23="Cupón cero",1,IF(Y23="Al vencimiento",1,IF(Y23="Anual",1,IF(Y23="Semestral",2,IF(Y23="Trimestral",4,"")))))))</f>
        <v>1.2182838995187697</v>
      </c>
      <c r="AB23" s="477">
        <f>IF(Y23="Mensual",MDURATION($C$1,$C$1+Z23*12,J23/12,O23/12,1)/12,MDURATION($C$1,R23,J23,O23,IF(Y23="Cupón cero",1,IF(Y23="Al vencimiento",1,IF(Y23="Anual",1,IF(Y23="Semestral",2,IF(Y23="Trimestral",4,"")))))))</f>
        <v>1.1983295243666834</v>
      </c>
      <c r="AC23" s="488" t="s">
        <v>451</v>
      </c>
      <c r="AD23" s="488" t="s">
        <v>452</v>
      </c>
      <c r="AG23" s="605">
        <f>+IF(Tabla3[[#This Row],[Amortización k | cupón de intereses]]="Amortización de K",Tabla3[[#This Row],[Valor Nominal]],0)</f>
        <v>200000</v>
      </c>
      <c r="AH23" s="605">
        <f>+IF(AND(Tabla3[[#This Row],[Amortización k | cupón de intereses]]="Cupón de interés",Tabla3[[#This Row],[Estado]]="Vigente"),Tabla3[[#This Row],[Valor Nominal]],0)</f>
        <v>0</v>
      </c>
      <c r="AI23" s="618">
        <f>+IF(Tabla3[[#This Row],[Amortización k | cupón de intereses]]="Amortización de K",SUMIFS($AH$7:$AH$557,Tabla3[Código Emisión],Tabla3[[#This Row],[Código Emisión]],Tabla3[Fecha de operación],Tabla3[[#This Row],[Fecha de operación]]),0)-Tabla3[[#This Row],[Accrued]]*Tabla3[[#This Row],[Valor Nominal]]</f>
        <v>12839.780821917808</v>
      </c>
      <c r="AJ23" s="605">
        <f>+IF(Tabla3[[#This Row],[Amortización k | cupón de intereses]]="Amortización de K",IF(Tabla3[[#This Row],[Precio Clean]]&gt;1,Tabla3[[#This Row],[Valor Nominal]]*(Tabla3[[#This Row],[Precio Clean]]-1),0),0)</f>
        <v>0</v>
      </c>
      <c r="AK23" s="605">
        <f>+IF(Tabla3[[#This Row],[Amortización k | cupón de intereses]]="Amortización de K",IF(Tabla3[[#This Row],[Precio Clean]]&lt;1,Tabla3[[#This Row],[Valor Nominal]]*(Tabla3[[#This Row],[Precio Clean]]-1),0),0)</f>
        <v>-3243.7544505094615</v>
      </c>
      <c r="AN23" s="659">
        <v>12010125001001</v>
      </c>
      <c r="AO23" s="663" t="s">
        <v>468</v>
      </c>
      <c r="AP23" s="661">
        <f ca="1">+SUMIF(Tabla3[Instrumento],$AO$22,$AG$7:$AG$520)</f>
        <v>2050000</v>
      </c>
      <c r="AQ23" s="444"/>
      <c r="AR23" s="437"/>
    </row>
    <row r="24" spans="1:44">
      <c r="A24" s="502"/>
      <c r="B24" s="437" t="str">
        <f t="shared" si="7"/>
        <v>Banco Basa SA</v>
      </c>
      <c r="C24" s="437" t="s">
        <v>467</v>
      </c>
      <c r="D24" s="437" t="str">
        <f>+D23</f>
        <v>CDA</v>
      </c>
      <c r="E24" s="437" t="str">
        <f>+E23</f>
        <v>AA-py</v>
      </c>
      <c r="F24" s="437" t="str">
        <f t="shared" si="4"/>
        <v>Financiero</v>
      </c>
      <c r="G24" s="437" t="str">
        <f t="shared" si="4"/>
        <v>Paraguay</v>
      </c>
      <c r="H24" s="437">
        <f t="shared" si="4"/>
        <v>2</v>
      </c>
      <c r="I24" s="469">
        <v>1312</v>
      </c>
      <c r="J24" s="451"/>
      <c r="L24" s="442"/>
      <c r="M24" s="493"/>
      <c r="N24" s="493"/>
      <c r="O24" s="494">
        <v>6.6607305407524117E-2</v>
      </c>
      <c r="P24" s="494">
        <v>6.500542768207751E-2</v>
      </c>
      <c r="Q24" s="450">
        <f t="shared" si="8"/>
        <v>45812</v>
      </c>
      <c r="R24" s="450">
        <v>46568</v>
      </c>
      <c r="S24" s="437" t="s">
        <v>146</v>
      </c>
      <c r="T24" s="495">
        <f>Tabla3[[#This Row],[Cantidad]]*Tabla3[[#This Row],[Cortes]]</f>
        <v>2624</v>
      </c>
      <c r="U24" s="496">
        <f t="shared" si="0"/>
        <v>2420.9026147242871</v>
      </c>
      <c r="V24" s="497">
        <f t="shared" si="1"/>
        <v>2420.4749627894448</v>
      </c>
      <c r="W24" s="497">
        <f>IF(Tabla3[[#This Row],[Fecha de operación]]=$C$1,0,U24-V24)</f>
        <v>0.42765193484228803</v>
      </c>
      <c r="X24" s="469" t="str">
        <f t="shared" si="9"/>
        <v>Vigente</v>
      </c>
      <c r="Y24" s="498"/>
      <c r="Z24" s="469">
        <f t="shared" si="10"/>
        <v>456</v>
      </c>
      <c r="AA24" s="499">
        <f t="shared" si="6"/>
        <v>1.2182838995187697</v>
      </c>
      <c r="AB24" s="499">
        <f t="shared" si="6"/>
        <v>1.1983295243666834</v>
      </c>
      <c r="AC24" s="469" t="s">
        <v>451</v>
      </c>
      <c r="AD24" s="469" t="s">
        <v>454</v>
      </c>
      <c r="AG24" s="605">
        <f>+IF(Tabla3[[#This Row],[Amortización k | cupón de intereses]]="Amortización de K",Tabla3[[#This Row],[Valor Nominal]],0)</f>
        <v>0</v>
      </c>
      <c r="AH24" s="605">
        <f>+IF(AND(Tabla3[[#This Row],[Amortización k | cupón de intereses]]="Cupón de interés",Tabla3[[#This Row],[Estado]]="Vigente"),Tabla3[[#This Row],[Valor Nominal]],0)</f>
        <v>2624</v>
      </c>
      <c r="AI24" s="618">
        <f>+IF(Tabla3[[#This Row],[Amortización k | cupón de intereses]]="Amortización de K",SUMIFS($AH$7:$AH$557,Tabla3[Código Emisión],Tabla3[[#This Row],[Código Emisión]],Tabla3[Fecha de operación],Tabla3[[#This Row],[Fecha de operación]]),0)-Tabla3[[#This Row],[Accrued]]*Tabla3[[#This Row],[Valor Nominal]]</f>
        <v>0</v>
      </c>
      <c r="AJ24" s="605">
        <f>+IF(Tabla3[[#This Row],[Amortización k | cupón de intereses]]="Amortización de K",IF(Tabla3[[#This Row],[Precio Clean]]&gt;1,Tabla3[[#This Row],[Valor Nominal]]*(Tabla3[[#This Row],[Precio Clean]]-1),0),0)</f>
        <v>0</v>
      </c>
      <c r="AK24" s="605">
        <f>+IF(Tabla3[[#This Row],[Amortización k | cupón de intereses]]="Amortización de K",IF(Tabla3[[#This Row],[Precio Clean]]&lt;1,Tabla3[[#This Row],[Valor Nominal]]*(Tabla3[[#This Row],[Precio Clean]]-1),0),0)</f>
        <v>0</v>
      </c>
      <c r="AN24" s="659">
        <v>13080229001001</v>
      </c>
      <c r="AO24" s="663" t="s">
        <v>469</v>
      </c>
      <c r="AP24" s="661">
        <f ca="1">+SUMIF(Tabla3[Instrumento],$AO$22,$AH$7:$AH$197)</f>
        <v>492937.5</v>
      </c>
      <c r="AQ24" s="444"/>
      <c r="AR24" s="437"/>
    </row>
    <row r="25" spans="1:44">
      <c r="A25" s="502"/>
      <c r="B25" s="437" t="str">
        <f t="shared" si="7"/>
        <v>Banco Basa SA</v>
      </c>
      <c r="C25" s="437" t="s">
        <v>467</v>
      </c>
      <c r="D25" s="437" t="str">
        <f t="shared" ref="D25:H31" si="11">+D24</f>
        <v>CDA</v>
      </c>
      <c r="E25" s="437" t="str">
        <f t="shared" si="11"/>
        <v>AA-py</v>
      </c>
      <c r="F25" s="437" t="str">
        <f t="shared" si="11"/>
        <v>Financiero</v>
      </c>
      <c r="G25" s="437" t="str">
        <f t="shared" si="11"/>
        <v>Paraguay</v>
      </c>
      <c r="H25" s="437">
        <f t="shared" si="11"/>
        <v>2</v>
      </c>
      <c r="I25" s="469">
        <v>1270</v>
      </c>
      <c r="J25" s="451"/>
      <c r="L25" s="442"/>
      <c r="M25" s="493"/>
      <c r="N25" s="493"/>
      <c r="O25" s="494">
        <v>6.6607305407524117E-2</v>
      </c>
      <c r="P25" s="494">
        <v>6.500542768207751E-2</v>
      </c>
      <c r="Q25" s="450">
        <f t="shared" si="8"/>
        <v>45812</v>
      </c>
      <c r="R25" s="450">
        <v>46475</v>
      </c>
      <c r="S25" s="437" t="s">
        <v>146</v>
      </c>
      <c r="T25" s="495">
        <f>Tabla3[[#This Row],[Cantidad]]*Tabla3[[#This Row],[Cortes]]</f>
        <v>2540</v>
      </c>
      <c r="U25" s="496">
        <f t="shared" si="0"/>
        <v>2382.2240911747294</v>
      </c>
      <c r="V25" s="497">
        <f t="shared" si="1"/>
        <v>2381.8032717928913</v>
      </c>
      <c r="W25" s="497">
        <f>IF(Tabla3[[#This Row],[Fecha de operación]]=$C$1,0,U25-V25)</f>
        <v>0.42081938183810053</v>
      </c>
      <c r="X25" s="469" t="str">
        <f t="shared" si="9"/>
        <v>Vigente</v>
      </c>
      <c r="Y25" s="498"/>
      <c r="Z25" s="469">
        <f t="shared" si="10"/>
        <v>363</v>
      </c>
      <c r="AA25" s="499">
        <f t="shared" ref="AA25:AB31" si="12">AA24</f>
        <v>1.2182838995187697</v>
      </c>
      <c r="AB25" s="499">
        <f t="shared" si="12"/>
        <v>1.1983295243666834</v>
      </c>
      <c r="AC25" s="469" t="s">
        <v>451</v>
      </c>
      <c r="AD25" s="469" t="s">
        <v>454</v>
      </c>
      <c r="AG25" s="605">
        <f>+IF(Tabla3[[#This Row],[Amortización k | cupón de intereses]]="Amortización de K",Tabla3[[#This Row],[Valor Nominal]],0)</f>
        <v>0</v>
      </c>
      <c r="AH25" s="605">
        <f>+IF(AND(Tabla3[[#This Row],[Amortización k | cupón de intereses]]="Cupón de interés",Tabla3[[#This Row],[Estado]]="Vigente"),Tabla3[[#This Row],[Valor Nominal]],0)</f>
        <v>2540</v>
      </c>
      <c r="AI25" s="618">
        <f>+IF(Tabla3[[#This Row],[Amortización k | cupón de intereses]]="Amortización de K",SUMIFS($AH$7:$AH$557,Tabla3[Código Emisión],Tabla3[[#This Row],[Código Emisión]],Tabla3[Fecha de operación],Tabla3[[#This Row],[Fecha de operación]]),0)-Tabla3[[#This Row],[Accrued]]*Tabla3[[#This Row],[Valor Nominal]]</f>
        <v>0</v>
      </c>
      <c r="AJ25" s="605">
        <f>+IF(Tabla3[[#This Row],[Amortización k | cupón de intereses]]="Amortización de K",IF(Tabla3[[#This Row],[Precio Clean]]&gt;1,Tabla3[[#This Row],[Valor Nominal]]*(Tabla3[[#This Row],[Precio Clean]]-1),0),0)</f>
        <v>0</v>
      </c>
      <c r="AK25" s="605">
        <f>+IF(Tabla3[[#This Row],[Amortización k | cupón de intereses]]="Amortización de K",IF(Tabla3[[#This Row],[Precio Clean]]&lt;1,Tabla3[[#This Row],[Valor Nominal]]*(Tabla3[[#This Row],[Precio Clean]]-1),0),0)</f>
        <v>0</v>
      </c>
      <c r="AN25" s="659">
        <v>13080229901001</v>
      </c>
      <c r="AO25" s="663" t="s">
        <v>470</v>
      </c>
      <c r="AP25" s="661">
        <f ca="1">+SUMIF(Tabla3[Instrumento],$AO22,$AI$7:$AI$384)</f>
        <v>470142.97945205483</v>
      </c>
      <c r="AQ25" s="444"/>
      <c r="AR25" s="437"/>
    </row>
    <row r="26" spans="1:44">
      <c r="A26" s="502"/>
      <c r="B26" s="437" t="str">
        <f t="shared" si="7"/>
        <v>Banco Basa SA</v>
      </c>
      <c r="C26" s="437" t="s">
        <v>467</v>
      </c>
      <c r="D26" s="437" t="str">
        <f t="shared" si="11"/>
        <v>CDA</v>
      </c>
      <c r="E26" s="437" t="str">
        <f t="shared" si="11"/>
        <v>AA-py</v>
      </c>
      <c r="F26" s="437" t="str">
        <f t="shared" si="11"/>
        <v>Financiero</v>
      </c>
      <c r="G26" s="437" t="str">
        <f t="shared" si="11"/>
        <v>Paraguay</v>
      </c>
      <c r="H26" s="437">
        <f t="shared" si="11"/>
        <v>2</v>
      </c>
      <c r="I26" s="469">
        <v>1284</v>
      </c>
      <c r="J26" s="451"/>
      <c r="L26" s="442"/>
      <c r="M26" s="493"/>
      <c r="N26" s="493"/>
      <c r="O26" s="494">
        <v>6.6607305407524117E-2</v>
      </c>
      <c r="P26" s="494">
        <v>6.500542768207751E-2</v>
      </c>
      <c r="Q26" s="450">
        <f t="shared" ref="Q26:Q31" si="13">+Q25</f>
        <v>45812</v>
      </c>
      <c r="R26" s="450">
        <v>46385</v>
      </c>
      <c r="S26" s="437" t="s">
        <v>146</v>
      </c>
      <c r="T26" s="495">
        <f>Tabla3[[#This Row],[Cantidad]]*Tabla3[[#This Row],[Cortes]]</f>
        <v>2568</v>
      </c>
      <c r="U26" s="496">
        <f t="shared" si="0"/>
        <v>2447.0855219554846</v>
      </c>
      <c r="V26" s="497">
        <f t="shared" si="1"/>
        <v>2446.6532448156186</v>
      </c>
      <c r="W26" s="497">
        <f>IF(Tabla3[[#This Row],[Fecha de operación]]=$C$1,0,U26-V26)</f>
        <v>0.43227713986607341</v>
      </c>
      <c r="X26" s="469" t="str">
        <f t="shared" si="9"/>
        <v>Vigente</v>
      </c>
      <c r="Y26" s="498"/>
      <c r="Z26" s="469">
        <f t="shared" si="10"/>
        <v>273</v>
      </c>
      <c r="AA26" s="499">
        <f t="shared" si="12"/>
        <v>1.2182838995187697</v>
      </c>
      <c r="AB26" s="499">
        <f t="shared" si="12"/>
        <v>1.1983295243666834</v>
      </c>
      <c r="AC26" s="469" t="s">
        <v>451</v>
      </c>
      <c r="AD26" s="469" t="s">
        <v>454</v>
      </c>
      <c r="AG26" s="605">
        <f>+IF(Tabla3[[#This Row],[Amortización k | cupón de intereses]]="Amortización de K",Tabla3[[#This Row],[Valor Nominal]],0)</f>
        <v>0</v>
      </c>
      <c r="AH26" s="605">
        <f>+IF(AND(Tabla3[[#This Row],[Amortización k | cupón de intereses]]="Cupón de interés",Tabla3[[#This Row],[Estado]]="Vigente"),Tabla3[[#This Row],[Valor Nominal]],0)</f>
        <v>2568</v>
      </c>
      <c r="AI26" s="618">
        <f>+IF(Tabla3[[#This Row],[Amortización k | cupón de intereses]]="Amortización de K",SUMIFS($AH$7:$AH$557,Tabla3[Código Emisión],Tabla3[[#This Row],[Código Emisión]],Tabla3[Fecha de operación],Tabla3[[#This Row],[Fecha de operación]]),0)-Tabla3[[#This Row],[Accrued]]*Tabla3[[#This Row],[Valor Nominal]]</f>
        <v>0</v>
      </c>
      <c r="AJ26" s="605">
        <f>+IF(Tabla3[[#This Row],[Amortización k | cupón de intereses]]="Amortización de K",IF(Tabla3[[#This Row],[Precio Clean]]&gt;1,Tabla3[[#This Row],[Valor Nominal]]*(Tabla3[[#This Row],[Precio Clean]]-1),0),0)</f>
        <v>0</v>
      </c>
      <c r="AK26" s="605">
        <f>+IF(Tabla3[[#This Row],[Amortización k | cupón de intereses]]="Amortización de K",IF(Tabla3[[#This Row],[Precio Clean]]&lt;1,Tabla3[[#This Row],[Valor Nominal]]*(Tabla3[[#This Row],[Precio Clean]]-1),0),0)</f>
        <v>0</v>
      </c>
      <c r="AN26" s="463">
        <v>12010259001001</v>
      </c>
      <c r="AO26" s="437" t="s">
        <v>471</v>
      </c>
      <c r="AP26" s="608">
        <f ca="1">+SUMIF(Tabla3[Instrumento],$AO22,$AJ$7:$AJ$384)</f>
        <v>0</v>
      </c>
      <c r="AQ26" s="444"/>
      <c r="AR26" s="437"/>
    </row>
    <row r="27" spans="1:44">
      <c r="A27" s="502"/>
      <c r="B27" s="437" t="str">
        <f t="shared" si="7"/>
        <v>Banco Basa SA</v>
      </c>
      <c r="C27" s="437" t="s">
        <v>467</v>
      </c>
      <c r="D27" s="437" t="str">
        <f t="shared" si="11"/>
        <v>CDA</v>
      </c>
      <c r="E27" s="437" t="str">
        <f t="shared" si="11"/>
        <v>AA-py</v>
      </c>
      <c r="F27" s="437" t="str">
        <f t="shared" si="11"/>
        <v>Financiero</v>
      </c>
      <c r="G27" s="437" t="str">
        <f t="shared" si="11"/>
        <v>Paraguay</v>
      </c>
      <c r="H27" s="437">
        <f t="shared" si="11"/>
        <v>2</v>
      </c>
      <c r="I27" s="469">
        <v>1284</v>
      </c>
      <c r="J27" s="451"/>
      <c r="L27" s="442"/>
      <c r="M27" s="493"/>
      <c r="N27" s="493"/>
      <c r="O27" s="494">
        <v>6.6607305407524117E-2</v>
      </c>
      <c r="P27" s="494">
        <v>6.500542768207751E-2</v>
      </c>
      <c r="Q27" s="450">
        <f t="shared" si="13"/>
        <v>45812</v>
      </c>
      <c r="R27" s="450">
        <v>46294</v>
      </c>
      <c r="S27" s="437" t="s">
        <v>146</v>
      </c>
      <c r="T27" s="495">
        <f>Tabla3[[#This Row],[Cantidad]]*Tabla3[[#This Row],[Cortes]]</f>
        <v>2568</v>
      </c>
      <c r="U27" s="496">
        <f t="shared" si="0"/>
        <v>2486.7441493543324</v>
      </c>
      <c r="V27" s="497">
        <f t="shared" si="1"/>
        <v>2486.3048665263236</v>
      </c>
      <c r="W27" s="497">
        <f>IF(Tabla3[[#This Row],[Fecha de operación]]=$C$1,0,U27-V27)</f>
        <v>0.4392828280087997</v>
      </c>
      <c r="X27" s="469" t="str">
        <f t="shared" si="9"/>
        <v>Vigente</v>
      </c>
      <c r="Y27" s="498"/>
      <c r="Z27" s="469">
        <f t="shared" si="10"/>
        <v>182</v>
      </c>
      <c r="AA27" s="499">
        <f t="shared" si="12"/>
        <v>1.2182838995187697</v>
      </c>
      <c r="AB27" s="499">
        <f t="shared" si="12"/>
        <v>1.1983295243666834</v>
      </c>
      <c r="AC27" s="469" t="s">
        <v>451</v>
      </c>
      <c r="AD27" s="469" t="s">
        <v>454</v>
      </c>
      <c r="AG27" s="605">
        <f>+IF(Tabla3[[#This Row],[Amortización k | cupón de intereses]]="Amortización de K",Tabla3[[#This Row],[Valor Nominal]],0)</f>
        <v>0</v>
      </c>
      <c r="AH27" s="605">
        <f>+IF(AND(Tabla3[[#This Row],[Amortización k | cupón de intereses]]="Cupón de interés",Tabla3[[#This Row],[Estado]]="Vigente"),Tabla3[[#This Row],[Valor Nominal]],0)</f>
        <v>2568</v>
      </c>
      <c r="AI27" s="618">
        <f>+IF(Tabla3[[#This Row],[Amortización k | cupón de intereses]]="Amortización de K",SUMIFS($AH$7:$AH$557,Tabla3[Código Emisión],Tabla3[[#This Row],[Código Emisión]],Tabla3[Fecha de operación],Tabla3[[#This Row],[Fecha de operación]]),0)-Tabla3[[#This Row],[Accrued]]*Tabla3[[#This Row],[Valor Nominal]]</f>
        <v>0</v>
      </c>
      <c r="AJ27" s="605">
        <f>+IF(Tabla3[[#This Row],[Amortización k | cupón de intereses]]="Amortización de K",IF(Tabla3[[#This Row],[Precio Clean]]&gt;1,Tabla3[[#This Row],[Valor Nominal]]*(Tabla3[[#This Row],[Precio Clean]]-1),0),0)</f>
        <v>0</v>
      </c>
      <c r="AK27" s="605">
        <f>+IF(Tabla3[[#This Row],[Amortización k | cupón de intereses]]="Amortización de K",IF(Tabla3[[#This Row],[Precio Clean]]&lt;1,Tabla3[[#This Row],[Valor Nominal]]*(Tabla3[[#This Row],[Precio Clean]]-1),0),0)</f>
        <v>0</v>
      </c>
      <c r="AN27" s="463">
        <v>22010146001001</v>
      </c>
      <c r="AO27" s="437" t="s">
        <v>472</v>
      </c>
      <c r="AP27" s="608">
        <f ca="1">+SUMIF(Tabla3[Instrumento],$AO22,$AK$7:$AK$384)</f>
        <v>-128727.02841155497</v>
      </c>
      <c r="AQ27" s="444"/>
      <c r="AR27" s="437"/>
    </row>
    <row r="28" spans="1:44">
      <c r="A28" s="502"/>
      <c r="B28" s="437" t="str">
        <f t="shared" si="7"/>
        <v>Banco Basa SA</v>
      </c>
      <c r="C28" s="437" t="s">
        <v>467</v>
      </c>
      <c r="D28" s="437" t="str">
        <f t="shared" si="11"/>
        <v>CDA</v>
      </c>
      <c r="E28" s="437" t="str">
        <f t="shared" si="11"/>
        <v>AA-py</v>
      </c>
      <c r="F28" s="437" t="str">
        <f t="shared" si="11"/>
        <v>Financiero</v>
      </c>
      <c r="G28" s="437" t="str">
        <f t="shared" si="11"/>
        <v>Paraguay</v>
      </c>
      <c r="H28" s="437">
        <f t="shared" si="11"/>
        <v>2</v>
      </c>
      <c r="I28" s="469">
        <v>1284</v>
      </c>
      <c r="J28" s="451"/>
      <c r="L28" s="442"/>
      <c r="M28" s="493"/>
      <c r="N28" s="493"/>
      <c r="O28" s="494">
        <v>6.6607305407524117E-2</v>
      </c>
      <c r="P28" s="494">
        <v>6.500542768207751E-2</v>
      </c>
      <c r="Q28" s="450">
        <f t="shared" si="13"/>
        <v>45812</v>
      </c>
      <c r="R28" s="450">
        <v>46202</v>
      </c>
      <c r="S28" s="437" t="s">
        <v>146</v>
      </c>
      <c r="T28" s="495">
        <f>Tabla3[[#This Row],[Cantidad]]*Tabla3[[#This Row],[Cortes]]</f>
        <v>2568</v>
      </c>
      <c r="U28" s="496">
        <f t="shared" si="0"/>
        <v>2527.4919841834899</v>
      </c>
      <c r="V28" s="497">
        <f t="shared" si="1"/>
        <v>2527.0455032590776</v>
      </c>
      <c r="W28" s="497">
        <f>IF(Tabla3[[#This Row],[Fecha de operación]]=$C$1,0,U28-V28)</f>
        <v>0.44648092441229892</v>
      </c>
      <c r="X28" s="469" t="str">
        <f t="shared" si="9"/>
        <v>Vigente</v>
      </c>
      <c r="Y28" s="498"/>
      <c r="Z28" s="469">
        <f t="shared" si="10"/>
        <v>90</v>
      </c>
      <c r="AA28" s="499">
        <f t="shared" si="12"/>
        <v>1.2182838995187697</v>
      </c>
      <c r="AB28" s="499">
        <f t="shared" si="12"/>
        <v>1.1983295243666834</v>
      </c>
      <c r="AC28" s="469" t="s">
        <v>451</v>
      </c>
      <c r="AD28" s="469" t="s">
        <v>454</v>
      </c>
      <c r="AG28" s="605">
        <f>+IF(Tabla3[[#This Row],[Amortización k | cupón de intereses]]="Amortización de K",Tabla3[[#This Row],[Valor Nominal]],0)</f>
        <v>0</v>
      </c>
      <c r="AH28" s="605">
        <f>+IF(AND(Tabla3[[#This Row],[Amortización k | cupón de intereses]]="Cupón de interés",Tabla3[[#This Row],[Estado]]="Vigente"),Tabla3[[#This Row],[Valor Nominal]],0)</f>
        <v>2568</v>
      </c>
      <c r="AI28" s="618">
        <f>+IF(Tabla3[[#This Row],[Amortización k | cupón de intereses]]="Amortización de K",SUMIFS($AH$7:$AH$557,Tabla3[Código Emisión],Tabla3[[#This Row],[Código Emisión]],Tabla3[Fecha de operación],Tabla3[[#This Row],[Fecha de operación]]),0)-Tabla3[[#This Row],[Accrued]]*Tabla3[[#This Row],[Valor Nominal]]</f>
        <v>0</v>
      </c>
      <c r="AJ28" s="605">
        <f>+IF(Tabla3[[#This Row],[Amortización k | cupón de intereses]]="Amortización de K",IF(Tabla3[[#This Row],[Precio Clean]]&gt;1,Tabla3[[#This Row],[Valor Nominal]]*(Tabla3[[#This Row],[Precio Clean]]-1),0),0)</f>
        <v>0</v>
      </c>
      <c r="AK28" s="605">
        <f>+IF(Tabla3[[#This Row],[Amortización k | cupón de intereses]]="Amortización de K",IF(Tabla3[[#This Row],[Precio Clean]]&lt;1,Tabla3[[#This Row],[Valor Nominal]]*(Tabla3[[#This Row],[Precio Clean]]-1),0),0)</f>
        <v>0</v>
      </c>
      <c r="AN28" s="463"/>
      <c r="AO28" s="437"/>
      <c r="AQ28" s="444"/>
      <c r="AR28" s="437"/>
    </row>
    <row r="29" spans="1:44">
      <c r="A29" s="502"/>
      <c r="B29" s="437" t="str">
        <f t="shared" si="7"/>
        <v>Banco Basa SA</v>
      </c>
      <c r="C29" s="437" t="s">
        <v>467</v>
      </c>
      <c r="D29" s="437" t="str">
        <f t="shared" si="11"/>
        <v>CDA</v>
      </c>
      <c r="E29" s="437" t="str">
        <f t="shared" si="11"/>
        <v>AA-py</v>
      </c>
      <c r="F29" s="437" t="str">
        <f t="shared" si="11"/>
        <v>Financiero</v>
      </c>
      <c r="G29" s="437" t="str">
        <f t="shared" si="11"/>
        <v>Paraguay</v>
      </c>
      <c r="H29" s="437">
        <f t="shared" si="11"/>
        <v>2</v>
      </c>
      <c r="I29" s="469">
        <v>1284</v>
      </c>
      <c r="J29" s="451"/>
      <c r="L29" s="442"/>
      <c r="M29" s="493"/>
      <c r="N29" s="493"/>
      <c r="O29" s="494">
        <v>6.6607305407524117E-2</v>
      </c>
      <c r="P29" s="494">
        <v>6.500542768207751E-2</v>
      </c>
      <c r="Q29" s="450">
        <f t="shared" si="13"/>
        <v>45812</v>
      </c>
      <c r="R29" s="450">
        <v>46111</v>
      </c>
      <c r="S29" s="437" t="s">
        <v>146</v>
      </c>
      <c r="T29" s="495">
        <f>Tabla3[[#This Row],[Cantidad]]*Tabla3[[#This Row],[Cortes]]</f>
        <v>2568</v>
      </c>
      <c r="U29" s="496" t="b">
        <f t="shared" si="0"/>
        <v>0</v>
      </c>
      <c r="V29" s="497" t="b">
        <f t="shared" si="1"/>
        <v>0</v>
      </c>
      <c r="W29" s="497">
        <f>IF(Tabla3[[#This Row],[Fecha de operación]]=$C$1,0,U29-V29)</f>
        <v>0</v>
      </c>
      <c r="X29" s="469" t="str">
        <f t="shared" si="9"/>
        <v>Vencido</v>
      </c>
      <c r="Y29" s="498"/>
      <c r="Z29" s="469">
        <f t="shared" si="10"/>
        <v>-1</v>
      </c>
      <c r="AA29" s="499">
        <f t="shared" si="12"/>
        <v>1.2182838995187697</v>
      </c>
      <c r="AB29" s="499">
        <f t="shared" si="12"/>
        <v>1.1983295243666834</v>
      </c>
      <c r="AC29" s="469" t="s">
        <v>451</v>
      </c>
      <c r="AD29" s="469" t="s">
        <v>454</v>
      </c>
      <c r="AG29" s="605">
        <f>+IF(Tabla3[[#This Row],[Amortización k | cupón de intereses]]="Amortización de K",Tabla3[[#This Row],[Valor Nominal]],0)</f>
        <v>0</v>
      </c>
      <c r="AH29" s="605">
        <f>+IF(AND(Tabla3[[#This Row],[Amortización k | cupón de intereses]]="Cupón de interés",Tabla3[[#This Row],[Estado]]="Vigente"),Tabla3[[#This Row],[Valor Nominal]],0)</f>
        <v>0</v>
      </c>
      <c r="AI29" s="618">
        <f>+IF(Tabla3[[#This Row],[Amortización k | cupón de intereses]]="Amortización de K",SUMIFS($AH$7:$AH$557,Tabla3[Código Emisión],Tabla3[[#This Row],[Código Emisión]],Tabla3[Fecha de operación],Tabla3[[#This Row],[Fecha de operación]]),0)-Tabla3[[#This Row],[Accrued]]*Tabla3[[#This Row],[Valor Nominal]]</f>
        <v>0</v>
      </c>
      <c r="AJ29" s="605">
        <f>+IF(Tabla3[[#This Row],[Amortización k | cupón de intereses]]="Amortización de K",IF(Tabla3[[#This Row],[Precio Clean]]&gt;1,Tabla3[[#This Row],[Valor Nominal]]*(Tabla3[[#This Row],[Precio Clean]]-1),0),0)</f>
        <v>0</v>
      </c>
      <c r="AK29" s="605">
        <f>+IF(Tabla3[[#This Row],[Amortización k | cupón de intereses]]="Amortización de K",IF(Tabla3[[#This Row],[Precio Clean]]&lt;1,Tabla3[[#This Row],[Valor Nominal]]*(Tabla3[[#This Row],[Precio Clean]]-1),0),0)</f>
        <v>0</v>
      </c>
      <c r="AN29" s="463"/>
      <c r="AO29" s="490" t="s">
        <v>602</v>
      </c>
      <c r="AP29" s="625">
        <f ca="1">+AP30+AP31-AP32+AP33+AP34</f>
        <v>1502186.0377443354</v>
      </c>
      <c r="AQ29" s="608">
        <f>+SUMIFS(Tabla3[Valor Presente o Contable],Tabla3[Instrumento],AO29)</f>
        <v>1502186.0377443354</v>
      </c>
      <c r="AR29" s="444">
        <f ca="1">+AP29-AQ29</f>
        <v>0</v>
      </c>
    </row>
    <row r="30" spans="1:44">
      <c r="A30" s="502"/>
      <c r="B30" s="437" t="str">
        <f t="shared" si="7"/>
        <v>Banco Basa SA</v>
      </c>
      <c r="C30" s="437" t="s">
        <v>467</v>
      </c>
      <c r="D30" s="437" t="str">
        <f t="shared" si="11"/>
        <v>CDA</v>
      </c>
      <c r="E30" s="437" t="str">
        <f t="shared" si="11"/>
        <v>AA-py</v>
      </c>
      <c r="F30" s="437" t="str">
        <f t="shared" si="11"/>
        <v>Financiero</v>
      </c>
      <c r="G30" s="437" t="str">
        <f t="shared" si="11"/>
        <v>Paraguay</v>
      </c>
      <c r="H30" s="437">
        <f t="shared" si="11"/>
        <v>2</v>
      </c>
      <c r="I30" s="469">
        <v>1284</v>
      </c>
      <c r="J30" s="451"/>
      <c r="L30" s="442"/>
      <c r="M30" s="493"/>
      <c r="N30" s="493"/>
      <c r="O30" s="494">
        <v>6.6607305407524117E-2</v>
      </c>
      <c r="P30" s="494">
        <v>6.500542768207751E-2</v>
      </c>
      <c r="Q30" s="450">
        <f t="shared" si="13"/>
        <v>45812</v>
      </c>
      <c r="R30" s="450">
        <v>46020</v>
      </c>
      <c r="S30" s="437" t="s">
        <v>146</v>
      </c>
      <c r="T30" s="495">
        <f>Tabla3[[#This Row],[Cantidad]]*Tabla3[[#This Row],[Cortes]]</f>
        <v>2568</v>
      </c>
      <c r="U30" s="496" t="b">
        <f t="shared" si="0"/>
        <v>0</v>
      </c>
      <c r="V30" s="497" t="b">
        <f t="shared" si="1"/>
        <v>0</v>
      </c>
      <c r="W30" s="497">
        <f>IF(Tabla3[[#This Row],[Fecha de operación]]=$C$1,0,U30-V30)</f>
        <v>0</v>
      </c>
      <c r="X30" s="469" t="str">
        <f t="shared" si="9"/>
        <v>Vencido</v>
      </c>
      <c r="Y30" s="498"/>
      <c r="Z30" s="469">
        <f t="shared" si="10"/>
        <v>-92</v>
      </c>
      <c r="AA30" s="499">
        <f t="shared" si="12"/>
        <v>1.2182838995187697</v>
      </c>
      <c r="AB30" s="499">
        <f t="shared" si="12"/>
        <v>1.1983295243666834</v>
      </c>
      <c r="AC30" s="469" t="s">
        <v>451</v>
      </c>
      <c r="AD30" s="469" t="s">
        <v>454</v>
      </c>
      <c r="AG30" s="605">
        <f>+IF(Tabla3[[#This Row],[Amortización k | cupón de intereses]]="Amortización de K",Tabla3[[#This Row],[Valor Nominal]],0)</f>
        <v>0</v>
      </c>
      <c r="AH30" s="605">
        <f>+IF(AND(Tabla3[[#This Row],[Amortización k | cupón de intereses]]="Cupón de interés",Tabla3[[#This Row],[Estado]]="Vigente"),Tabla3[[#This Row],[Valor Nominal]],0)</f>
        <v>0</v>
      </c>
      <c r="AI30" s="618">
        <f>+IF(Tabla3[[#This Row],[Amortización k | cupón de intereses]]="Amortización de K",SUMIFS($AH$7:$AH$557,Tabla3[Código Emisión],Tabla3[[#This Row],[Código Emisión]],Tabla3[Fecha de operación],Tabla3[[#This Row],[Fecha de operación]]),0)-Tabla3[[#This Row],[Accrued]]*Tabla3[[#This Row],[Valor Nominal]]</f>
        <v>0</v>
      </c>
      <c r="AJ30" s="605">
        <f>+IF(Tabla3[[#This Row],[Amortización k | cupón de intereses]]="Amortización de K",IF(Tabla3[[#This Row],[Precio Clean]]&gt;1,Tabla3[[#This Row],[Valor Nominal]]*(Tabla3[[#This Row],[Precio Clean]]-1),0),0)</f>
        <v>0</v>
      </c>
      <c r="AK30" s="605">
        <f>+IF(Tabla3[[#This Row],[Amortización k | cupón de intereses]]="Amortización de K",IF(Tabla3[[#This Row],[Precio Clean]]&lt;1,Tabla3[[#This Row],[Valor Nominal]]*(Tabla3[[#This Row],[Precio Clean]]-1),0),0)</f>
        <v>0</v>
      </c>
      <c r="AN30" s="659">
        <v>12010125002001</v>
      </c>
      <c r="AO30" s="663" t="s">
        <v>603</v>
      </c>
      <c r="AP30" s="661">
        <f ca="1">+SUMIF(Tabla3[Instrumento],$AO$29,$AG$7:$AG$520)</f>
        <v>1500000</v>
      </c>
      <c r="AQ30" s="445"/>
    </row>
    <row r="31" spans="1:44">
      <c r="A31" s="502"/>
      <c r="B31" s="437" t="str">
        <f t="shared" si="7"/>
        <v>Banco Basa SA</v>
      </c>
      <c r="C31" s="437" t="s">
        <v>467</v>
      </c>
      <c r="D31" s="437" t="str">
        <f t="shared" si="11"/>
        <v>CDA</v>
      </c>
      <c r="E31" s="437" t="str">
        <f t="shared" si="11"/>
        <v>AA-py</v>
      </c>
      <c r="F31" s="437" t="str">
        <f t="shared" si="11"/>
        <v>Financiero</v>
      </c>
      <c r="G31" s="437" t="str">
        <f t="shared" si="11"/>
        <v>Paraguay</v>
      </c>
      <c r="H31" s="437">
        <f t="shared" si="11"/>
        <v>2</v>
      </c>
      <c r="I31" s="469">
        <v>1284</v>
      </c>
      <c r="J31" s="451"/>
      <c r="L31" s="442"/>
      <c r="M31" s="493"/>
      <c r="N31" s="493"/>
      <c r="O31" s="494">
        <v>6.6607305407524117E-2</v>
      </c>
      <c r="P31" s="494">
        <v>6.500542768207751E-2</v>
      </c>
      <c r="Q31" s="450">
        <f t="shared" si="13"/>
        <v>45812</v>
      </c>
      <c r="R31" s="450">
        <v>45929</v>
      </c>
      <c r="S31" s="437" t="s">
        <v>146</v>
      </c>
      <c r="T31" s="495">
        <f>Tabla3[[#This Row],[Cantidad]]*Tabla3[[#This Row],[Cortes]]</f>
        <v>2568</v>
      </c>
      <c r="U31" s="496" t="b">
        <f t="shared" si="0"/>
        <v>0</v>
      </c>
      <c r="V31" s="497" t="b">
        <f t="shared" si="1"/>
        <v>0</v>
      </c>
      <c r="W31" s="497">
        <f>IF(Tabla3[[#This Row],[Fecha de operación]]=$C$1,0,U31-V31)</f>
        <v>0</v>
      </c>
      <c r="X31" s="469" t="str">
        <f t="shared" si="9"/>
        <v>Vencido</v>
      </c>
      <c r="Y31" s="498"/>
      <c r="Z31" s="469">
        <f t="shared" si="10"/>
        <v>-183</v>
      </c>
      <c r="AA31" s="499">
        <f t="shared" si="12"/>
        <v>1.2182838995187697</v>
      </c>
      <c r="AB31" s="499">
        <f t="shared" si="12"/>
        <v>1.1983295243666834</v>
      </c>
      <c r="AC31" s="469" t="s">
        <v>451</v>
      </c>
      <c r="AD31" s="469" t="s">
        <v>454</v>
      </c>
      <c r="AG31" s="605">
        <f>+IF(Tabla3[[#This Row],[Amortización k | cupón de intereses]]="Amortización de K",Tabla3[[#This Row],[Valor Nominal]],0)</f>
        <v>0</v>
      </c>
      <c r="AH31" s="605">
        <f>+IF(AND(Tabla3[[#This Row],[Amortización k | cupón de intereses]]="Cupón de interés",Tabla3[[#This Row],[Estado]]="Vigente"),Tabla3[[#This Row],[Valor Nominal]],0)</f>
        <v>0</v>
      </c>
      <c r="AI31" s="618">
        <f>+IF(Tabla3[[#This Row],[Amortización k | cupón de intereses]]="Amortización de K",SUMIFS($AH$7:$AH$557,Tabla3[Código Emisión],Tabla3[[#This Row],[Código Emisión]],Tabla3[Fecha de operación],Tabla3[[#This Row],[Fecha de operación]]),0)-Tabla3[[#This Row],[Accrued]]*Tabla3[[#This Row],[Valor Nominal]]</f>
        <v>0</v>
      </c>
      <c r="AJ31" s="605">
        <f>+IF(Tabla3[[#This Row],[Amortización k | cupón de intereses]]="Amortización de K",IF(Tabla3[[#This Row],[Precio Clean]]&gt;1,Tabla3[[#This Row],[Valor Nominal]]*(Tabla3[[#This Row],[Precio Clean]]-1),0),0)</f>
        <v>0</v>
      </c>
      <c r="AK31" s="605">
        <f>+IF(Tabla3[[#This Row],[Amortización k | cupón de intereses]]="Amortización de K",IF(Tabla3[[#This Row],[Precio Clean]]&lt;1,Tabla3[[#This Row],[Valor Nominal]]*(Tabla3[[#This Row],[Precio Clean]]-1),0),0)</f>
        <v>0</v>
      </c>
      <c r="AN31" s="659">
        <v>13080229002001</v>
      </c>
      <c r="AO31" s="663" t="s">
        <v>604</v>
      </c>
      <c r="AP31" s="661">
        <f ca="1">+SUMIF(Tabla3[Instrumento],$AO$29,$AH$7:$AH$197)</f>
        <v>455000</v>
      </c>
      <c r="AQ31" s="445"/>
    </row>
    <row r="32" spans="1:44" ht="15">
      <c r="A32" s="475">
        <f>A23+1</f>
        <v>3</v>
      </c>
      <c r="B32" s="475" t="s">
        <v>447</v>
      </c>
      <c r="C32" s="475" t="s">
        <v>448</v>
      </c>
      <c r="D32" s="475" t="s">
        <v>294</v>
      </c>
      <c r="E32" s="475" t="s">
        <v>449</v>
      </c>
      <c r="F32" s="475" t="s">
        <v>297</v>
      </c>
      <c r="G32" s="475" t="s">
        <v>298</v>
      </c>
      <c r="H32" s="476">
        <v>150</v>
      </c>
      <c r="I32" s="477">
        <v>1000</v>
      </c>
      <c r="J32" s="478">
        <v>6.5000000000000002E-2</v>
      </c>
      <c r="K32" s="479">
        <f>_xlfn.MAXIFS(R:R,C:C,C32,AD:AD,"Cupón de interés",X:X,"Vencido")</f>
        <v>46049</v>
      </c>
      <c r="L32" s="478">
        <f>+Tabla3[[#This Row],[Tasa de Interés]]*($U$5-Tabla3[[#This Row],[Last coupon]])/365</f>
        <v>1.1219178082191781E-2</v>
      </c>
      <c r="M32" s="480">
        <f>+Tabla3[[#This Row],[Precio Dirty]]-Tabla3[[#This Row],[Accrued]]</f>
        <v>1.0002166868700706</v>
      </c>
      <c r="N32" s="481">
        <f>SUMIFS(U:U,C:C,C32,Q:Q,Q32)/SUMIFS(T:T,C:C,C32,Q:Q,Q32,AD:AD,"Amortización de K")</f>
        <v>1.0114358649522623</v>
      </c>
      <c r="O32" s="482">
        <v>6.6507741808891283E-2</v>
      </c>
      <c r="P32" s="483">
        <v>6.4911470005821315E-2</v>
      </c>
      <c r="Q32" s="484">
        <v>45819</v>
      </c>
      <c r="R32" s="484">
        <v>47238</v>
      </c>
      <c r="S32" s="504" t="s">
        <v>146</v>
      </c>
      <c r="T32" s="505">
        <f>Tabla3[[#This Row],[Cantidad]]*Tabla3[[#This Row],[Cortes]]</f>
        <v>150000</v>
      </c>
      <c r="U32" s="506">
        <f t="shared" si="0"/>
        <v>122977.08551114664</v>
      </c>
      <c r="V32" s="506">
        <f t="shared" si="1"/>
        <v>122955.39308140436</v>
      </c>
      <c r="W32" s="487">
        <f>IF(Tabla3[[#This Row],[Fecha de operación]]=$C$1,0,U32-V32)</f>
        <v>21.692429742281092</v>
      </c>
      <c r="X32" s="507" t="str">
        <f t="shared" si="9"/>
        <v>Vigente</v>
      </c>
      <c r="Y32" s="489" t="s">
        <v>450</v>
      </c>
      <c r="Z32" s="488">
        <f t="shared" si="10"/>
        <v>1126</v>
      </c>
      <c r="AA32" s="508">
        <f>IF(Y32="Mensual",DURATION($C$1,$C$1+Z32*12,J32/12,O32/12,1)/12,DURATION($C$1,R32,J32,O32,IF(Y32="Cupón cero",1,IF(Y32="Al vencimiento",1,IF(Y32="Anual",1,IF(Y32="Semestral",2,IF(Y32="Trimestral",4,"")))))))</f>
        <v>2.7882997107660987</v>
      </c>
      <c r="AB32" s="508">
        <f>IF(Y32="Mensual",MDURATION($C$1,$C$1+Z32*12,J32/12,O32/12,1)/12,MDURATION($C$1,R32,J32,O32,IF(Y32="Cupón cero",1,IF(Y32="Al vencimiento",1,IF(Y32="Anual",1,IF(Y32="Semestral",2,IF(Y32="Trimestral",4,"")))))))</f>
        <v>2.7426970637225825</v>
      </c>
      <c r="AC32" s="488" t="s">
        <v>451</v>
      </c>
      <c r="AD32" s="488" t="s">
        <v>452</v>
      </c>
      <c r="AG32" s="605">
        <f>+IF(Tabla3[[#This Row],[Amortización k | cupón de intereses]]="Amortización de K",Tabla3[[#This Row],[Valor Nominal]],0)</f>
        <v>150000</v>
      </c>
      <c r="AH32" s="605">
        <f>+IF(AND(Tabla3[[#This Row],[Amortización k | cupón de intereses]]="Cupón de interés",Tabla3[[#This Row],[Estado]]="Vigente"),Tabla3[[#This Row],[Valor Nominal]],0)</f>
        <v>0</v>
      </c>
      <c r="AI32" s="618">
        <f>+IF(Tabla3[[#This Row],[Amortización k | cupón de intereses]]="Amortización de K",SUMIFS($AH$7:$AH$557,Tabla3[Código Emisión],Tabla3[[#This Row],[Código Emisión]],Tabla3[Fecha de operación],Tabla3[[#This Row],[Fecha de operación]]),0)-Tabla3[[#This Row],[Accrued]]*Tabla3[[#This Row],[Valor Nominal]]</f>
        <v>30078.081437671237</v>
      </c>
      <c r="AJ32" s="605">
        <f>+IF(Tabla3[[#This Row],[Amortización k | cupón de intereses]]="Amortización de K",IF(Tabla3[[#This Row],[Precio Clean]]&gt;1,Tabla3[[#This Row],[Valor Nominal]]*(Tabla3[[#This Row],[Precio Clean]]-1),0),0)</f>
        <v>32.503030510588893</v>
      </c>
      <c r="AK32" s="605">
        <f>+IF(Tabla3[[#This Row],[Amortización k | cupón de intereses]]="Amortización de K",IF(Tabla3[[#This Row],[Precio Clean]]&lt;1,Tabla3[[#This Row],[Valor Nominal]]*(Tabla3[[#This Row],[Precio Clean]]-1),0),0)</f>
        <v>0</v>
      </c>
      <c r="AN32" s="659">
        <v>13080229902001</v>
      </c>
      <c r="AO32" s="663" t="s">
        <v>605</v>
      </c>
      <c r="AP32" s="661">
        <f ca="1">+SUMIF(Tabla3[Instrumento],$AO29,$AI$7:$AI$384)</f>
        <v>442712.32876712328</v>
      </c>
      <c r="AQ32" s="445"/>
    </row>
    <row r="33" spans="1:45">
      <c r="B33" s="437" t="str">
        <f>+B32</f>
        <v>Banco Basa SA</v>
      </c>
      <c r="C33" s="437" t="str">
        <f>+C32</f>
        <v>PYBAM01F0358</v>
      </c>
      <c r="D33" s="437" t="str">
        <f>+D32</f>
        <v>Bonos Financieros</v>
      </c>
      <c r="E33" s="437" t="str">
        <f>+E32</f>
        <v>AA-py</v>
      </c>
      <c r="F33" s="437" t="s">
        <v>297</v>
      </c>
      <c r="G33" s="437" t="s">
        <v>298</v>
      </c>
      <c r="H33" s="437">
        <f>+H32</f>
        <v>150</v>
      </c>
      <c r="I33" s="492">
        <v>16.739726000000001</v>
      </c>
      <c r="J33" s="451"/>
      <c r="L33" s="442"/>
      <c r="M33" s="493"/>
      <c r="N33" s="493"/>
      <c r="O33" s="494">
        <f>$O$7</f>
        <v>6.6508695483207689E-2</v>
      </c>
      <c r="P33" s="494">
        <f>$P$7</f>
        <v>6.4911470005821315E-2</v>
      </c>
      <c r="Q33" s="450">
        <f>+Q32</f>
        <v>45819</v>
      </c>
      <c r="R33" s="450">
        <v>47238</v>
      </c>
      <c r="S33" s="509" t="s">
        <v>146</v>
      </c>
      <c r="T33" s="510">
        <f>Tabla3[[#This Row],[Cantidad]]*Tabla3[[#This Row],[Cortes]]</f>
        <v>2510.9589000000001</v>
      </c>
      <c r="U33" s="511">
        <f t="shared" si="0"/>
        <v>2058.5970369773354</v>
      </c>
      <c r="V33" s="511">
        <f t="shared" si="1"/>
        <v>2058.2339076064691</v>
      </c>
      <c r="W33" s="497">
        <f>IF(Tabla3[[#This Row],[Fecha de operación]]=$C$1,0,U33-V33)</f>
        <v>0.36312937086631791</v>
      </c>
      <c r="X33" s="512" t="str">
        <f t="shared" si="9"/>
        <v>Vigente</v>
      </c>
      <c r="Y33" s="498"/>
      <c r="Z33" s="469">
        <f t="shared" si="10"/>
        <v>1126</v>
      </c>
      <c r="AA33" s="499">
        <f>AA32</f>
        <v>2.7882997107660987</v>
      </c>
      <c r="AB33" s="499">
        <f>AB32</f>
        <v>2.7426970637225825</v>
      </c>
      <c r="AC33" s="469" t="s">
        <v>451</v>
      </c>
      <c r="AD33" s="469" t="s">
        <v>454</v>
      </c>
      <c r="AG33" s="605">
        <f>+IF(Tabla3[[#This Row],[Amortización k | cupón de intereses]]="Amortización de K",Tabla3[[#This Row],[Valor Nominal]],0)</f>
        <v>0</v>
      </c>
      <c r="AH33" s="605">
        <f>+IF(AND(Tabla3[[#This Row],[Amortización k | cupón de intereses]]="Cupón de interés",Tabla3[[#This Row],[Estado]]="Vigente"),Tabla3[[#This Row],[Valor Nominal]],0)</f>
        <v>2510.9589000000001</v>
      </c>
      <c r="AI33" s="618">
        <f>+IF(Tabla3[[#This Row],[Amortización k | cupón de intereses]]="Amortización de K",SUMIFS($AH$7:$AH$557,Tabla3[Código Emisión],Tabla3[[#This Row],[Código Emisión]],Tabla3[Fecha de operación],Tabla3[[#This Row],[Fecha de operación]]),0)-Tabla3[[#This Row],[Accrued]]*Tabla3[[#This Row],[Valor Nominal]]</f>
        <v>0</v>
      </c>
      <c r="AJ33" s="605">
        <f>+IF(Tabla3[[#This Row],[Amortización k | cupón de intereses]]="Amortización de K",IF(Tabla3[[#This Row],[Precio Clean]]&gt;1,Tabla3[[#This Row],[Valor Nominal]]*(Tabla3[[#This Row],[Precio Clean]]-1),0),0)</f>
        <v>0</v>
      </c>
      <c r="AK33" s="605">
        <f>+IF(Tabla3[[#This Row],[Amortización k | cupón de intereses]]="Amortización de K",IF(Tabla3[[#This Row],[Precio Clean]]&lt;1,Tabla3[[#This Row],[Valor Nominal]]*(Tabla3[[#This Row],[Precio Clean]]-1),0),0)</f>
        <v>0</v>
      </c>
      <c r="AN33" s="463">
        <v>12010259002001</v>
      </c>
      <c r="AO33" s="437" t="s">
        <v>606</v>
      </c>
      <c r="AP33" s="608">
        <f ca="1">+SUMIF(Tabla3[Instrumento],$AO29,$AJ$7:$AJ$384)</f>
        <v>0</v>
      </c>
      <c r="AQ33" s="445"/>
    </row>
    <row r="34" spans="1:45">
      <c r="B34" s="437" t="str">
        <f>+B33</f>
        <v>Banco Basa SA</v>
      </c>
      <c r="C34" s="437" t="str">
        <f t="shared" ref="C34:H47" si="14">+C33</f>
        <v>PYBAM01F0358</v>
      </c>
      <c r="D34" s="437" t="str">
        <f>+D33</f>
        <v>Bonos Financieros</v>
      </c>
      <c r="E34" s="437" t="str">
        <f>+E33</f>
        <v>AA-py</v>
      </c>
      <c r="F34" s="437" t="str">
        <f t="shared" ref="F34:H41" si="15">+F33</f>
        <v>Financiero</v>
      </c>
      <c r="G34" s="437" t="str">
        <f t="shared" si="15"/>
        <v>Paraguay</v>
      </c>
      <c r="H34" s="437">
        <f t="shared" si="15"/>
        <v>150</v>
      </c>
      <c r="I34" s="492">
        <v>16.205479</v>
      </c>
      <c r="J34" s="451"/>
      <c r="L34" s="442"/>
      <c r="M34" s="493"/>
      <c r="N34" s="493"/>
      <c r="O34" s="494">
        <f>+O33</f>
        <v>6.6508695483207689E-2</v>
      </c>
      <c r="P34" s="494">
        <f>+P33</f>
        <v>6.4911470005821315E-2</v>
      </c>
      <c r="Q34" s="450">
        <f>+Q33</f>
        <v>45819</v>
      </c>
      <c r="R34" s="450">
        <v>47144</v>
      </c>
      <c r="S34" s="509" t="s">
        <v>146</v>
      </c>
      <c r="T34" s="510">
        <f>Tabla3[[#This Row],[Cantidad]]*Tabla3[[#This Row],[Cortes]]</f>
        <v>2430.8218500000003</v>
      </c>
      <c r="U34" s="511">
        <f t="shared" si="0"/>
        <v>2026.2202973784717</v>
      </c>
      <c r="V34" s="511">
        <f t="shared" si="1"/>
        <v>2025.8628791520744</v>
      </c>
      <c r="W34" s="497">
        <f>IF(Tabla3[[#This Row],[Fecha de operación]]=$C$1,0,U34-V34)</f>
        <v>0.3574182263973853</v>
      </c>
      <c r="X34" s="512" t="str">
        <f>IF(R34&lt;=$U$5,"Vencido","Vigente")</f>
        <v>Vigente</v>
      </c>
      <c r="Y34" s="498"/>
      <c r="Z34" s="469">
        <f>+R34-$U$5</f>
        <v>1032</v>
      </c>
      <c r="AA34" s="499">
        <f t="shared" ref="AA34:AB47" si="16">AA33</f>
        <v>2.7882997107660987</v>
      </c>
      <c r="AB34" s="499">
        <f t="shared" si="16"/>
        <v>2.7426970637225825</v>
      </c>
      <c r="AC34" s="469" t="s">
        <v>451</v>
      </c>
      <c r="AD34" s="469" t="s">
        <v>454</v>
      </c>
      <c r="AG34" s="605">
        <f>+IF(Tabla3[[#This Row],[Amortización k | cupón de intereses]]="Amortización de K",Tabla3[[#This Row],[Valor Nominal]],0)</f>
        <v>0</v>
      </c>
      <c r="AH34" s="605">
        <f>+IF(AND(Tabla3[[#This Row],[Amortización k | cupón de intereses]]="Cupón de interés",Tabla3[[#This Row],[Estado]]="Vigente"),Tabla3[[#This Row],[Valor Nominal]],0)</f>
        <v>2430.8218500000003</v>
      </c>
      <c r="AI34" s="618">
        <f>+IF(Tabla3[[#This Row],[Amortización k | cupón de intereses]]="Amortización de K",SUMIFS($AH$7:$AH$557,Tabla3[Código Emisión],Tabla3[[#This Row],[Código Emisión]],Tabla3[Fecha de operación],Tabla3[[#This Row],[Fecha de operación]]),0)-Tabla3[[#This Row],[Accrued]]*Tabla3[[#This Row],[Valor Nominal]]</f>
        <v>0</v>
      </c>
      <c r="AJ34" s="605">
        <f>+IF(Tabla3[[#This Row],[Amortización k | cupón de intereses]]="Amortización de K",IF(Tabla3[[#This Row],[Precio Clean]]&gt;1,Tabla3[[#This Row],[Valor Nominal]]*(Tabla3[[#This Row],[Precio Clean]]-1),0),0)</f>
        <v>0</v>
      </c>
      <c r="AK34" s="605">
        <f>+IF(Tabla3[[#This Row],[Amortización k | cupón de intereses]]="Amortización de K",IF(Tabla3[[#This Row],[Precio Clean]]&lt;1,Tabla3[[#This Row],[Valor Nominal]]*(Tabla3[[#This Row],[Precio Clean]]-1),0),0)</f>
        <v>0</v>
      </c>
      <c r="AN34" s="463">
        <v>22010146002001</v>
      </c>
      <c r="AO34" s="437" t="s">
        <v>607</v>
      </c>
      <c r="AP34" s="608">
        <f ca="1">+SUMIF(Tabla3[Instrumento],$AO29,$AK$7:$AK$384)</f>
        <v>-10101.63348854154</v>
      </c>
      <c r="AQ34" s="445"/>
    </row>
    <row r="35" spans="1:45">
      <c r="B35" s="437" t="str">
        <f t="shared" ref="B35:B47" si="17">+B34</f>
        <v>Banco Basa SA</v>
      </c>
      <c r="C35" s="437" t="str">
        <f t="shared" si="14"/>
        <v>PYBAM01F0358</v>
      </c>
      <c r="D35" s="437" t="str">
        <f t="shared" si="14"/>
        <v>Bonos Financieros</v>
      </c>
      <c r="E35" s="437" t="str">
        <f t="shared" si="14"/>
        <v>AA-py</v>
      </c>
      <c r="F35" s="437" t="str">
        <f t="shared" si="15"/>
        <v>Financiero</v>
      </c>
      <c r="G35" s="437" t="str">
        <f t="shared" si="15"/>
        <v>Paraguay</v>
      </c>
      <c r="H35" s="437">
        <f t="shared" si="15"/>
        <v>150</v>
      </c>
      <c r="I35" s="492">
        <v>16.205479</v>
      </c>
      <c r="J35" s="451"/>
      <c r="L35" s="442"/>
      <c r="M35" s="493"/>
      <c r="N35" s="493"/>
      <c r="O35" s="494">
        <f t="shared" ref="O35:Q47" si="18">+O34</f>
        <v>6.6508695483207689E-2</v>
      </c>
      <c r="P35" s="494">
        <f t="shared" si="18"/>
        <v>6.4911470005821315E-2</v>
      </c>
      <c r="Q35" s="450">
        <f t="shared" si="18"/>
        <v>45819</v>
      </c>
      <c r="R35" s="450">
        <v>47053</v>
      </c>
      <c r="S35" s="509" t="s">
        <v>146</v>
      </c>
      <c r="T35" s="510">
        <f>Tabla3[[#This Row],[Cantidad]]*Tabla3[[#This Row],[Cortes]]</f>
        <v>2430.8218500000003</v>
      </c>
      <c r="U35" s="511">
        <f t="shared" si="0"/>
        <v>2059.0107212953608</v>
      </c>
      <c r="V35" s="511">
        <f t="shared" si="1"/>
        <v>2058.6475189520174</v>
      </c>
      <c r="W35" s="497">
        <f>IF(Tabla3[[#This Row],[Fecha de operación]]=$C$1,0,U35-V35)</f>
        <v>0.363202343343346</v>
      </c>
      <c r="X35" s="512" t="str">
        <f>IF(R35&lt;=$U$5,"Vencido","Vigente")</f>
        <v>Vigente</v>
      </c>
      <c r="Y35" s="498"/>
      <c r="Z35" s="469">
        <f>+R35-$U$5</f>
        <v>941</v>
      </c>
      <c r="AA35" s="499">
        <f t="shared" si="16"/>
        <v>2.7882997107660987</v>
      </c>
      <c r="AB35" s="499">
        <f t="shared" si="16"/>
        <v>2.7426970637225825</v>
      </c>
      <c r="AC35" s="469" t="s">
        <v>451</v>
      </c>
      <c r="AD35" s="469" t="s">
        <v>454</v>
      </c>
      <c r="AG35" s="605">
        <f>+IF(Tabla3[[#This Row],[Amortización k | cupón de intereses]]="Amortización de K",Tabla3[[#This Row],[Valor Nominal]],0)</f>
        <v>0</v>
      </c>
      <c r="AH35" s="605">
        <f>+IF(AND(Tabla3[[#This Row],[Amortización k | cupón de intereses]]="Cupón de interés",Tabla3[[#This Row],[Estado]]="Vigente"),Tabla3[[#This Row],[Valor Nominal]],0)</f>
        <v>2430.8218500000003</v>
      </c>
      <c r="AI35" s="618">
        <f>+IF(Tabla3[[#This Row],[Amortización k | cupón de intereses]]="Amortización de K",SUMIFS($AH$7:$AH$557,Tabla3[Código Emisión],Tabla3[[#This Row],[Código Emisión]],Tabla3[Fecha de operación],Tabla3[[#This Row],[Fecha de operación]]),0)-Tabla3[[#This Row],[Accrued]]*Tabla3[[#This Row],[Valor Nominal]]</f>
        <v>0</v>
      </c>
      <c r="AJ35" s="605">
        <f>+IF(Tabla3[[#This Row],[Amortización k | cupón de intereses]]="Amortización de K",IF(Tabla3[[#This Row],[Precio Clean]]&gt;1,Tabla3[[#This Row],[Valor Nominal]]*(Tabla3[[#This Row],[Precio Clean]]-1),0),0)</f>
        <v>0</v>
      </c>
      <c r="AK35" s="605">
        <f>+IF(Tabla3[[#This Row],[Amortización k | cupón de intereses]]="Amortización de K",IF(Tabla3[[#This Row],[Precio Clean]]&lt;1,Tabla3[[#This Row],[Valor Nominal]]*(Tabla3[[#This Row],[Precio Clean]]-1),0),0)</f>
        <v>0</v>
      </c>
      <c r="AN35" s="463"/>
      <c r="AR35" s="621"/>
    </row>
    <row r="36" spans="1:45">
      <c r="B36" s="437" t="str">
        <f t="shared" si="17"/>
        <v>Banco Basa SA</v>
      </c>
      <c r="C36" s="437" t="str">
        <f t="shared" si="14"/>
        <v>PYBAM01F0358</v>
      </c>
      <c r="D36" s="437" t="str">
        <f t="shared" si="14"/>
        <v>Bonos Financieros</v>
      </c>
      <c r="E36" s="437" t="str">
        <f t="shared" si="14"/>
        <v>AA-py</v>
      </c>
      <c r="F36" s="437" t="str">
        <f t="shared" si="15"/>
        <v>Financiero</v>
      </c>
      <c r="G36" s="437" t="str">
        <f t="shared" si="15"/>
        <v>Paraguay</v>
      </c>
      <c r="H36" s="437">
        <f t="shared" si="15"/>
        <v>150</v>
      </c>
      <c r="I36" s="492">
        <v>16.205479</v>
      </c>
      <c r="J36" s="451"/>
      <c r="L36" s="442"/>
      <c r="M36" s="493"/>
      <c r="N36" s="493"/>
      <c r="O36" s="494">
        <f t="shared" si="18"/>
        <v>6.6508695483207689E-2</v>
      </c>
      <c r="P36" s="494">
        <f t="shared" si="18"/>
        <v>6.4911470005821315E-2</v>
      </c>
      <c r="Q36" s="450">
        <f t="shared" si="18"/>
        <v>45819</v>
      </c>
      <c r="R36" s="450">
        <v>46962</v>
      </c>
      <c r="S36" s="509" t="s">
        <v>146</v>
      </c>
      <c r="T36" s="510">
        <f>Tabla3[[#This Row],[Cantidad]]*Tabla3[[#This Row],[Cortes]]</f>
        <v>2430.8218500000003</v>
      </c>
      <c r="U36" s="511">
        <f t="shared" si="0"/>
        <v>2092.331794274467</v>
      </c>
      <c r="V36" s="511">
        <f t="shared" si="1"/>
        <v>2091.9627142095246</v>
      </c>
      <c r="W36" s="497">
        <f>IF(Tabla3[[#This Row],[Fecha de operación]]=$C$1,0,U36-V36)</f>
        <v>0.36908006494240908</v>
      </c>
      <c r="X36" s="512" t="str">
        <f>IF(R36&lt;=$U$5,"Vencido","Vigente")</f>
        <v>Vigente</v>
      </c>
      <c r="Y36" s="498"/>
      <c r="Z36" s="469">
        <f>+R36-$U$5</f>
        <v>850</v>
      </c>
      <c r="AA36" s="499">
        <f t="shared" si="16"/>
        <v>2.7882997107660987</v>
      </c>
      <c r="AB36" s="499">
        <f t="shared" si="16"/>
        <v>2.7426970637225825</v>
      </c>
      <c r="AC36" s="469" t="s">
        <v>451</v>
      </c>
      <c r="AD36" s="469" t="s">
        <v>454</v>
      </c>
      <c r="AG36" s="605">
        <f>+IF(Tabla3[[#This Row],[Amortización k | cupón de intereses]]="Amortización de K",Tabla3[[#This Row],[Valor Nominal]],0)</f>
        <v>0</v>
      </c>
      <c r="AH36" s="605">
        <f>+IF(AND(Tabla3[[#This Row],[Amortización k | cupón de intereses]]="Cupón de interés",Tabla3[[#This Row],[Estado]]="Vigente"),Tabla3[[#This Row],[Valor Nominal]],0)</f>
        <v>2430.8218500000003</v>
      </c>
      <c r="AI36" s="618">
        <f>+IF(Tabla3[[#This Row],[Amortización k | cupón de intereses]]="Amortización de K",SUMIFS($AH$7:$AH$557,Tabla3[Código Emisión],Tabla3[[#This Row],[Código Emisión]],Tabla3[Fecha de operación],Tabla3[[#This Row],[Fecha de operación]]),0)-Tabla3[[#This Row],[Accrued]]*Tabla3[[#This Row],[Valor Nominal]]</f>
        <v>0</v>
      </c>
      <c r="AJ36" s="605">
        <f>+IF(Tabla3[[#This Row],[Amortización k | cupón de intereses]]="Amortización de K",IF(Tabla3[[#This Row],[Precio Clean]]&gt;1,Tabla3[[#This Row],[Valor Nominal]]*(Tabla3[[#This Row],[Precio Clean]]-1),0),0)</f>
        <v>0</v>
      </c>
      <c r="AK36" s="605">
        <f>+IF(Tabla3[[#This Row],[Amortización k | cupón de intereses]]="Amortización de K",IF(Tabla3[[#This Row],[Precio Clean]]&lt;1,Tabla3[[#This Row],[Valor Nominal]]*(Tabla3[[#This Row],[Precio Clean]]-1),0),0)</f>
        <v>0</v>
      </c>
      <c r="AN36" s="463"/>
      <c r="AO36" s="490" t="s">
        <v>359</v>
      </c>
      <c r="AP36" s="620">
        <f ca="1">+AP37+AP38-AP39+AP40+AP41</f>
        <v>198452.9881349577</v>
      </c>
      <c r="AQ36" s="608">
        <f>+SUMIFS(Tabla3[Valor Presente o Contable],Tabla3[Instrumento],AO36)</f>
        <v>198452.98813495768</v>
      </c>
      <c r="AR36" s="444">
        <f ca="1">+AP36-AQ36</f>
        <v>0</v>
      </c>
    </row>
    <row r="37" spans="1:45">
      <c r="B37" s="437" t="str">
        <f t="shared" si="17"/>
        <v>Banco Basa SA</v>
      </c>
      <c r="C37" s="437" t="str">
        <f t="shared" si="14"/>
        <v>PYBAM01F0358</v>
      </c>
      <c r="D37" s="437" t="str">
        <f t="shared" si="14"/>
        <v>Bonos Financieros</v>
      </c>
      <c r="E37" s="437" t="str">
        <f t="shared" si="14"/>
        <v>AA-py</v>
      </c>
      <c r="F37" s="437" t="str">
        <f t="shared" si="15"/>
        <v>Financiero</v>
      </c>
      <c r="G37" s="437" t="str">
        <f t="shared" si="15"/>
        <v>Paraguay</v>
      </c>
      <c r="H37" s="437">
        <f t="shared" si="15"/>
        <v>150</v>
      </c>
      <c r="I37" s="492">
        <v>16.739726000000001</v>
      </c>
      <c r="J37" s="451"/>
      <c r="L37" s="442"/>
      <c r="M37" s="493"/>
      <c r="N37" s="493"/>
      <c r="O37" s="494">
        <f t="shared" si="18"/>
        <v>6.6508695483207689E-2</v>
      </c>
      <c r="P37" s="494">
        <f t="shared" si="18"/>
        <v>6.4911470005821315E-2</v>
      </c>
      <c r="Q37" s="450">
        <f t="shared" si="18"/>
        <v>45819</v>
      </c>
      <c r="R37" s="450">
        <v>46871</v>
      </c>
      <c r="S37" s="509" t="s">
        <v>146</v>
      </c>
      <c r="T37" s="510">
        <f>Tabla3[[#This Row],[Cantidad]]*Tabla3[[#This Row],[Cortes]]</f>
        <v>2510.9589000000001</v>
      </c>
      <c r="U37" s="511">
        <f t="shared" si="0"/>
        <v>2196.2864066886123</v>
      </c>
      <c r="V37" s="511">
        <f t="shared" si="1"/>
        <v>2195.8989893909202</v>
      </c>
      <c r="W37" s="497">
        <f>IF(Tabla3[[#This Row],[Fecha de operación]]=$C$1,0,U37-V37)</f>
        <v>0.38741729769208177</v>
      </c>
      <c r="X37" s="512" t="str">
        <f t="shared" ref="X37:X100" si="19">IF(R37&lt;=$U$5,"Vencido","Vigente")</f>
        <v>Vigente</v>
      </c>
      <c r="Y37" s="498"/>
      <c r="Z37" s="469">
        <f t="shared" ref="Z37:Z100" si="20">+R37-$U$5</f>
        <v>759</v>
      </c>
      <c r="AA37" s="499">
        <f t="shared" si="16"/>
        <v>2.7882997107660987</v>
      </c>
      <c r="AB37" s="499">
        <f t="shared" si="16"/>
        <v>2.7426970637225825</v>
      </c>
      <c r="AC37" s="469" t="s">
        <v>451</v>
      </c>
      <c r="AD37" s="469" t="s">
        <v>454</v>
      </c>
      <c r="AG37" s="605">
        <f>+IF(Tabla3[[#This Row],[Amortización k | cupón de intereses]]="Amortización de K",Tabla3[[#This Row],[Valor Nominal]],0)</f>
        <v>0</v>
      </c>
      <c r="AH37" s="605">
        <f>+IF(AND(Tabla3[[#This Row],[Amortización k | cupón de intereses]]="Cupón de interés",Tabla3[[#This Row],[Estado]]="Vigente"),Tabla3[[#This Row],[Valor Nominal]],0)</f>
        <v>2510.9589000000001</v>
      </c>
      <c r="AI37" s="618">
        <f>+IF(Tabla3[[#This Row],[Amortización k | cupón de intereses]]="Amortización de K",SUMIFS($AH$7:$AH$557,Tabla3[Código Emisión],Tabla3[[#This Row],[Código Emisión]],Tabla3[Fecha de operación],Tabla3[[#This Row],[Fecha de operación]]),0)-Tabla3[[#This Row],[Accrued]]*Tabla3[[#This Row],[Valor Nominal]]</f>
        <v>0</v>
      </c>
      <c r="AJ37" s="605">
        <f>+IF(Tabla3[[#This Row],[Amortización k | cupón de intereses]]="Amortización de K",IF(Tabla3[[#This Row],[Precio Clean]]&gt;1,Tabla3[[#This Row],[Valor Nominal]]*(Tabla3[[#This Row],[Precio Clean]]-1),0),0)</f>
        <v>0</v>
      </c>
      <c r="AK37" s="605">
        <f>+IF(Tabla3[[#This Row],[Amortización k | cupón de intereses]]="Amortización de K",IF(Tabla3[[#This Row],[Precio Clean]]&lt;1,Tabla3[[#This Row],[Valor Nominal]]*(Tabla3[[#This Row],[Precio Clean]]-1),0),0)</f>
        <v>0</v>
      </c>
      <c r="AN37" s="659">
        <v>12010115003001</v>
      </c>
      <c r="AO37" s="663" t="s">
        <v>476</v>
      </c>
      <c r="AP37" s="661">
        <f ca="1">+SUMIF(Tabla3[Instrumento],$AO$36,$AG$7:$AG$520)</f>
        <v>200000</v>
      </c>
      <c r="AR37" s="622"/>
    </row>
    <row r="38" spans="1:45">
      <c r="B38" s="437" t="str">
        <f t="shared" si="17"/>
        <v>Banco Basa SA</v>
      </c>
      <c r="C38" s="437" t="str">
        <f t="shared" si="14"/>
        <v>PYBAM01F0358</v>
      </c>
      <c r="D38" s="437" t="str">
        <f t="shared" si="14"/>
        <v>Bonos Financieros</v>
      </c>
      <c r="E38" s="437" t="str">
        <f t="shared" si="14"/>
        <v>AA-py</v>
      </c>
      <c r="F38" s="437" t="str">
        <f t="shared" si="15"/>
        <v>Financiero</v>
      </c>
      <c r="G38" s="437" t="str">
        <f t="shared" si="15"/>
        <v>Paraguay</v>
      </c>
      <c r="H38" s="437">
        <f t="shared" si="15"/>
        <v>150</v>
      </c>
      <c r="I38" s="492">
        <v>16.205479</v>
      </c>
      <c r="J38" s="451"/>
      <c r="L38" s="442"/>
      <c r="M38" s="493"/>
      <c r="N38" s="493"/>
      <c r="O38" s="494">
        <f t="shared" si="18"/>
        <v>6.6508695483207689E-2</v>
      </c>
      <c r="P38" s="494">
        <f t="shared" si="18"/>
        <v>6.4911470005821315E-2</v>
      </c>
      <c r="Q38" s="450">
        <f t="shared" si="18"/>
        <v>45819</v>
      </c>
      <c r="R38" s="450">
        <v>46777</v>
      </c>
      <c r="S38" s="509" t="s">
        <v>146</v>
      </c>
      <c r="T38" s="510">
        <f>Tabla3[[#This Row],[Cantidad]]*Tabla3[[#This Row],[Cortes]]</f>
        <v>2430.8218500000003</v>
      </c>
      <c r="U38" s="511">
        <f t="shared" si="0"/>
        <v>2161.7441471805105</v>
      </c>
      <c r="V38" s="511">
        <f t="shared" si="1"/>
        <v>2161.3628230174813</v>
      </c>
      <c r="W38" s="497">
        <f>IF(Tabla3[[#This Row],[Fecha de operación]]=$C$1,0,U38-V38)</f>
        <v>0.38132416302914862</v>
      </c>
      <c r="X38" s="512" t="str">
        <f t="shared" si="19"/>
        <v>Vigente</v>
      </c>
      <c r="Y38" s="498"/>
      <c r="Z38" s="469">
        <f t="shared" si="20"/>
        <v>665</v>
      </c>
      <c r="AA38" s="499">
        <f t="shared" si="16"/>
        <v>2.7882997107660987</v>
      </c>
      <c r="AB38" s="499">
        <f t="shared" si="16"/>
        <v>2.7426970637225825</v>
      </c>
      <c r="AC38" s="469" t="s">
        <v>451</v>
      </c>
      <c r="AD38" s="469" t="s">
        <v>454</v>
      </c>
      <c r="AG38" s="605">
        <f>+IF(Tabla3[[#This Row],[Amortización k | cupón de intereses]]="Amortización de K",Tabla3[[#This Row],[Valor Nominal]],0)</f>
        <v>0</v>
      </c>
      <c r="AH38" s="605">
        <f>+IF(AND(Tabla3[[#This Row],[Amortización k | cupón de intereses]]="Cupón de interés",Tabla3[[#This Row],[Estado]]="Vigente"),Tabla3[[#This Row],[Valor Nominal]],0)</f>
        <v>2430.8218500000003</v>
      </c>
      <c r="AI38" s="618">
        <f>+IF(Tabla3[[#This Row],[Amortización k | cupón de intereses]]="Amortización de K",SUMIFS($AH$7:$AH$557,Tabla3[Código Emisión],Tabla3[[#This Row],[Código Emisión]],Tabla3[Fecha de operación],Tabla3[[#This Row],[Fecha de operación]]),0)-Tabla3[[#This Row],[Accrued]]*Tabla3[[#This Row],[Valor Nominal]]</f>
        <v>0</v>
      </c>
      <c r="AJ38" s="605">
        <f>+IF(Tabla3[[#This Row],[Amortización k | cupón de intereses]]="Amortización de K",IF(Tabla3[[#This Row],[Precio Clean]]&gt;1,Tabla3[[#This Row],[Valor Nominal]]*(Tabla3[[#This Row],[Precio Clean]]-1),0),0)</f>
        <v>0</v>
      </c>
      <c r="AK38" s="605">
        <f>+IF(Tabla3[[#This Row],[Amortización k | cupón de intereses]]="Amortización de K",IF(Tabla3[[#This Row],[Precio Clean]]&lt;1,Tabla3[[#This Row],[Valor Nominal]]*(Tabla3[[#This Row],[Precio Clean]]-1),0),0)</f>
        <v>0</v>
      </c>
      <c r="AN38" s="659">
        <v>13080225003001</v>
      </c>
      <c r="AO38" s="663" t="s">
        <v>477</v>
      </c>
      <c r="AP38" s="661">
        <f ca="1">+SUMIF(Tabla3[Instrumento],$AO$36,$AH$7:$AH$197)</f>
        <v>26926.0272</v>
      </c>
      <c r="AQ38" s="445"/>
      <c r="AR38" s="622"/>
    </row>
    <row r="39" spans="1:45">
      <c r="B39" s="437" t="str">
        <f t="shared" si="17"/>
        <v>Banco Basa SA</v>
      </c>
      <c r="C39" s="437" t="str">
        <f t="shared" si="14"/>
        <v>PYBAM01F0358</v>
      </c>
      <c r="D39" s="437" t="str">
        <f t="shared" si="14"/>
        <v>Bonos Financieros</v>
      </c>
      <c r="E39" s="437" t="str">
        <f t="shared" si="14"/>
        <v>AA-py</v>
      </c>
      <c r="F39" s="437" t="str">
        <f t="shared" si="15"/>
        <v>Financiero</v>
      </c>
      <c r="G39" s="437" t="str">
        <f t="shared" si="15"/>
        <v>Paraguay</v>
      </c>
      <c r="H39" s="437">
        <f t="shared" si="15"/>
        <v>150</v>
      </c>
      <c r="I39" s="492">
        <v>16.205479</v>
      </c>
      <c r="J39" s="451"/>
      <c r="L39" s="442"/>
      <c r="M39" s="493"/>
      <c r="N39" s="493"/>
      <c r="O39" s="494">
        <f t="shared" si="18"/>
        <v>6.6508695483207689E-2</v>
      </c>
      <c r="P39" s="494">
        <f t="shared" si="18"/>
        <v>6.4911470005821315E-2</v>
      </c>
      <c r="Q39" s="450">
        <f t="shared" si="18"/>
        <v>45819</v>
      </c>
      <c r="R39" s="450">
        <v>46686</v>
      </c>
      <c r="S39" s="509" t="s">
        <v>146</v>
      </c>
      <c r="T39" s="510">
        <f>Tabla3[[#This Row],[Cantidad]]*Tabla3[[#This Row],[Cortes]]</f>
        <v>2430.8218500000003</v>
      </c>
      <c r="U39" s="511">
        <f t="shared" si="0"/>
        <v>2196.7277603037296</v>
      </c>
      <c r="V39" s="511">
        <f t="shared" si="1"/>
        <v>2196.3402651527922</v>
      </c>
      <c r="W39" s="497">
        <f>IF(Tabla3[[#This Row],[Fecha de operación]]=$C$1,0,U39-V39)</f>
        <v>0.38749515093741138</v>
      </c>
      <c r="X39" s="512" t="str">
        <f t="shared" si="19"/>
        <v>Vigente</v>
      </c>
      <c r="Y39" s="498"/>
      <c r="Z39" s="469">
        <f t="shared" si="20"/>
        <v>574</v>
      </c>
      <c r="AA39" s="499">
        <f t="shared" si="16"/>
        <v>2.7882997107660987</v>
      </c>
      <c r="AB39" s="499">
        <f t="shared" si="16"/>
        <v>2.7426970637225825</v>
      </c>
      <c r="AC39" s="469" t="s">
        <v>451</v>
      </c>
      <c r="AD39" s="469" t="s">
        <v>454</v>
      </c>
      <c r="AG39" s="605">
        <f>+IF(Tabla3[[#This Row],[Amortización k | cupón de intereses]]="Amortización de K",Tabla3[[#This Row],[Valor Nominal]],0)</f>
        <v>0</v>
      </c>
      <c r="AH39" s="605">
        <f>+IF(AND(Tabla3[[#This Row],[Amortización k | cupón de intereses]]="Cupón de interés",Tabla3[[#This Row],[Estado]]="Vigente"),Tabla3[[#This Row],[Valor Nominal]],0)</f>
        <v>2430.8218500000003</v>
      </c>
      <c r="AI39" s="618">
        <f>+IF(Tabla3[[#This Row],[Amortización k | cupón de intereses]]="Amortización de K",SUMIFS($AH$7:$AH$557,Tabla3[Código Emisión],Tabla3[[#This Row],[Código Emisión]],Tabla3[Fecha de operación],Tabla3[[#This Row],[Fecha de operación]]),0)-Tabla3[[#This Row],[Accrued]]*Tabla3[[#This Row],[Valor Nominal]]</f>
        <v>0</v>
      </c>
      <c r="AJ39" s="605">
        <f>+IF(Tabla3[[#This Row],[Amortización k | cupón de intereses]]="Amortización de K",IF(Tabla3[[#This Row],[Precio Clean]]&gt;1,Tabla3[[#This Row],[Valor Nominal]]*(Tabla3[[#This Row],[Precio Clean]]-1),0),0)</f>
        <v>0</v>
      </c>
      <c r="AK39" s="605">
        <f>+IF(Tabla3[[#This Row],[Amortización k | cupón de intereses]]="Amortización de K",IF(Tabla3[[#This Row],[Precio Clean]]&lt;1,Tabla3[[#This Row],[Valor Nominal]]*(Tabla3[[#This Row],[Precio Clean]]-1),0),0)</f>
        <v>0</v>
      </c>
      <c r="AN39" s="659">
        <v>13080225903001</v>
      </c>
      <c r="AO39" s="663" t="s">
        <v>478</v>
      </c>
      <c r="AP39" s="661">
        <f ca="1">+SUMIF(Tabla3[Instrumento],$AO36,$AI$7:$AI$384)</f>
        <v>24723.287473972603</v>
      </c>
      <c r="AQ39" s="445"/>
      <c r="AR39" s="622"/>
    </row>
    <row r="40" spans="1:45">
      <c r="B40" s="437" t="str">
        <f t="shared" si="17"/>
        <v>Banco Basa SA</v>
      </c>
      <c r="C40" s="437" t="str">
        <f t="shared" si="14"/>
        <v>PYBAM01F0358</v>
      </c>
      <c r="D40" s="437" t="str">
        <f t="shared" si="14"/>
        <v>Bonos Financieros</v>
      </c>
      <c r="E40" s="437" t="str">
        <f t="shared" si="14"/>
        <v>AA-py</v>
      </c>
      <c r="F40" s="437" t="str">
        <f t="shared" si="15"/>
        <v>Financiero</v>
      </c>
      <c r="G40" s="437" t="str">
        <f t="shared" si="15"/>
        <v>Paraguay</v>
      </c>
      <c r="H40" s="437">
        <f t="shared" si="15"/>
        <v>150</v>
      </c>
      <c r="I40" s="492">
        <v>16.205479</v>
      </c>
      <c r="J40" s="451"/>
      <c r="L40" s="442"/>
      <c r="M40" s="493"/>
      <c r="N40" s="493"/>
      <c r="O40" s="494">
        <f t="shared" si="18"/>
        <v>6.6508695483207689E-2</v>
      </c>
      <c r="P40" s="494">
        <f t="shared" si="18"/>
        <v>6.4911470005821315E-2</v>
      </c>
      <c r="Q40" s="450">
        <f t="shared" si="18"/>
        <v>45819</v>
      </c>
      <c r="R40" s="450">
        <v>46595</v>
      </c>
      <c r="S40" s="509" t="s">
        <v>146</v>
      </c>
      <c r="T40" s="510">
        <f>Tabla3[[#This Row],[Cantidad]]*Tabla3[[#This Row],[Cortes]]</f>
        <v>2430.8218500000003</v>
      </c>
      <c r="U40" s="511">
        <f t="shared" si="0"/>
        <v>2232.2775149792465</v>
      </c>
      <c r="V40" s="511">
        <f t="shared" si="1"/>
        <v>2231.8837489749958</v>
      </c>
      <c r="W40" s="497">
        <f>IF(Tabla3[[#This Row],[Fecha de operación]]=$C$1,0,U40-V40)</f>
        <v>0.39376600425066499</v>
      </c>
      <c r="X40" s="512" t="str">
        <f t="shared" si="19"/>
        <v>Vigente</v>
      </c>
      <c r="Y40" s="498"/>
      <c r="Z40" s="469">
        <f t="shared" si="20"/>
        <v>483</v>
      </c>
      <c r="AA40" s="499">
        <f t="shared" si="16"/>
        <v>2.7882997107660987</v>
      </c>
      <c r="AB40" s="499">
        <f t="shared" si="16"/>
        <v>2.7426970637225825</v>
      </c>
      <c r="AC40" s="469" t="s">
        <v>451</v>
      </c>
      <c r="AD40" s="469" t="s">
        <v>454</v>
      </c>
      <c r="AG40" s="605">
        <f>+IF(Tabla3[[#This Row],[Amortización k | cupón de intereses]]="Amortización de K",Tabla3[[#This Row],[Valor Nominal]],0)</f>
        <v>0</v>
      </c>
      <c r="AH40" s="605">
        <f>+IF(AND(Tabla3[[#This Row],[Amortización k | cupón de intereses]]="Cupón de interés",Tabla3[[#This Row],[Estado]]="Vigente"),Tabla3[[#This Row],[Valor Nominal]],0)</f>
        <v>2430.8218500000003</v>
      </c>
      <c r="AI40" s="618">
        <f>+IF(Tabla3[[#This Row],[Amortización k | cupón de intereses]]="Amortización de K",SUMIFS($AH$7:$AH$557,Tabla3[Código Emisión],Tabla3[[#This Row],[Código Emisión]],Tabla3[Fecha de operación],Tabla3[[#This Row],[Fecha de operación]]),0)-Tabla3[[#This Row],[Accrued]]*Tabla3[[#This Row],[Valor Nominal]]</f>
        <v>0</v>
      </c>
      <c r="AJ40" s="605">
        <f>+IF(Tabla3[[#This Row],[Amortización k | cupón de intereses]]="Amortización de K",IF(Tabla3[[#This Row],[Precio Clean]]&gt;1,Tabla3[[#This Row],[Valor Nominal]]*(Tabla3[[#This Row],[Precio Clean]]-1),0),0)</f>
        <v>0</v>
      </c>
      <c r="AK40" s="605">
        <f>+IF(Tabla3[[#This Row],[Amortización k | cupón de intereses]]="Amortización de K",IF(Tabla3[[#This Row],[Precio Clean]]&lt;1,Tabla3[[#This Row],[Valor Nominal]]*(Tabla3[[#This Row],[Precio Clean]]-1),0),0)</f>
        <v>0</v>
      </c>
      <c r="AN40" s="659">
        <v>12010121003001</v>
      </c>
      <c r="AO40" s="663" t="s">
        <v>479</v>
      </c>
      <c r="AP40" s="661">
        <f ca="1">+SUMIF(Tabla3[Instrumento],$AO36,$AJ$7:$AJ$384)</f>
        <v>0</v>
      </c>
      <c r="AQ40" s="445"/>
      <c r="AR40" s="622"/>
    </row>
    <row r="41" spans="1:45">
      <c r="B41" s="437" t="str">
        <f t="shared" si="17"/>
        <v>Banco Basa SA</v>
      </c>
      <c r="C41" s="437" t="str">
        <f t="shared" si="14"/>
        <v>PYBAM01F0358</v>
      </c>
      <c r="D41" s="437" t="str">
        <f t="shared" si="14"/>
        <v>Bonos Financieros</v>
      </c>
      <c r="E41" s="437" t="str">
        <f t="shared" si="14"/>
        <v>AA-py</v>
      </c>
      <c r="F41" s="437" t="str">
        <f t="shared" si="15"/>
        <v>Financiero</v>
      </c>
      <c r="G41" s="437" t="str">
        <f t="shared" si="15"/>
        <v>Paraguay</v>
      </c>
      <c r="H41" s="437">
        <f t="shared" si="15"/>
        <v>150</v>
      </c>
      <c r="I41" s="492">
        <v>16.205479</v>
      </c>
      <c r="J41" s="451"/>
      <c r="L41" s="442"/>
      <c r="M41" s="493"/>
      <c r="N41" s="493"/>
      <c r="O41" s="494">
        <f t="shared" si="18"/>
        <v>6.6508695483207689E-2</v>
      </c>
      <c r="P41" s="494">
        <f t="shared" si="18"/>
        <v>6.4911470005821315E-2</v>
      </c>
      <c r="Q41" s="450">
        <f t="shared" si="18"/>
        <v>45819</v>
      </c>
      <c r="R41" s="450">
        <v>46504</v>
      </c>
      <c r="S41" s="509" t="s">
        <v>146</v>
      </c>
      <c r="T41" s="510">
        <f>Tabla3[[#This Row],[Cantidad]]*Tabla3[[#This Row],[Cortes]]</f>
        <v>2430.8218500000003</v>
      </c>
      <c r="U41" s="511">
        <f t="shared" si="0"/>
        <v>2268.4025731039787</v>
      </c>
      <c r="V41" s="511">
        <f t="shared" si="1"/>
        <v>2268.0024347648837</v>
      </c>
      <c r="W41" s="497">
        <f>IF(Tabla3[[#This Row],[Fecha de operación]]=$C$1,0,U41-V41)</f>
        <v>0.40013833909506502</v>
      </c>
      <c r="X41" s="512" t="str">
        <f t="shared" si="19"/>
        <v>Vigente</v>
      </c>
      <c r="Y41" s="498"/>
      <c r="Z41" s="469">
        <f t="shared" si="20"/>
        <v>392</v>
      </c>
      <c r="AA41" s="499">
        <f t="shared" si="16"/>
        <v>2.7882997107660987</v>
      </c>
      <c r="AB41" s="499">
        <f t="shared" si="16"/>
        <v>2.7426970637225825</v>
      </c>
      <c r="AC41" s="469" t="s">
        <v>451</v>
      </c>
      <c r="AD41" s="469" t="s">
        <v>454</v>
      </c>
      <c r="AG41" s="605">
        <f>+IF(Tabla3[[#This Row],[Amortización k | cupón de intereses]]="Amortización de K",Tabla3[[#This Row],[Valor Nominal]],0)</f>
        <v>0</v>
      </c>
      <c r="AH41" s="605">
        <f>+IF(AND(Tabla3[[#This Row],[Amortización k | cupón de intereses]]="Cupón de interés",Tabla3[[#This Row],[Estado]]="Vigente"),Tabla3[[#This Row],[Valor Nominal]],0)</f>
        <v>2430.8218500000003</v>
      </c>
      <c r="AI41" s="618">
        <f>+IF(Tabla3[[#This Row],[Amortización k | cupón de intereses]]="Amortización de K",SUMIFS($AH$7:$AH$557,Tabla3[Código Emisión],Tabla3[[#This Row],[Código Emisión]],Tabla3[Fecha de operación],Tabla3[[#This Row],[Fecha de operación]]),0)-Tabla3[[#This Row],[Accrued]]*Tabla3[[#This Row],[Valor Nominal]]</f>
        <v>0</v>
      </c>
      <c r="AJ41" s="605">
        <f>+IF(Tabla3[[#This Row],[Amortización k | cupón de intereses]]="Amortización de K",IF(Tabla3[[#This Row],[Precio Clean]]&gt;1,Tabla3[[#This Row],[Valor Nominal]]*(Tabla3[[#This Row],[Precio Clean]]-1),0),0)</f>
        <v>0</v>
      </c>
      <c r="AK41" s="605">
        <f>+IF(Tabla3[[#This Row],[Amortización k | cupón de intereses]]="Amortización de K",IF(Tabla3[[#This Row],[Precio Clean]]&lt;1,Tabla3[[#This Row],[Valor Nominal]]*(Tabla3[[#This Row],[Precio Clean]]-1),0),0)</f>
        <v>0</v>
      </c>
      <c r="AN41" s="659">
        <v>22010110003001</v>
      </c>
      <c r="AO41" s="663" t="s">
        <v>480</v>
      </c>
      <c r="AP41" s="661">
        <f ca="1">+SUMIF(Tabla3[Instrumento],$AO36,$AK$7:$AK$384)</f>
        <v>-3749.7515910697166</v>
      </c>
      <c r="AQ41" s="445"/>
      <c r="AR41" s="622"/>
    </row>
    <row r="42" spans="1:45">
      <c r="B42" s="437" t="str">
        <f t="shared" si="17"/>
        <v>Banco Basa SA</v>
      </c>
      <c r="C42" s="437" t="str">
        <f t="shared" si="14"/>
        <v>PYBAM01F0358</v>
      </c>
      <c r="D42" s="437" t="str">
        <f t="shared" si="14"/>
        <v>Bonos Financieros</v>
      </c>
      <c r="E42" s="437" t="str">
        <f t="shared" si="14"/>
        <v>AA-py</v>
      </c>
      <c r="F42" s="437" t="str">
        <f t="shared" si="14"/>
        <v>Financiero</v>
      </c>
      <c r="G42" s="437" t="str">
        <f t="shared" si="14"/>
        <v>Paraguay</v>
      </c>
      <c r="H42" s="437">
        <f t="shared" si="14"/>
        <v>150</v>
      </c>
      <c r="I42" s="492">
        <v>16.205479</v>
      </c>
      <c r="J42" s="451"/>
      <c r="L42" s="442"/>
      <c r="M42" s="493"/>
      <c r="N42" s="493"/>
      <c r="O42" s="494">
        <f t="shared" si="18"/>
        <v>6.6508695483207689E-2</v>
      </c>
      <c r="P42" s="494">
        <f t="shared" si="18"/>
        <v>6.4911470005821315E-2</v>
      </c>
      <c r="Q42" s="450">
        <f t="shared" si="18"/>
        <v>45819</v>
      </c>
      <c r="R42" s="450">
        <v>46413</v>
      </c>
      <c r="S42" s="509" t="s">
        <v>146</v>
      </c>
      <c r="T42" s="510">
        <f>Tabla3[[#This Row],[Cantidad]]*Tabla3[[#This Row],[Cortes]]</f>
        <v>2430.8218500000003</v>
      </c>
      <c r="U42" s="511">
        <f t="shared" si="0"/>
        <v>2305.1122448422771</v>
      </c>
      <c r="V42" s="511">
        <f t="shared" si="1"/>
        <v>2304.7056310445255</v>
      </c>
      <c r="W42" s="497">
        <f>IF(Tabla3[[#This Row],[Fecha de operación]]=$C$1,0,U42-V42)</f>
        <v>0.40661379775156092</v>
      </c>
      <c r="X42" s="512" t="str">
        <f t="shared" si="19"/>
        <v>Vigente</v>
      </c>
      <c r="Y42" s="498"/>
      <c r="Z42" s="469">
        <f t="shared" si="20"/>
        <v>301</v>
      </c>
      <c r="AA42" s="499">
        <f t="shared" si="16"/>
        <v>2.7882997107660987</v>
      </c>
      <c r="AB42" s="499">
        <f t="shared" si="16"/>
        <v>2.7426970637225825</v>
      </c>
      <c r="AC42" s="469" t="s">
        <v>451</v>
      </c>
      <c r="AD42" s="469" t="s">
        <v>454</v>
      </c>
      <c r="AG42" s="605">
        <f>+IF(Tabla3[[#This Row],[Amortización k | cupón de intereses]]="Amortización de K",Tabla3[[#This Row],[Valor Nominal]],0)</f>
        <v>0</v>
      </c>
      <c r="AH42" s="605">
        <f>+IF(AND(Tabla3[[#This Row],[Amortización k | cupón de intereses]]="Cupón de interés",Tabla3[[#This Row],[Estado]]="Vigente"),Tabla3[[#This Row],[Valor Nominal]],0)</f>
        <v>2430.8218500000003</v>
      </c>
      <c r="AI42" s="618">
        <f>+IF(Tabla3[[#This Row],[Amortización k | cupón de intereses]]="Amortización de K",SUMIFS($AH$7:$AH$557,Tabla3[Código Emisión],Tabla3[[#This Row],[Código Emisión]],Tabla3[Fecha de operación],Tabla3[[#This Row],[Fecha de operación]]),0)-Tabla3[[#This Row],[Accrued]]*Tabla3[[#This Row],[Valor Nominal]]</f>
        <v>0</v>
      </c>
      <c r="AJ42" s="605">
        <f>+IF(Tabla3[[#This Row],[Amortización k | cupón de intereses]]="Amortización de K",IF(Tabla3[[#This Row],[Precio Clean]]&gt;1,Tabla3[[#This Row],[Valor Nominal]]*(Tabla3[[#This Row],[Precio Clean]]-1),0),0)</f>
        <v>0</v>
      </c>
      <c r="AK42" s="605">
        <f>+IF(Tabla3[[#This Row],[Amortización k | cupón de intereses]]="Amortización de K",IF(Tabla3[[#This Row],[Precio Clean]]&lt;1,Tabla3[[#This Row],[Valor Nominal]]*(Tabla3[[#This Row],[Precio Clean]]-1),0),0)</f>
        <v>0</v>
      </c>
      <c r="AQ42" s="445"/>
      <c r="AR42" s="622"/>
    </row>
    <row r="43" spans="1:45">
      <c r="B43" s="437" t="str">
        <f t="shared" si="17"/>
        <v>Banco Basa SA</v>
      </c>
      <c r="C43" s="437" t="str">
        <f t="shared" si="14"/>
        <v>PYBAM01F0358</v>
      </c>
      <c r="D43" s="437" t="str">
        <f t="shared" si="14"/>
        <v>Bonos Financieros</v>
      </c>
      <c r="E43" s="437" t="str">
        <f t="shared" si="14"/>
        <v>AA-py</v>
      </c>
      <c r="F43" s="437" t="str">
        <f t="shared" si="14"/>
        <v>Financiero</v>
      </c>
      <c r="G43" s="437" t="str">
        <f t="shared" si="14"/>
        <v>Paraguay</v>
      </c>
      <c r="H43" s="437">
        <f t="shared" si="14"/>
        <v>150</v>
      </c>
      <c r="I43" s="492">
        <v>16.205479</v>
      </c>
      <c r="J43" s="451"/>
      <c r="L43" s="442"/>
      <c r="M43" s="493"/>
      <c r="N43" s="493"/>
      <c r="O43" s="494">
        <f t="shared" si="18"/>
        <v>6.6508695483207689E-2</v>
      </c>
      <c r="P43" s="494">
        <f t="shared" si="18"/>
        <v>6.4911470005821315E-2</v>
      </c>
      <c r="Q43" s="450">
        <f t="shared" si="18"/>
        <v>45819</v>
      </c>
      <c r="R43" s="450">
        <v>46322</v>
      </c>
      <c r="S43" s="509" t="s">
        <v>146</v>
      </c>
      <c r="T43" s="510">
        <f>Tabla3[[#This Row],[Cantidad]]*Tabla3[[#This Row],[Cortes]]</f>
        <v>2430.8218500000003</v>
      </c>
      <c r="U43" s="511">
        <f t="shared" si="0"/>
        <v>2342.4159910253466</v>
      </c>
      <c r="V43" s="511">
        <f t="shared" si="1"/>
        <v>2342.0027969762691</v>
      </c>
      <c r="W43" s="497">
        <f>IF(Tabla3[[#This Row],[Fecha de operación]]=$C$1,0,U43-V43)</f>
        <v>0.41319404907744683</v>
      </c>
      <c r="X43" s="512" t="str">
        <f t="shared" si="19"/>
        <v>Vigente</v>
      </c>
      <c r="Y43" s="498"/>
      <c r="Z43" s="469">
        <f t="shared" si="20"/>
        <v>210</v>
      </c>
      <c r="AA43" s="499">
        <f t="shared" si="16"/>
        <v>2.7882997107660987</v>
      </c>
      <c r="AB43" s="499">
        <f t="shared" si="16"/>
        <v>2.7426970637225825</v>
      </c>
      <c r="AC43" s="469" t="s">
        <v>451</v>
      </c>
      <c r="AD43" s="469" t="s">
        <v>454</v>
      </c>
      <c r="AG43" s="605">
        <f>+IF(Tabla3[[#This Row],[Amortización k | cupón de intereses]]="Amortización de K",Tabla3[[#This Row],[Valor Nominal]],0)</f>
        <v>0</v>
      </c>
      <c r="AH43" s="605">
        <f>+IF(AND(Tabla3[[#This Row],[Amortización k | cupón de intereses]]="Cupón de interés",Tabla3[[#This Row],[Estado]]="Vigente"),Tabla3[[#This Row],[Valor Nominal]],0)</f>
        <v>2430.8218500000003</v>
      </c>
      <c r="AI43" s="618">
        <f>+IF(Tabla3[[#This Row],[Amortización k | cupón de intereses]]="Amortización de K",SUMIFS($AH$7:$AH$557,Tabla3[Código Emisión],Tabla3[[#This Row],[Código Emisión]],Tabla3[Fecha de operación],Tabla3[[#This Row],[Fecha de operación]]),0)-Tabla3[[#This Row],[Accrued]]*Tabla3[[#This Row],[Valor Nominal]]</f>
        <v>0</v>
      </c>
      <c r="AJ43" s="605">
        <f>+IF(Tabla3[[#This Row],[Amortización k | cupón de intereses]]="Amortización de K",IF(Tabla3[[#This Row],[Precio Clean]]&gt;1,Tabla3[[#This Row],[Valor Nominal]]*(Tabla3[[#This Row],[Precio Clean]]-1),0),0)</f>
        <v>0</v>
      </c>
      <c r="AK43" s="605">
        <f>+IF(Tabla3[[#This Row],[Amortización k | cupón de intereses]]="Amortización de K",IF(Tabla3[[#This Row],[Precio Clean]]&lt;1,Tabla3[[#This Row],[Valor Nominal]]*(Tabla3[[#This Row],[Precio Clean]]-1),0),0)</f>
        <v>0</v>
      </c>
      <c r="AN43" s="463"/>
      <c r="AO43" s="490"/>
      <c r="AP43" s="626">
        <f ca="1">+AP8+AP15+AP22+AP29+AP36</f>
        <v>19360935.389329411</v>
      </c>
      <c r="AQ43" s="608">
        <f>+AQ8+AQ15+AQ22+AQ29+AQ36</f>
        <v>19360935.3893294</v>
      </c>
      <c r="AR43" s="444">
        <f ca="1">+AP43-AQ43</f>
        <v>0</v>
      </c>
    </row>
    <row r="44" spans="1:45">
      <c r="B44" s="437" t="str">
        <f t="shared" si="17"/>
        <v>Banco Basa SA</v>
      </c>
      <c r="C44" s="437" t="str">
        <f t="shared" si="14"/>
        <v>PYBAM01F0358</v>
      </c>
      <c r="D44" s="437" t="str">
        <f t="shared" si="14"/>
        <v>Bonos Financieros</v>
      </c>
      <c r="E44" s="437" t="str">
        <f t="shared" si="14"/>
        <v>AA-py</v>
      </c>
      <c r="F44" s="437" t="str">
        <f t="shared" si="14"/>
        <v>Financiero</v>
      </c>
      <c r="G44" s="437" t="str">
        <f t="shared" si="14"/>
        <v>Paraguay</v>
      </c>
      <c r="H44" s="437">
        <f t="shared" si="14"/>
        <v>150</v>
      </c>
      <c r="I44" s="492">
        <v>16.205479</v>
      </c>
      <c r="J44" s="451"/>
      <c r="L44" s="442"/>
      <c r="M44" s="493"/>
      <c r="N44" s="493"/>
      <c r="O44" s="494">
        <f t="shared" si="18"/>
        <v>6.6508695483207689E-2</v>
      </c>
      <c r="P44" s="494">
        <f t="shared" si="18"/>
        <v>6.4911470005821315E-2</v>
      </c>
      <c r="Q44" s="450">
        <f t="shared" si="18"/>
        <v>45819</v>
      </c>
      <c r="R44" s="450">
        <v>46231</v>
      </c>
      <c r="S44" s="509" t="s">
        <v>146</v>
      </c>
      <c r="T44" s="510">
        <f>Tabla3[[#This Row],[Cantidad]]*Tabla3[[#This Row],[Cortes]]</f>
        <v>2430.8218500000003</v>
      </c>
      <c r="U44" s="511">
        <f t="shared" si="0"/>
        <v>2380.3234255894936</v>
      </c>
      <c r="V44" s="511">
        <f t="shared" si="1"/>
        <v>2379.9035448005552</v>
      </c>
      <c r="W44" s="497">
        <f>IF(Tabla3[[#This Row],[Fecha de operación]]=$C$1,0,U44-V44)</f>
        <v>0.41988078893837155</v>
      </c>
      <c r="X44" s="512" t="str">
        <f t="shared" si="19"/>
        <v>Vigente</v>
      </c>
      <c r="Y44" s="498"/>
      <c r="Z44" s="469">
        <f t="shared" si="20"/>
        <v>119</v>
      </c>
      <c r="AA44" s="499">
        <f t="shared" si="16"/>
        <v>2.7882997107660987</v>
      </c>
      <c r="AB44" s="499">
        <f t="shared" si="16"/>
        <v>2.7426970637225825</v>
      </c>
      <c r="AC44" s="469" t="s">
        <v>451</v>
      </c>
      <c r="AD44" s="469" t="s">
        <v>454</v>
      </c>
      <c r="AG44" s="605">
        <f>+IF(Tabla3[[#This Row],[Amortización k | cupón de intereses]]="Amortización de K",Tabla3[[#This Row],[Valor Nominal]],0)</f>
        <v>0</v>
      </c>
      <c r="AH44" s="605">
        <f>+IF(AND(Tabla3[[#This Row],[Amortización k | cupón de intereses]]="Cupón de interés",Tabla3[[#This Row],[Estado]]="Vigente"),Tabla3[[#This Row],[Valor Nominal]],0)</f>
        <v>2430.8218500000003</v>
      </c>
      <c r="AI44" s="618">
        <f>+IF(Tabla3[[#This Row],[Amortización k | cupón de intereses]]="Amortización de K",SUMIFS($AH$7:$AH$557,Tabla3[Código Emisión],Tabla3[[#This Row],[Código Emisión]],Tabla3[Fecha de operación],Tabla3[[#This Row],[Fecha de operación]]),0)-Tabla3[[#This Row],[Accrued]]*Tabla3[[#This Row],[Valor Nominal]]</f>
        <v>0</v>
      </c>
      <c r="AJ44" s="605">
        <f>+IF(Tabla3[[#This Row],[Amortización k | cupón de intereses]]="Amortización de K",IF(Tabla3[[#This Row],[Precio Clean]]&gt;1,Tabla3[[#This Row],[Valor Nominal]]*(Tabla3[[#This Row],[Precio Clean]]-1),0),0)</f>
        <v>0</v>
      </c>
      <c r="AK44" s="605">
        <f>+IF(Tabla3[[#This Row],[Amortización k | cupón de intereses]]="Amortización de K",IF(Tabla3[[#This Row],[Precio Clean]]&lt;1,Tabla3[[#This Row],[Valor Nominal]]*(Tabla3[[#This Row],[Precio Clean]]-1),0),0)</f>
        <v>0</v>
      </c>
      <c r="AN44" s="463"/>
      <c r="AO44" s="437"/>
      <c r="AP44" s="608">
        <f ca="1">+AL5-AP43</f>
        <v>0</v>
      </c>
      <c r="AQ44" s="444"/>
      <c r="AR44" s="621"/>
    </row>
    <row r="45" spans="1:45">
      <c r="B45" s="437" t="str">
        <f t="shared" si="17"/>
        <v>Banco Basa SA</v>
      </c>
      <c r="C45" s="437" t="str">
        <f t="shared" si="14"/>
        <v>PYBAM01F0358</v>
      </c>
      <c r="D45" s="437" t="str">
        <f t="shared" si="14"/>
        <v>Bonos Financieros</v>
      </c>
      <c r="E45" s="437" t="str">
        <f t="shared" si="14"/>
        <v>AA-py</v>
      </c>
      <c r="F45" s="437" t="str">
        <f t="shared" si="14"/>
        <v>Financiero</v>
      </c>
      <c r="G45" s="437" t="str">
        <f t="shared" si="14"/>
        <v>Paraguay</v>
      </c>
      <c r="H45" s="437">
        <f t="shared" si="14"/>
        <v>150</v>
      </c>
      <c r="I45" s="492">
        <v>16.205479</v>
      </c>
      <c r="J45" s="451"/>
      <c r="L45" s="442"/>
      <c r="M45" s="493"/>
      <c r="N45" s="493"/>
      <c r="O45" s="494">
        <f t="shared" si="18"/>
        <v>6.6508695483207689E-2</v>
      </c>
      <c r="P45" s="494">
        <f t="shared" si="18"/>
        <v>6.4911470005821315E-2</v>
      </c>
      <c r="Q45" s="450">
        <f t="shared" si="18"/>
        <v>45819</v>
      </c>
      <c r="R45" s="450">
        <v>46140</v>
      </c>
      <c r="S45" s="509" t="s">
        <v>146</v>
      </c>
      <c r="T45" s="510">
        <f>Tabla3[[#This Row],[Cantidad]]*Tabla3[[#This Row],[Cortes]]</f>
        <v>2430.8218500000003</v>
      </c>
      <c r="U45" s="511">
        <f t="shared" si="0"/>
        <v>2418.8443180538347</v>
      </c>
      <c r="V45" s="511">
        <f t="shared" si="1"/>
        <v>2418.4176423131917</v>
      </c>
      <c r="W45" s="513">
        <f>IF(Tabla3[[#This Row],[Fecha de operación]]=$C$1,0,U45-V45)</f>
        <v>0.42667574064307701</v>
      </c>
      <c r="X45" s="512" t="str">
        <f t="shared" si="19"/>
        <v>Vigente</v>
      </c>
      <c r="Y45" s="498"/>
      <c r="Z45" s="469">
        <f t="shared" si="20"/>
        <v>28</v>
      </c>
      <c r="AA45" s="499">
        <f t="shared" si="16"/>
        <v>2.7882997107660987</v>
      </c>
      <c r="AB45" s="499">
        <f t="shared" si="16"/>
        <v>2.7426970637225825</v>
      </c>
      <c r="AC45" s="469" t="s">
        <v>451</v>
      </c>
      <c r="AD45" s="469" t="s">
        <v>454</v>
      </c>
      <c r="AG45" s="605">
        <f>+IF(Tabla3[[#This Row],[Amortización k | cupón de intereses]]="Amortización de K",Tabla3[[#This Row],[Valor Nominal]],0)</f>
        <v>0</v>
      </c>
      <c r="AH45" s="605">
        <f>+IF(AND(Tabla3[[#This Row],[Amortización k | cupón de intereses]]="Cupón de interés",Tabla3[[#This Row],[Estado]]="Vigente"),Tabla3[[#This Row],[Valor Nominal]],0)</f>
        <v>2430.8218500000003</v>
      </c>
      <c r="AI45" s="618">
        <f>+IF(Tabla3[[#This Row],[Amortización k | cupón de intereses]]="Amortización de K",SUMIFS($AH$7:$AH$557,Tabla3[Código Emisión],Tabla3[[#This Row],[Código Emisión]],Tabla3[Fecha de operación],Tabla3[[#This Row],[Fecha de operación]]),0)-Tabla3[[#This Row],[Accrued]]*Tabla3[[#This Row],[Valor Nominal]]</f>
        <v>0</v>
      </c>
      <c r="AJ45" s="605">
        <f>+IF(Tabla3[[#This Row],[Amortización k | cupón de intereses]]="Amortización de K",IF(Tabla3[[#This Row],[Precio Clean]]&gt;1,Tabla3[[#This Row],[Valor Nominal]]*(Tabla3[[#This Row],[Precio Clean]]-1),0),0)</f>
        <v>0</v>
      </c>
      <c r="AK45" s="605">
        <f>+IF(Tabla3[[#This Row],[Amortización k | cupón de intereses]]="Amortización de K",IF(Tabla3[[#This Row],[Precio Clean]]&lt;1,Tabla3[[#This Row],[Valor Nominal]]*(Tabla3[[#This Row],[Precio Clean]]-1),0),0)</f>
        <v>0</v>
      </c>
      <c r="AN45" s="463"/>
      <c r="AO45" s="437"/>
      <c r="AQ45" s="444"/>
      <c r="AR45" s="621"/>
      <c r="AS45" s="437"/>
    </row>
    <row r="46" spans="1:45">
      <c r="B46" s="437" t="str">
        <f t="shared" si="17"/>
        <v>Banco Basa SA</v>
      </c>
      <c r="C46" s="437" t="str">
        <f t="shared" si="14"/>
        <v>PYBAM01F0358</v>
      </c>
      <c r="D46" s="437" t="str">
        <f t="shared" si="14"/>
        <v>Bonos Financieros</v>
      </c>
      <c r="E46" s="437" t="str">
        <f t="shared" si="14"/>
        <v>AA-py</v>
      </c>
      <c r="F46" s="437" t="str">
        <f t="shared" si="14"/>
        <v>Financiero</v>
      </c>
      <c r="G46" s="437" t="str">
        <f t="shared" si="14"/>
        <v>Paraguay</v>
      </c>
      <c r="H46" s="437">
        <f t="shared" si="14"/>
        <v>150</v>
      </c>
      <c r="I46" s="492">
        <v>16.205479</v>
      </c>
      <c r="J46" s="451"/>
      <c r="L46" s="442"/>
      <c r="M46" s="493"/>
      <c r="N46" s="493"/>
      <c r="O46" s="494">
        <f t="shared" si="18"/>
        <v>6.6508695483207689E-2</v>
      </c>
      <c r="P46" s="494">
        <f t="shared" si="18"/>
        <v>6.4911470005821315E-2</v>
      </c>
      <c r="Q46" s="450">
        <f t="shared" si="18"/>
        <v>45819</v>
      </c>
      <c r="R46" s="450">
        <v>46049</v>
      </c>
      <c r="S46" s="509" t="s">
        <v>146</v>
      </c>
      <c r="T46" s="510">
        <f>Tabla3[[#This Row],[Cantidad]]*Tabla3[[#This Row],[Cortes]]</f>
        <v>2430.8218500000003</v>
      </c>
      <c r="U46" s="511" t="b">
        <f t="shared" si="0"/>
        <v>0</v>
      </c>
      <c r="V46" s="511" t="b">
        <f t="shared" si="1"/>
        <v>0</v>
      </c>
      <c r="W46" s="513">
        <f>IF(Tabla3[[#This Row],[Fecha de operación]]=$C$1,0,U46-V46)</f>
        <v>0</v>
      </c>
      <c r="X46" s="512" t="str">
        <f t="shared" si="19"/>
        <v>Vencido</v>
      </c>
      <c r="Y46" s="498"/>
      <c r="Z46" s="469">
        <f t="shared" si="20"/>
        <v>-63</v>
      </c>
      <c r="AA46" s="499">
        <f t="shared" si="16"/>
        <v>2.7882997107660987</v>
      </c>
      <c r="AB46" s="499">
        <f t="shared" si="16"/>
        <v>2.7426970637225825</v>
      </c>
      <c r="AC46" s="469" t="s">
        <v>451</v>
      </c>
      <c r="AD46" s="469" t="s">
        <v>454</v>
      </c>
      <c r="AG46" s="605">
        <f>+IF(Tabla3[[#This Row],[Amortización k | cupón de intereses]]="Amortización de K",Tabla3[[#This Row],[Valor Nominal]],0)</f>
        <v>0</v>
      </c>
      <c r="AH46" s="605">
        <f>+IF(AND(Tabla3[[#This Row],[Amortización k | cupón de intereses]]="Cupón de interés",Tabla3[[#This Row],[Estado]]="Vigente"),Tabla3[[#This Row],[Valor Nominal]],0)</f>
        <v>0</v>
      </c>
      <c r="AI46" s="618">
        <f>+IF(Tabla3[[#This Row],[Amortización k | cupón de intereses]]="Amortización de K",SUMIFS($AH$7:$AH$557,Tabla3[Código Emisión],Tabla3[[#This Row],[Código Emisión]],Tabla3[Fecha de operación],Tabla3[[#This Row],[Fecha de operación]]),0)-Tabla3[[#This Row],[Accrued]]*Tabla3[[#This Row],[Valor Nominal]]</f>
        <v>0</v>
      </c>
      <c r="AJ46" s="605">
        <f>+IF(Tabla3[[#This Row],[Amortización k | cupón de intereses]]="Amortización de K",IF(Tabla3[[#This Row],[Precio Clean]]&gt;1,Tabla3[[#This Row],[Valor Nominal]]*(Tabla3[[#This Row],[Precio Clean]]-1),0),0)</f>
        <v>0</v>
      </c>
      <c r="AK46" s="605">
        <f>+IF(Tabla3[[#This Row],[Amortización k | cupón de intereses]]="Amortización de K",IF(Tabla3[[#This Row],[Precio Clean]]&lt;1,Tabla3[[#This Row],[Valor Nominal]]*(Tabla3[[#This Row],[Precio Clean]]-1),0),0)</f>
        <v>0</v>
      </c>
      <c r="AN46" s="463"/>
      <c r="AO46" s="437"/>
      <c r="AQ46" s="444"/>
      <c r="AR46" s="621"/>
      <c r="AS46" s="437"/>
    </row>
    <row r="47" spans="1:45">
      <c r="B47" s="437" t="str">
        <f t="shared" si="17"/>
        <v>Banco Basa SA</v>
      </c>
      <c r="C47" s="437" t="str">
        <f t="shared" si="14"/>
        <v>PYBAM01F0358</v>
      </c>
      <c r="D47" s="437" t="str">
        <f t="shared" si="14"/>
        <v>Bonos Financieros</v>
      </c>
      <c r="E47" s="437" t="str">
        <f t="shared" si="14"/>
        <v>AA-py</v>
      </c>
      <c r="F47" s="437" t="str">
        <f t="shared" si="14"/>
        <v>Financiero</v>
      </c>
      <c r="G47" s="437" t="str">
        <f t="shared" si="14"/>
        <v>Paraguay</v>
      </c>
      <c r="H47" s="437">
        <f t="shared" si="14"/>
        <v>150</v>
      </c>
      <c r="I47" s="492">
        <v>16.205479</v>
      </c>
      <c r="J47" s="451"/>
      <c r="L47" s="442"/>
      <c r="M47" s="493"/>
      <c r="N47" s="493"/>
      <c r="O47" s="494">
        <f t="shared" si="18"/>
        <v>6.6508695483207689E-2</v>
      </c>
      <c r="P47" s="494">
        <f t="shared" si="18"/>
        <v>6.4911470005821315E-2</v>
      </c>
      <c r="Q47" s="450">
        <f t="shared" si="18"/>
        <v>45819</v>
      </c>
      <c r="R47" s="450">
        <v>45958</v>
      </c>
      <c r="S47" s="509" t="s">
        <v>146</v>
      </c>
      <c r="T47" s="510">
        <f>Tabla3[[#This Row],[Cantidad]]*Tabla3[[#This Row],[Cortes]]</f>
        <v>2430.8218500000003</v>
      </c>
      <c r="U47" s="511" t="b">
        <f t="shared" si="0"/>
        <v>0</v>
      </c>
      <c r="V47" s="511" t="b">
        <f t="shared" si="1"/>
        <v>0</v>
      </c>
      <c r="W47" s="513">
        <f>IF(Tabla3[[#This Row],[Fecha de operación]]=$C$1,0,U47-V47)</f>
        <v>0</v>
      </c>
      <c r="X47" s="512" t="str">
        <f t="shared" si="19"/>
        <v>Vencido</v>
      </c>
      <c r="Y47" s="498"/>
      <c r="Z47" s="469">
        <f t="shared" si="20"/>
        <v>-154</v>
      </c>
      <c r="AA47" s="499">
        <f t="shared" si="16"/>
        <v>2.7882997107660987</v>
      </c>
      <c r="AB47" s="499">
        <f t="shared" si="16"/>
        <v>2.7426970637225825</v>
      </c>
      <c r="AC47" s="469" t="s">
        <v>451</v>
      </c>
      <c r="AD47" s="469" t="s">
        <v>454</v>
      </c>
      <c r="AG47" s="605">
        <f>+IF(Tabla3[[#This Row],[Amortización k | cupón de intereses]]="Amortización de K",Tabla3[[#This Row],[Valor Nominal]],0)</f>
        <v>0</v>
      </c>
      <c r="AH47" s="605">
        <f>+IF(AND(Tabla3[[#This Row],[Amortización k | cupón de intereses]]="Cupón de interés",Tabla3[[#This Row],[Estado]]="Vigente"),Tabla3[[#This Row],[Valor Nominal]],0)</f>
        <v>0</v>
      </c>
      <c r="AI47" s="618">
        <f>+IF(Tabla3[[#This Row],[Amortización k | cupón de intereses]]="Amortización de K",SUMIFS($AH$7:$AH$557,Tabla3[Código Emisión],Tabla3[[#This Row],[Código Emisión]],Tabla3[Fecha de operación],Tabla3[[#This Row],[Fecha de operación]]),0)-Tabla3[[#This Row],[Accrued]]*Tabla3[[#This Row],[Valor Nominal]]</f>
        <v>0</v>
      </c>
      <c r="AJ47" s="605">
        <f>+IF(Tabla3[[#This Row],[Amortización k | cupón de intereses]]="Amortización de K",IF(Tabla3[[#This Row],[Precio Clean]]&gt;1,Tabla3[[#This Row],[Valor Nominal]]*(Tabla3[[#This Row],[Precio Clean]]-1),0),0)</f>
        <v>0</v>
      </c>
      <c r="AK47" s="605">
        <f>+IF(Tabla3[[#This Row],[Amortización k | cupón de intereses]]="Amortización de K",IF(Tabla3[[#This Row],[Precio Clean]]&lt;1,Tabla3[[#This Row],[Valor Nominal]]*(Tabla3[[#This Row],[Precio Clean]]-1),0),0)</f>
        <v>0</v>
      </c>
      <c r="AN47" s="463"/>
      <c r="AO47" s="437"/>
      <c r="AQ47" s="444"/>
      <c r="AR47" s="622"/>
      <c r="AS47" s="437"/>
    </row>
    <row r="48" spans="1:45" ht="15">
      <c r="A48" s="500">
        <f>+A32+1</f>
        <v>4</v>
      </c>
      <c r="B48" s="475" t="s">
        <v>485</v>
      </c>
      <c r="C48" s="475" t="s">
        <v>486</v>
      </c>
      <c r="D48" s="475" t="s">
        <v>453</v>
      </c>
      <c r="E48" s="475" t="s">
        <v>487</v>
      </c>
      <c r="F48" s="475" t="s">
        <v>297</v>
      </c>
      <c r="G48" s="475" t="s">
        <v>298</v>
      </c>
      <c r="H48" s="475">
        <v>1</v>
      </c>
      <c r="I48" s="477">
        <v>200000</v>
      </c>
      <c r="J48" s="478">
        <v>6.4500000000000002E-2</v>
      </c>
      <c r="K48" s="479">
        <f>_xlfn.MAXIFS(R:R,C:C,C48,AD:AD,"Cupón de interés",X:X,"Vencido")</f>
        <v>46100</v>
      </c>
      <c r="L48" s="478">
        <f>+Tabla3[[#This Row],[Tasa de Interés]]*($U$5-Tabla3[[#This Row],[Last coupon]])/365</f>
        <v>2.1205479452054794E-3</v>
      </c>
      <c r="M48" s="480">
        <f>+Tabla3[[#This Row],[Precio Dirty]]-Tabla3[[#This Row],[Accrued]]</f>
        <v>1.0014070963721531</v>
      </c>
      <c r="N48" s="481">
        <f>SUMIFS(U:U,C:C,C48,Q:Q,Q48)/SUMIFS(T:T,C:C,C48,Q:Q,Q48,AD:AD,"Amortización de K")</f>
        <v>1.0035276443173586</v>
      </c>
      <c r="O48" s="482">
        <v>6.4464327692985532E-2</v>
      </c>
      <c r="P48" s="482">
        <v>6.3452567138383653E-2</v>
      </c>
      <c r="Q48" s="484">
        <v>45821</v>
      </c>
      <c r="R48" s="484">
        <v>46650</v>
      </c>
      <c r="S48" s="504" t="s">
        <v>146</v>
      </c>
      <c r="T48" s="505">
        <f>Tabla3[[#This Row],[Cantidad]]*Tabla3[[#This Row],[Cortes]]</f>
        <v>200000</v>
      </c>
      <c r="U48" s="506">
        <f t="shared" si="0"/>
        <v>182406.15128902026</v>
      </c>
      <c r="V48" s="506">
        <f t="shared" si="1"/>
        <v>182374.93417632411</v>
      </c>
      <c r="W48" s="487">
        <f>IF(Tabla3[[#This Row],[Fecha de operación]]=$C$1,0,U48-V48)</f>
        <v>31.217112696147524</v>
      </c>
      <c r="X48" s="507" t="str">
        <f t="shared" si="19"/>
        <v>Vigente</v>
      </c>
      <c r="Y48" s="489" t="s">
        <v>450</v>
      </c>
      <c r="Z48" s="488">
        <f t="shared" si="20"/>
        <v>538</v>
      </c>
      <c r="AA48" s="508">
        <f>IF(Y48="Mensual",DURATION($C$1,$C$1+Z48*12,J48/12,O48/12,1)/12,DURATION($C$1,R48,J48,O48,IF(Y48="Cupón cero",1,IF(Y48="Al vencimiento",1,IF(Y48="Anual",1,IF(Y48="Semestral",2,IF(Y48="Trimestral",4,"")))))))</f>
        <v>1.4111813002970641</v>
      </c>
      <c r="AB48" s="508">
        <f>IF(Y48="Mensual",MDURATION($C$1,$C$1+Z48*12,J48/12,O48/12,1)/12,MDURATION($C$1,R48,J48,O48,IF(Y48="Cupón cero",1,IF(Y48="Al vencimiento",1,IF(Y48="Anual",1,IF(Y48="Semestral",2,IF(Y48="Trimestral",4,"")))))))</f>
        <v>1.3887992970508456</v>
      </c>
      <c r="AC48" s="488" t="s">
        <v>451</v>
      </c>
      <c r="AD48" s="488" t="s">
        <v>452</v>
      </c>
      <c r="AG48" s="605">
        <f>+IF(Tabla3[[#This Row],[Amortización k | cupón de intereses]]="Amortización de K",Tabla3[[#This Row],[Valor Nominal]],0)</f>
        <v>200000</v>
      </c>
      <c r="AH48" s="605">
        <f>+IF(AND(Tabla3[[#This Row],[Amortización k | cupón de intereses]]="Cupón de interés",Tabla3[[#This Row],[Estado]]="Vigente"),Tabla3[[#This Row],[Valor Nominal]],0)</f>
        <v>0</v>
      </c>
      <c r="AI48" s="618">
        <f>+IF(Tabla3[[#This Row],[Amortización k | cupón de intereses]]="Amortización de K",SUMIFS($AH$7:$AH$557,Tabla3[Código Emisión],Tabla3[[#This Row],[Código Emisión]],Tabla3[Fecha de operación],Tabla3[[#This Row],[Fecha de operación]]),0)-Tabla3[[#This Row],[Accrued]]*Tabla3[[#This Row],[Valor Nominal]]</f>
        <v>19014.230410958906</v>
      </c>
      <c r="AJ48" s="605">
        <f>+IF(Tabla3[[#This Row],[Amortización k | cupón de intereses]]="Amortización de K",IF(Tabla3[[#This Row],[Precio Clean]]&gt;1,Tabla3[[#This Row],[Valor Nominal]]*(Tabla3[[#This Row],[Precio Clean]]-1),0),0)</f>
        <v>281.41927443061655</v>
      </c>
      <c r="AK48" s="605">
        <f>+IF(Tabla3[[#This Row],[Amortización k | cupón de intereses]]="Amortización de K",IF(Tabla3[[#This Row],[Precio Clean]]&lt;1,Tabla3[[#This Row],[Valor Nominal]]*(Tabla3[[#This Row],[Precio Clean]]-1),0),0)</f>
        <v>0</v>
      </c>
      <c r="AN48" s="463"/>
      <c r="AO48" s="437"/>
      <c r="AQ48" s="444"/>
      <c r="AS48" s="437"/>
    </row>
    <row r="49" spans="1:45">
      <c r="A49" s="502"/>
      <c r="B49" s="437" t="str">
        <f t="shared" ref="B49:G53" si="21">+B48</f>
        <v>Banco Nacional de Fomento</v>
      </c>
      <c r="C49" s="437" t="str">
        <f t="shared" si="21"/>
        <v>BNF_6,45%_200927_BB1790-1794_200K</v>
      </c>
      <c r="D49" s="437" t="str">
        <f t="shared" si="21"/>
        <v>CDA</v>
      </c>
      <c r="E49" s="437" t="str">
        <f t="shared" si="21"/>
        <v>AA+py</v>
      </c>
      <c r="F49" s="437" t="str">
        <f>+F48</f>
        <v>Financiero</v>
      </c>
      <c r="G49" s="437" t="str">
        <f>+G48</f>
        <v>Paraguay</v>
      </c>
      <c r="H49" s="437">
        <f>+H48</f>
        <v>1</v>
      </c>
      <c r="I49" s="445">
        <v>6538.35</v>
      </c>
      <c r="J49" s="462"/>
      <c r="L49" s="442"/>
      <c r="M49" s="493"/>
      <c r="N49" s="493"/>
      <c r="O49" s="516">
        <f t="shared" ref="O49:Q53" si="22">+O48</f>
        <v>6.4464327692985532E-2</v>
      </c>
      <c r="P49" s="516">
        <f t="shared" si="22"/>
        <v>6.3452567138383653E-2</v>
      </c>
      <c r="Q49" s="450">
        <f t="shared" si="22"/>
        <v>45821</v>
      </c>
      <c r="R49" s="450">
        <v>46650</v>
      </c>
      <c r="S49" s="509" t="s">
        <v>146</v>
      </c>
      <c r="T49" s="510">
        <f>Tabla3[[#This Row],[Cantidad]]*Tabla3[[#This Row],[Cortes]]</f>
        <v>6538.35</v>
      </c>
      <c r="U49" s="511">
        <f t="shared" si="0"/>
        <v>5963.1762964028276</v>
      </c>
      <c r="V49" s="511">
        <f t="shared" si="1"/>
        <v>5962.1557543588442</v>
      </c>
      <c r="W49" s="497">
        <f>IF(Tabla3[[#This Row],[Fecha de operación]]=$C$1,0,U49-V49)</f>
        <v>1.0205420439833688</v>
      </c>
      <c r="X49" s="512" t="str">
        <f t="shared" si="19"/>
        <v>Vigente</v>
      </c>
      <c r="Y49" s="517"/>
      <c r="Z49" s="449">
        <f t="shared" si="20"/>
        <v>538</v>
      </c>
      <c r="AA49" s="518">
        <f t="shared" ref="AA49:AB53" si="23">AA48</f>
        <v>1.4111813002970641</v>
      </c>
      <c r="AB49" s="518">
        <f t="shared" si="23"/>
        <v>1.3887992970508456</v>
      </c>
      <c r="AC49" s="449" t="str">
        <f>+AC48</f>
        <v>Familiar CB</v>
      </c>
      <c r="AD49" s="449" t="s">
        <v>454</v>
      </c>
      <c r="AG49" s="605">
        <f>+IF(Tabla3[[#This Row],[Amortización k | cupón de intereses]]="Amortización de K",Tabla3[[#This Row],[Valor Nominal]],0)</f>
        <v>0</v>
      </c>
      <c r="AH49" s="605">
        <f>+IF(AND(Tabla3[[#This Row],[Amortización k | cupón de intereses]]="Cupón de interés",Tabla3[[#This Row],[Estado]]="Vigente"),Tabla3[[#This Row],[Valor Nominal]],0)</f>
        <v>6538.35</v>
      </c>
      <c r="AI49" s="618">
        <f>+IF(Tabla3[[#This Row],[Amortización k | cupón de intereses]]="Amortización de K",SUMIFS($AH$7:$AH$557,Tabla3[Código Emisión],Tabla3[[#This Row],[Código Emisión]],Tabla3[Fecha de operación],Tabla3[[#This Row],[Fecha de operación]]),0)-Tabla3[[#This Row],[Accrued]]*Tabla3[[#This Row],[Valor Nominal]]</f>
        <v>0</v>
      </c>
      <c r="AJ49" s="605">
        <f>+IF(Tabla3[[#This Row],[Amortización k | cupón de intereses]]="Amortización de K",IF(Tabla3[[#This Row],[Precio Clean]]&gt;1,Tabla3[[#This Row],[Valor Nominal]]*(Tabla3[[#This Row],[Precio Clean]]-1),0),0)</f>
        <v>0</v>
      </c>
      <c r="AK49" s="605">
        <f>+IF(Tabla3[[#This Row],[Amortización k | cupón de intereses]]="Amortización de K",IF(Tabla3[[#This Row],[Precio Clean]]&lt;1,Tabla3[[#This Row],[Valor Nominal]]*(Tabla3[[#This Row],[Precio Clean]]-1),0),0)</f>
        <v>0</v>
      </c>
      <c r="AS49" s="437"/>
    </row>
    <row r="50" spans="1:45">
      <c r="A50" s="502"/>
      <c r="B50" s="437" t="str">
        <f t="shared" si="21"/>
        <v>Banco Nacional de Fomento</v>
      </c>
      <c r="C50" s="437" t="str">
        <f t="shared" si="21"/>
        <v>BNF_6,45%_200927_BB1790-1794_200K</v>
      </c>
      <c r="D50" s="437" t="str">
        <f t="shared" si="21"/>
        <v>CDA</v>
      </c>
      <c r="E50" s="437" t="str">
        <f t="shared" si="21"/>
        <v>AA+py</v>
      </c>
      <c r="F50" s="437" t="str">
        <f t="shared" si="21"/>
        <v>Financiero</v>
      </c>
      <c r="G50" s="437" t="str">
        <f t="shared" si="21"/>
        <v>Paraguay</v>
      </c>
      <c r="H50" s="437">
        <f>+H49</f>
        <v>1</v>
      </c>
      <c r="I50" s="445">
        <v>6326.3</v>
      </c>
      <c r="J50" s="462"/>
      <c r="L50" s="442"/>
      <c r="M50" s="493"/>
      <c r="N50" s="493"/>
      <c r="O50" s="516">
        <f t="shared" si="22"/>
        <v>6.4464327692985532E-2</v>
      </c>
      <c r="P50" s="516">
        <f t="shared" si="22"/>
        <v>6.3452567138383653E-2</v>
      </c>
      <c r="Q50" s="450">
        <f t="shared" si="22"/>
        <v>45821</v>
      </c>
      <c r="R50" s="450">
        <v>46465</v>
      </c>
      <c r="S50" s="509" t="s">
        <v>146</v>
      </c>
      <c r="T50" s="510">
        <f>Tabla3[[#This Row],[Cantidad]]*Tabla3[[#This Row],[Cortes]]</f>
        <v>6326.3</v>
      </c>
      <c r="U50" s="511">
        <f t="shared" si="0"/>
        <v>5955.3961055975115</v>
      </c>
      <c r="V50" s="511">
        <f t="shared" si="1"/>
        <v>5954.3768950606709</v>
      </c>
      <c r="W50" s="497">
        <f>IF(Tabla3[[#This Row],[Fecha de operación]]=$C$1,0,U50-V50)</f>
        <v>1.0192105368405464</v>
      </c>
      <c r="X50" s="512" t="str">
        <f t="shared" si="19"/>
        <v>Vigente</v>
      </c>
      <c r="Y50" s="517"/>
      <c r="Z50" s="449">
        <f t="shared" si="20"/>
        <v>353</v>
      </c>
      <c r="AA50" s="518">
        <f t="shared" si="23"/>
        <v>1.4111813002970641</v>
      </c>
      <c r="AB50" s="518">
        <f t="shared" si="23"/>
        <v>1.3887992970508456</v>
      </c>
      <c r="AC50" s="449" t="str">
        <f t="shared" ref="AC50:AC53" si="24">+AC49</f>
        <v>Familiar CB</v>
      </c>
      <c r="AD50" s="449" t="s">
        <v>454</v>
      </c>
      <c r="AG50" s="605">
        <f>+IF(Tabla3[[#This Row],[Amortización k | cupón de intereses]]="Amortización de K",Tabla3[[#This Row],[Valor Nominal]],0)</f>
        <v>0</v>
      </c>
      <c r="AH50" s="605">
        <f>+IF(AND(Tabla3[[#This Row],[Amortización k | cupón de intereses]]="Cupón de interés",Tabla3[[#This Row],[Estado]]="Vigente"),Tabla3[[#This Row],[Valor Nominal]],0)</f>
        <v>6326.3</v>
      </c>
      <c r="AI50" s="618">
        <f>+IF(Tabla3[[#This Row],[Amortización k | cupón de intereses]]="Amortización de K",SUMIFS($AH$7:$AH$557,Tabla3[Código Emisión],Tabla3[[#This Row],[Código Emisión]],Tabla3[Fecha de operación],Tabla3[[#This Row],[Fecha de operación]]),0)-Tabla3[[#This Row],[Accrued]]*Tabla3[[#This Row],[Valor Nominal]]</f>
        <v>0</v>
      </c>
      <c r="AJ50" s="605">
        <f>+IF(Tabla3[[#This Row],[Amortización k | cupón de intereses]]="Amortización de K",IF(Tabla3[[#This Row],[Precio Clean]]&gt;1,Tabla3[[#This Row],[Valor Nominal]]*(Tabla3[[#This Row],[Precio Clean]]-1),0),0)</f>
        <v>0</v>
      </c>
      <c r="AK50" s="605">
        <f>+IF(Tabla3[[#This Row],[Amortización k | cupón de intereses]]="Amortización de K",IF(Tabla3[[#This Row],[Precio Clean]]&lt;1,Tabla3[[#This Row],[Valor Nominal]]*(Tabla3[[#This Row],[Precio Clean]]-1),0),0)</f>
        <v>0</v>
      </c>
      <c r="AS50" s="437"/>
    </row>
    <row r="51" spans="1:45">
      <c r="A51" s="502"/>
      <c r="B51" s="437" t="str">
        <f t="shared" si="21"/>
        <v>Banco Nacional de Fomento</v>
      </c>
      <c r="C51" s="437" t="str">
        <f t="shared" si="21"/>
        <v>BNF_6,45%_200927_BB1790-1794_200K</v>
      </c>
      <c r="D51" s="437" t="str">
        <f t="shared" si="21"/>
        <v>CDA</v>
      </c>
      <c r="E51" s="437" t="str">
        <f t="shared" si="21"/>
        <v>AA+py</v>
      </c>
      <c r="F51" s="437" t="str">
        <f t="shared" si="21"/>
        <v>Financiero</v>
      </c>
      <c r="G51" s="437" t="str">
        <f t="shared" si="21"/>
        <v>Paraguay</v>
      </c>
      <c r="H51" s="437">
        <f>+H50</f>
        <v>1</v>
      </c>
      <c r="I51" s="445">
        <v>6573.69</v>
      </c>
      <c r="J51" s="462"/>
      <c r="L51" s="442"/>
      <c r="M51" s="493"/>
      <c r="N51" s="493"/>
      <c r="O51" s="516">
        <f t="shared" si="22"/>
        <v>6.4464327692985532E-2</v>
      </c>
      <c r="P51" s="516">
        <f t="shared" si="22"/>
        <v>6.3452567138383653E-2</v>
      </c>
      <c r="Q51" s="450">
        <f t="shared" si="22"/>
        <v>45821</v>
      </c>
      <c r="R51" s="450">
        <v>46286</v>
      </c>
      <c r="S51" s="509" t="s">
        <v>146</v>
      </c>
      <c r="T51" s="510">
        <f>Tabla3[[#This Row],[Cantidad]]*Tabla3[[#This Row],[Cortes]]</f>
        <v>6573.69</v>
      </c>
      <c r="U51" s="511">
        <f t="shared" si="0"/>
        <v>6380.8051724511442</v>
      </c>
      <c r="V51" s="511">
        <f t="shared" si="1"/>
        <v>6379.7131571174905</v>
      </c>
      <c r="W51" s="497">
        <f>IF(Tabla3[[#This Row],[Fecha de operación]]=$C$1,0,U51-V51)</f>
        <v>1.0920153336537624</v>
      </c>
      <c r="X51" s="512" t="str">
        <f t="shared" si="19"/>
        <v>Vigente</v>
      </c>
      <c r="Y51" s="517"/>
      <c r="Z51" s="449">
        <f t="shared" si="20"/>
        <v>174</v>
      </c>
      <c r="AA51" s="518">
        <f t="shared" si="23"/>
        <v>1.4111813002970641</v>
      </c>
      <c r="AB51" s="518">
        <f t="shared" si="23"/>
        <v>1.3887992970508456</v>
      </c>
      <c r="AC51" s="449" t="str">
        <f t="shared" si="24"/>
        <v>Familiar CB</v>
      </c>
      <c r="AD51" s="449" t="s">
        <v>454</v>
      </c>
      <c r="AG51" s="605">
        <f>+IF(Tabla3[[#This Row],[Amortización k | cupón de intereses]]="Amortización de K",Tabla3[[#This Row],[Valor Nominal]],0)</f>
        <v>0</v>
      </c>
      <c r="AH51" s="605">
        <f>+IF(AND(Tabla3[[#This Row],[Amortización k | cupón de intereses]]="Cupón de interés",Tabla3[[#This Row],[Estado]]="Vigente"),Tabla3[[#This Row],[Valor Nominal]],0)</f>
        <v>6573.69</v>
      </c>
      <c r="AI51" s="618">
        <f>+IF(Tabla3[[#This Row],[Amortización k | cupón de intereses]]="Amortización de K",SUMIFS($AH$7:$AH$557,Tabla3[Código Emisión],Tabla3[[#This Row],[Código Emisión]],Tabla3[Fecha de operación],Tabla3[[#This Row],[Fecha de operación]]),0)-Tabla3[[#This Row],[Accrued]]*Tabla3[[#This Row],[Valor Nominal]]</f>
        <v>0</v>
      </c>
      <c r="AJ51" s="605">
        <f>+IF(Tabla3[[#This Row],[Amortización k | cupón de intereses]]="Amortización de K",IF(Tabla3[[#This Row],[Precio Clean]]&gt;1,Tabla3[[#This Row],[Valor Nominal]]*(Tabla3[[#This Row],[Precio Clean]]-1),0),0)</f>
        <v>0</v>
      </c>
      <c r="AK51" s="605">
        <f>+IF(Tabla3[[#This Row],[Amortización k | cupón de intereses]]="Amortización de K",IF(Tabla3[[#This Row],[Precio Clean]]&lt;1,Tabla3[[#This Row],[Valor Nominal]]*(Tabla3[[#This Row],[Precio Clean]]-1),0),0)</f>
        <v>0</v>
      </c>
    </row>
    <row r="52" spans="1:45">
      <c r="A52" s="502"/>
      <c r="B52" s="437" t="str">
        <f t="shared" si="21"/>
        <v>Banco Nacional de Fomento</v>
      </c>
      <c r="C52" s="437" t="str">
        <f t="shared" si="21"/>
        <v>BNF_6,45%_200927_BB1790-1794_200K</v>
      </c>
      <c r="D52" s="437" t="str">
        <f t="shared" si="21"/>
        <v>CDA</v>
      </c>
      <c r="E52" s="437" t="str">
        <f t="shared" si="21"/>
        <v>AA+py</v>
      </c>
      <c r="F52" s="437" t="str">
        <f t="shared" si="21"/>
        <v>Financiero</v>
      </c>
      <c r="G52" s="437" t="str">
        <f t="shared" si="21"/>
        <v>Paraguay</v>
      </c>
      <c r="H52" s="437">
        <f>+H51</f>
        <v>1</v>
      </c>
      <c r="I52" s="445">
        <v>6396.98</v>
      </c>
      <c r="J52" s="462"/>
      <c r="L52" s="442"/>
      <c r="M52" s="493"/>
      <c r="N52" s="493"/>
      <c r="O52" s="516">
        <f t="shared" si="22"/>
        <v>6.4464327692985532E-2</v>
      </c>
      <c r="P52" s="516">
        <f t="shared" si="22"/>
        <v>6.3452567138383653E-2</v>
      </c>
      <c r="Q52" s="450">
        <f t="shared" si="22"/>
        <v>45821</v>
      </c>
      <c r="R52" s="450">
        <v>46100</v>
      </c>
      <c r="S52" s="509" t="s">
        <v>146</v>
      </c>
      <c r="T52" s="510">
        <f>Tabla3[[#This Row],[Cantidad]]*Tabla3[[#This Row],[Cortes]]</f>
        <v>6396.98</v>
      </c>
      <c r="U52" s="511" t="b">
        <f t="shared" si="0"/>
        <v>0</v>
      </c>
      <c r="V52" s="511" t="b">
        <f t="shared" si="1"/>
        <v>0</v>
      </c>
      <c r="W52" s="497">
        <f>IF(Tabla3[[#This Row],[Fecha de operación]]=$C$1,0,U52-V52)</f>
        <v>0</v>
      </c>
      <c r="X52" s="512" t="str">
        <f t="shared" si="19"/>
        <v>Vencido</v>
      </c>
      <c r="Y52" s="517"/>
      <c r="Z52" s="449">
        <f t="shared" si="20"/>
        <v>-12</v>
      </c>
      <c r="AA52" s="518">
        <f t="shared" si="23"/>
        <v>1.4111813002970641</v>
      </c>
      <c r="AB52" s="518">
        <f t="shared" si="23"/>
        <v>1.3887992970508456</v>
      </c>
      <c r="AC52" s="449" t="str">
        <f t="shared" si="24"/>
        <v>Familiar CB</v>
      </c>
      <c r="AD52" s="449" t="s">
        <v>454</v>
      </c>
      <c r="AG52" s="605">
        <f>+IF(Tabla3[[#This Row],[Amortización k | cupón de intereses]]="Amortización de K",Tabla3[[#This Row],[Valor Nominal]],0)</f>
        <v>0</v>
      </c>
      <c r="AH52" s="605">
        <f>+IF(AND(Tabla3[[#This Row],[Amortización k | cupón de intereses]]="Cupón de interés",Tabla3[[#This Row],[Estado]]="Vigente"),Tabla3[[#This Row],[Valor Nominal]],0)</f>
        <v>0</v>
      </c>
      <c r="AI52" s="618">
        <f>+IF(Tabla3[[#This Row],[Amortización k | cupón de intereses]]="Amortización de K",SUMIFS($AH$7:$AH$557,Tabla3[Código Emisión],Tabla3[[#This Row],[Código Emisión]],Tabla3[Fecha de operación],Tabla3[[#This Row],[Fecha de operación]]),0)-Tabla3[[#This Row],[Accrued]]*Tabla3[[#This Row],[Valor Nominal]]</f>
        <v>0</v>
      </c>
      <c r="AJ52" s="605">
        <f>+IF(Tabla3[[#This Row],[Amortización k | cupón de intereses]]="Amortización de K",IF(Tabla3[[#This Row],[Precio Clean]]&gt;1,Tabla3[[#This Row],[Valor Nominal]]*(Tabla3[[#This Row],[Precio Clean]]-1),0),0)</f>
        <v>0</v>
      </c>
      <c r="AK52" s="605">
        <f>+IF(Tabla3[[#This Row],[Amortización k | cupón de intereses]]="Amortización de K",IF(Tabla3[[#This Row],[Precio Clean]]&lt;1,Tabla3[[#This Row],[Valor Nominal]]*(Tabla3[[#This Row],[Precio Clean]]-1),0),0)</f>
        <v>0</v>
      </c>
    </row>
    <row r="53" spans="1:45">
      <c r="A53" s="502"/>
      <c r="B53" s="437" t="str">
        <f t="shared" si="21"/>
        <v>Banco Nacional de Fomento</v>
      </c>
      <c r="C53" s="437" t="str">
        <f t="shared" si="21"/>
        <v>BNF_6,45%_200927_BB1790-1794_200K</v>
      </c>
      <c r="D53" s="437" t="str">
        <f t="shared" si="21"/>
        <v>CDA</v>
      </c>
      <c r="E53" s="437" t="str">
        <f t="shared" si="21"/>
        <v>AA+py</v>
      </c>
      <c r="F53" s="437" t="str">
        <f t="shared" si="21"/>
        <v>Financiero</v>
      </c>
      <c r="G53" s="437" t="str">
        <f t="shared" si="21"/>
        <v>Paraguay</v>
      </c>
      <c r="H53" s="437">
        <f>+H52</f>
        <v>1</v>
      </c>
      <c r="I53" s="445">
        <v>6503.01</v>
      </c>
      <c r="J53" s="462"/>
      <c r="L53" s="442"/>
      <c r="M53" s="493"/>
      <c r="N53" s="493"/>
      <c r="O53" s="516">
        <f t="shared" si="22"/>
        <v>6.4464327692985532E-2</v>
      </c>
      <c r="P53" s="516">
        <f t="shared" si="22"/>
        <v>6.3452567138383653E-2</v>
      </c>
      <c r="Q53" s="450">
        <f t="shared" si="22"/>
        <v>45821</v>
      </c>
      <c r="R53" s="450">
        <v>45919</v>
      </c>
      <c r="S53" s="509" t="s">
        <v>146</v>
      </c>
      <c r="T53" s="510">
        <f>Tabla3[[#This Row],[Cantidad]]*Tabla3[[#This Row],[Cortes]]</f>
        <v>6503.01</v>
      </c>
      <c r="U53" s="511" t="b">
        <f t="shared" si="0"/>
        <v>0</v>
      </c>
      <c r="V53" s="511" t="b">
        <f t="shared" si="1"/>
        <v>0</v>
      </c>
      <c r="W53" s="497">
        <f>IF(Tabla3[[#This Row],[Fecha de operación]]=$C$1,0,U53-V53)</f>
        <v>0</v>
      </c>
      <c r="X53" s="512" t="str">
        <f t="shared" si="19"/>
        <v>Vencido</v>
      </c>
      <c r="Y53" s="517"/>
      <c r="Z53" s="449">
        <f t="shared" si="20"/>
        <v>-193</v>
      </c>
      <c r="AA53" s="518">
        <f t="shared" si="23"/>
        <v>1.4111813002970641</v>
      </c>
      <c r="AB53" s="518">
        <f t="shared" si="23"/>
        <v>1.3887992970508456</v>
      </c>
      <c r="AC53" s="449" t="str">
        <f t="shared" si="24"/>
        <v>Familiar CB</v>
      </c>
      <c r="AD53" s="449" t="s">
        <v>454</v>
      </c>
      <c r="AG53" s="605">
        <f>+IF(Tabla3[[#This Row],[Amortización k | cupón de intereses]]="Amortización de K",Tabla3[[#This Row],[Valor Nominal]],0)</f>
        <v>0</v>
      </c>
      <c r="AH53" s="605">
        <f>+IF(AND(Tabla3[[#This Row],[Amortización k | cupón de intereses]]="Cupón de interés",Tabla3[[#This Row],[Estado]]="Vigente"),Tabla3[[#This Row],[Valor Nominal]],0)</f>
        <v>0</v>
      </c>
      <c r="AI53" s="618">
        <f>+IF(Tabla3[[#This Row],[Amortización k | cupón de intereses]]="Amortización de K",SUMIFS($AH$7:$AH$557,Tabla3[Código Emisión],Tabla3[[#This Row],[Código Emisión]],Tabla3[Fecha de operación],Tabla3[[#This Row],[Fecha de operación]]),0)-Tabla3[[#This Row],[Accrued]]*Tabla3[[#This Row],[Valor Nominal]]</f>
        <v>0</v>
      </c>
      <c r="AJ53" s="605">
        <f>+IF(Tabla3[[#This Row],[Amortización k | cupón de intereses]]="Amortización de K",IF(Tabla3[[#This Row],[Precio Clean]]&gt;1,Tabla3[[#This Row],[Valor Nominal]]*(Tabla3[[#This Row],[Precio Clean]]-1),0),0)</f>
        <v>0</v>
      </c>
      <c r="AK53" s="605">
        <f>+IF(Tabla3[[#This Row],[Amortización k | cupón de intereses]]="Amortización de K",IF(Tabla3[[#This Row],[Precio Clean]]&lt;1,Tabla3[[#This Row],[Valor Nominal]]*(Tabla3[[#This Row],[Precio Clean]]-1),0),0)</f>
        <v>0</v>
      </c>
    </row>
    <row r="54" spans="1:45" ht="15">
      <c r="A54" s="500">
        <f>+A48+1</f>
        <v>5</v>
      </c>
      <c r="B54" s="475" t="s">
        <v>494</v>
      </c>
      <c r="C54" s="475" t="s">
        <v>495</v>
      </c>
      <c r="D54" s="475" t="s">
        <v>453</v>
      </c>
      <c r="E54" s="475" t="s">
        <v>496</v>
      </c>
      <c r="F54" s="475" t="s">
        <v>297</v>
      </c>
      <c r="G54" s="475" t="s">
        <v>298</v>
      </c>
      <c r="H54" s="475">
        <v>3</v>
      </c>
      <c r="I54" s="477">
        <v>50000</v>
      </c>
      <c r="J54" s="478">
        <v>6.4000000000000001E-2</v>
      </c>
      <c r="K54" s="479">
        <f>_xlfn.MAXIFS(R:R,C:C,C54,AD:AD,"Cupón de interés",X:X,"Vencido")</f>
        <v>46104</v>
      </c>
      <c r="L54" s="478">
        <f>+Tabla3[[#This Row],[Tasa de Interés]]*($U$5-Tabla3[[#This Row],[Last coupon]])/365</f>
        <v>1.4027397260273973E-3</v>
      </c>
      <c r="M54" s="480">
        <f>+Tabla3[[#This Row],[Precio Dirty]]-Tabla3[[#This Row],[Accrued]]</f>
        <v>1.0003515819142037</v>
      </c>
      <c r="N54" s="481">
        <f>SUMIFS(U:U,C:C,C54,Q:Q,Q54)/SUMIFS(T:T,C:C,C54,Q:Q,Q54,AD:AD,"Amortización de K")</f>
        <v>1.0017543216402311</v>
      </c>
      <c r="O54" s="482">
        <v>6.50128752E-2</v>
      </c>
      <c r="P54" s="482">
        <f>+NOMINAL(Tabla3[[#This Row],[YTM]],4)</f>
        <v>6.3485420303006634E-2</v>
      </c>
      <c r="Q54" s="484">
        <v>45838</v>
      </c>
      <c r="R54" s="484">
        <v>46384</v>
      </c>
      <c r="S54" s="504" t="s">
        <v>146</v>
      </c>
      <c r="T54" s="505">
        <f>Tabla3[[#This Row],[Cantidad]]*Tabla3[[#This Row],[Cortes]]</f>
        <v>150000</v>
      </c>
      <c r="U54" s="506">
        <f t="shared" si="0"/>
        <v>143121.95796202499</v>
      </c>
      <c r="V54" s="506">
        <f t="shared" si="1"/>
        <v>143097.26199210339</v>
      </c>
      <c r="W54" s="487">
        <f>IF(Tabla3[[#This Row],[Fecha de operación]]=$C$1,0,U54-V54)</f>
        <v>24.695969921594951</v>
      </c>
      <c r="X54" s="507" t="str">
        <f t="shared" si="19"/>
        <v>Vigente</v>
      </c>
      <c r="Y54" s="489" t="s">
        <v>450</v>
      </c>
      <c r="Z54" s="488">
        <f t="shared" si="20"/>
        <v>272</v>
      </c>
      <c r="AA54" s="508">
        <f>IF(Y54="Mensual",DURATION($C$1,$C$1+Z54*12,J54/12,O54/12,1)/12,DURATION($C$1,R54,J54,O54,IF(Y54="Cupón cero",1,IF(Y54="Al vencimiento",1,IF(Y54="Anual",1,IF(Y54="Semestral",2,IF(Y54="Trimestral",4,"")))))))</f>
        <v>0.72991288968998791</v>
      </c>
      <c r="AB54" s="508">
        <f>IF(Y54="Mensual",MDURATION($C$1,$C$1+Z54*12,J54/12,O54/12,1)/12,MDURATION($C$1,R54,J54,O54,IF(Y54="Cupón cero",1,IF(Y54="Al vencimiento",1,IF(Y54="Anual",1,IF(Y54="Semestral",2,IF(Y54="Trimestral",4,"")))))))</f>
        <v>0.7182391909684428</v>
      </c>
      <c r="AC54" s="488" t="s">
        <v>451</v>
      </c>
      <c r="AD54" s="488" t="s">
        <v>452</v>
      </c>
      <c r="AG54" s="605">
        <f>+IF(Tabla3[[#This Row],[Amortización k | cupón de intereses]]="Amortización de K",Tabla3[[#This Row],[Valor Nominal]],0)</f>
        <v>150000</v>
      </c>
      <c r="AH54" s="605">
        <f>+IF(AND(Tabla3[[#This Row],[Amortización k | cupón de intereses]]="Cupón de interés",Tabla3[[#This Row],[Estado]]="Vigente"),Tabla3[[#This Row],[Valor Nominal]],0)</f>
        <v>0</v>
      </c>
      <c r="AI54" s="618">
        <f>+IF(Tabla3[[#This Row],[Amortización k | cupón de intereses]]="Amortización de K",SUMIFS($AH$7:$AH$557,Tabla3[Código Emisión],Tabla3[[#This Row],[Código Emisión]],Tabla3[Fecha de operación],Tabla3[[#This Row],[Fecha de operación]]),0)-Tabla3[[#This Row],[Accrued]]*Tabla3[[#This Row],[Valor Nominal]]</f>
        <v>7153.9590410958899</v>
      </c>
      <c r="AJ54" s="605">
        <f>+IF(Tabla3[[#This Row],[Amortización k | cupón de intereses]]="Amortización de K",IF(Tabla3[[#This Row],[Precio Clean]]&gt;1,Tabla3[[#This Row],[Valor Nominal]]*(Tabla3[[#This Row],[Precio Clean]]-1),0),0)</f>
        <v>52.737287130555366</v>
      </c>
      <c r="AK54" s="605">
        <f>+IF(Tabla3[[#This Row],[Amortización k | cupón de intereses]]="Amortización de K",IF(Tabla3[[#This Row],[Precio Clean]]&lt;1,Tabla3[[#This Row],[Valor Nominal]]*(Tabla3[[#This Row],[Precio Clean]]-1),0),0)</f>
        <v>0</v>
      </c>
    </row>
    <row r="55" spans="1:45">
      <c r="A55" s="502"/>
      <c r="B55" s="437" t="str">
        <f t="shared" ref="B55:H60" si="25">+B54</f>
        <v>Solar Banco SAECA</v>
      </c>
      <c r="C55" s="437" t="str">
        <f t="shared" si="25"/>
        <v>GSAF_6,40%_28122026_AA3247-56_50K</v>
      </c>
      <c r="D55" s="437" t="str">
        <f t="shared" si="25"/>
        <v>CDA</v>
      </c>
      <c r="E55" s="437" t="str">
        <f t="shared" si="25"/>
        <v>Apy</v>
      </c>
      <c r="F55" s="437" t="str">
        <f t="shared" si="25"/>
        <v>Financiero</v>
      </c>
      <c r="G55" s="437" t="str">
        <f t="shared" si="25"/>
        <v>Paraguay</v>
      </c>
      <c r="H55" s="437">
        <f>+H54</f>
        <v>3</v>
      </c>
      <c r="I55" s="445">
        <v>894.24</v>
      </c>
      <c r="J55" s="462"/>
      <c r="L55" s="442"/>
      <c r="M55" s="493"/>
      <c r="N55" s="493"/>
      <c r="O55" s="516">
        <f t="shared" ref="O55:Q60" si="26">+O54</f>
        <v>6.50128752E-2</v>
      </c>
      <c r="P55" s="516">
        <f t="shared" si="26"/>
        <v>6.3485420303006634E-2</v>
      </c>
      <c r="Q55" s="450">
        <f t="shared" si="26"/>
        <v>45838</v>
      </c>
      <c r="R55" s="450">
        <v>46384</v>
      </c>
      <c r="S55" s="509" t="s">
        <v>146</v>
      </c>
      <c r="T55" s="510">
        <f>Tabla3[[#This Row],[Cantidad]]*Tabla3[[#This Row],[Cortes]]</f>
        <v>2682.7200000000003</v>
      </c>
      <c r="U55" s="511">
        <f t="shared" si="0"/>
        <v>2559.7075937592249</v>
      </c>
      <c r="V55" s="511">
        <f t="shared" si="1"/>
        <v>2559.2659112763708</v>
      </c>
      <c r="W55" s="497">
        <f>IF(Tabla3[[#This Row],[Fecha de operación]]=$C$1,0,U55-V55)</f>
        <v>0.44168248285404843</v>
      </c>
      <c r="X55" s="512" t="str">
        <f t="shared" si="19"/>
        <v>Vigente</v>
      </c>
      <c r="Y55" s="517"/>
      <c r="Z55" s="449">
        <f t="shared" si="20"/>
        <v>272</v>
      </c>
      <c r="AA55" s="518">
        <f t="shared" ref="AA55:AB60" si="27">AA54</f>
        <v>0.72991288968998791</v>
      </c>
      <c r="AB55" s="518">
        <f t="shared" si="27"/>
        <v>0.7182391909684428</v>
      </c>
      <c r="AC55" s="449" t="str">
        <f>+AC54</f>
        <v>Familiar CB</v>
      </c>
      <c r="AD55" s="449" t="s">
        <v>454</v>
      </c>
      <c r="AG55" s="605">
        <f>+IF(Tabla3[[#This Row],[Amortización k | cupón de intereses]]="Amortización de K",Tabla3[[#This Row],[Valor Nominal]],0)</f>
        <v>0</v>
      </c>
      <c r="AH55" s="605">
        <f>+IF(AND(Tabla3[[#This Row],[Amortización k | cupón de intereses]]="Cupón de interés",Tabla3[[#This Row],[Estado]]="Vigente"),Tabla3[[#This Row],[Valor Nominal]],0)</f>
        <v>2682.7200000000003</v>
      </c>
      <c r="AI55" s="618">
        <f>+IF(Tabla3[[#This Row],[Amortización k | cupón de intereses]]="Amortización de K",SUMIFS($AH$7:$AH$557,Tabla3[Código Emisión],Tabla3[[#This Row],[Código Emisión]],Tabla3[Fecha de operación],Tabla3[[#This Row],[Fecha de operación]]),0)-Tabla3[[#This Row],[Accrued]]*Tabla3[[#This Row],[Valor Nominal]]</f>
        <v>0</v>
      </c>
      <c r="AJ55" s="605">
        <f>+IF(Tabla3[[#This Row],[Amortización k | cupón de intereses]]="Amortización de K",IF(Tabla3[[#This Row],[Precio Clean]]&gt;1,Tabla3[[#This Row],[Valor Nominal]]*(Tabla3[[#This Row],[Precio Clean]]-1),0),0)</f>
        <v>0</v>
      </c>
      <c r="AK55" s="605">
        <f>+IF(Tabla3[[#This Row],[Amortización k | cupón de intereses]]="Amortización de K",IF(Tabla3[[#This Row],[Precio Clean]]&lt;1,Tabla3[[#This Row],[Valor Nominal]]*(Tabla3[[#This Row],[Precio Clean]]-1),0),0)</f>
        <v>0</v>
      </c>
      <c r="AN55" s="624"/>
      <c r="AP55" s="627"/>
    </row>
    <row r="56" spans="1:45">
      <c r="A56" s="502"/>
      <c r="B56" s="437" t="str">
        <f t="shared" si="25"/>
        <v>Solar Banco SAECA</v>
      </c>
      <c r="C56" s="437" t="str">
        <f t="shared" si="25"/>
        <v>GSAF_6,40%_28122026_AA3247-56_50K</v>
      </c>
      <c r="D56" s="437" t="str">
        <f t="shared" si="25"/>
        <v>CDA</v>
      </c>
      <c r="E56" s="437" t="str">
        <f t="shared" si="25"/>
        <v>Apy</v>
      </c>
      <c r="F56" s="437" t="str">
        <f t="shared" si="25"/>
        <v>Financiero</v>
      </c>
      <c r="G56" s="437" t="str">
        <f t="shared" si="25"/>
        <v>Paraguay</v>
      </c>
      <c r="H56" s="437">
        <f t="shared" si="25"/>
        <v>3</v>
      </c>
      <c r="I56" s="445">
        <v>789.04</v>
      </c>
      <c r="J56" s="462"/>
      <c r="L56" s="442"/>
      <c r="M56" s="493"/>
      <c r="N56" s="493"/>
      <c r="O56" s="516">
        <f t="shared" si="26"/>
        <v>6.50128752E-2</v>
      </c>
      <c r="P56" s="516">
        <f t="shared" si="26"/>
        <v>6.3485420303006634E-2</v>
      </c>
      <c r="Q56" s="450">
        <f t="shared" si="26"/>
        <v>45838</v>
      </c>
      <c r="R56" s="450">
        <v>46282</v>
      </c>
      <c r="S56" s="509" t="s">
        <v>146</v>
      </c>
      <c r="T56" s="510">
        <f>Tabla3[[#This Row],[Cantidad]]*Tabla3[[#This Row],[Cortes]]</f>
        <v>2367.12</v>
      </c>
      <c r="U56" s="511">
        <f t="shared" si="0"/>
        <v>2298.6860275469953</v>
      </c>
      <c r="V56" s="511">
        <f t="shared" si="1"/>
        <v>2298.2893848388894</v>
      </c>
      <c r="W56" s="497">
        <f>IF(Tabla3[[#This Row],[Fecha de operación]]=$C$1,0,U56-V56)</f>
        <v>0.39664270810590097</v>
      </c>
      <c r="X56" s="512" t="str">
        <f t="shared" si="19"/>
        <v>Vigente</v>
      </c>
      <c r="Y56" s="517"/>
      <c r="Z56" s="449">
        <f t="shared" si="20"/>
        <v>170</v>
      </c>
      <c r="AA56" s="518">
        <f t="shared" si="27"/>
        <v>0.72991288968998791</v>
      </c>
      <c r="AB56" s="518">
        <f t="shared" si="27"/>
        <v>0.7182391909684428</v>
      </c>
      <c r="AC56" s="449" t="str">
        <f t="shared" ref="AC56:AC60" si="28">+AC55</f>
        <v>Familiar CB</v>
      </c>
      <c r="AD56" s="449" t="s">
        <v>454</v>
      </c>
      <c r="AG56" s="605">
        <f>+IF(Tabla3[[#This Row],[Amortización k | cupón de intereses]]="Amortización de K",Tabla3[[#This Row],[Valor Nominal]],0)</f>
        <v>0</v>
      </c>
      <c r="AH56" s="605">
        <f>+IF(AND(Tabla3[[#This Row],[Amortización k | cupón de intereses]]="Cupón de interés",Tabla3[[#This Row],[Estado]]="Vigente"),Tabla3[[#This Row],[Valor Nominal]],0)</f>
        <v>2367.12</v>
      </c>
      <c r="AI56" s="618">
        <f>+IF(Tabla3[[#This Row],[Amortización k | cupón de intereses]]="Amortización de K",SUMIFS($AH$7:$AH$557,Tabla3[Código Emisión],Tabla3[[#This Row],[Código Emisión]],Tabla3[Fecha de operación],Tabla3[[#This Row],[Fecha de operación]]),0)-Tabla3[[#This Row],[Accrued]]*Tabla3[[#This Row],[Valor Nominal]]</f>
        <v>0</v>
      </c>
      <c r="AJ56" s="605">
        <f>+IF(Tabla3[[#This Row],[Amortización k | cupón de intereses]]="Amortización de K",IF(Tabla3[[#This Row],[Precio Clean]]&gt;1,Tabla3[[#This Row],[Valor Nominal]]*(Tabla3[[#This Row],[Precio Clean]]-1),0),0)</f>
        <v>0</v>
      </c>
      <c r="AK56" s="605">
        <f>+IF(Tabla3[[#This Row],[Amortización k | cupón de intereses]]="Amortización de K",IF(Tabla3[[#This Row],[Precio Clean]]&lt;1,Tabla3[[#This Row],[Valor Nominal]]*(Tabla3[[#This Row],[Precio Clean]]-1),0),0)</f>
        <v>0</v>
      </c>
      <c r="AN56" s="463"/>
      <c r="AO56" s="437"/>
      <c r="AR56" s="628"/>
    </row>
    <row r="57" spans="1:45">
      <c r="A57" s="502"/>
      <c r="B57" s="437" t="str">
        <f t="shared" si="25"/>
        <v>Solar Banco SAECA</v>
      </c>
      <c r="C57" s="437" t="str">
        <f t="shared" si="25"/>
        <v>GSAF_6,40%_28122026_AA3247-56_50K</v>
      </c>
      <c r="D57" s="437" t="str">
        <f t="shared" si="25"/>
        <v>CDA</v>
      </c>
      <c r="E57" s="437" t="str">
        <f t="shared" si="25"/>
        <v>Apy</v>
      </c>
      <c r="F57" s="437" t="str">
        <f t="shared" si="25"/>
        <v>Financiero</v>
      </c>
      <c r="G57" s="437" t="str">
        <f t="shared" si="25"/>
        <v>Paraguay</v>
      </c>
      <c r="H57" s="437">
        <f t="shared" si="25"/>
        <v>3</v>
      </c>
      <c r="I57" s="445">
        <v>771.51</v>
      </c>
      <c r="J57" s="462"/>
      <c r="L57" s="442"/>
      <c r="M57" s="493"/>
      <c r="N57" s="493"/>
      <c r="O57" s="516">
        <f t="shared" si="26"/>
        <v>6.50128752E-2</v>
      </c>
      <c r="P57" s="516">
        <f t="shared" si="26"/>
        <v>6.3485420303006634E-2</v>
      </c>
      <c r="Q57" s="450">
        <f t="shared" si="26"/>
        <v>45838</v>
      </c>
      <c r="R57" s="450">
        <v>46192</v>
      </c>
      <c r="S57" s="509" t="s">
        <v>146</v>
      </c>
      <c r="T57" s="510">
        <f>Tabla3[[#This Row],[Cantidad]]*Tabla3[[#This Row],[Cortes]]</f>
        <v>2314.5299999999997</v>
      </c>
      <c r="U57" s="511">
        <f t="shared" si="0"/>
        <v>2282.7966627034693</v>
      </c>
      <c r="V57" s="511">
        <f t="shared" si="1"/>
        <v>2282.4027617359166</v>
      </c>
      <c r="W57" s="497">
        <f>IF(Tabla3[[#This Row],[Fecha de operación]]=$C$1,0,U57-V57)</f>
        <v>0.39390096755278137</v>
      </c>
      <c r="X57" s="512" t="str">
        <f t="shared" si="19"/>
        <v>Vigente</v>
      </c>
      <c r="Y57" s="517"/>
      <c r="Z57" s="449">
        <f t="shared" si="20"/>
        <v>80</v>
      </c>
      <c r="AA57" s="518">
        <f t="shared" si="27"/>
        <v>0.72991288968998791</v>
      </c>
      <c r="AB57" s="518">
        <f t="shared" si="27"/>
        <v>0.7182391909684428</v>
      </c>
      <c r="AC57" s="449" t="str">
        <f t="shared" si="28"/>
        <v>Familiar CB</v>
      </c>
      <c r="AD57" s="449" t="s">
        <v>454</v>
      </c>
      <c r="AG57" s="605">
        <f>+IF(Tabla3[[#This Row],[Amortización k | cupón de intereses]]="Amortización de K",Tabla3[[#This Row],[Valor Nominal]],0)</f>
        <v>0</v>
      </c>
      <c r="AH57" s="605">
        <f>+IF(AND(Tabla3[[#This Row],[Amortización k | cupón de intereses]]="Cupón de interés",Tabla3[[#This Row],[Estado]]="Vigente"),Tabla3[[#This Row],[Valor Nominal]],0)</f>
        <v>2314.5299999999997</v>
      </c>
      <c r="AI57" s="618">
        <f>+IF(Tabla3[[#This Row],[Amortización k | cupón de intereses]]="Amortización de K",SUMIFS($AH$7:$AH$557,Tabla3[Código Emisión],Tabla3[[#This Row],[Código Emisión]],Tabla3[Fecha de operación],Tabla3[[#This Row],[Fecha de operación]]),0)-Tabla3[[#This Row],[Accrued]]*Tabla3[[#This Row],[Valor Nominal]]</f>
        <v>0</v>
      </c>
      <c r="AJ57" s="605">
        <f>+IF(Tabla3[[#This Row],[Amortización k | cupón de intereses]]="Amortización de K",IF(Tabla3[[#This Row],[Precio Clean]]&gt;1,Tabla3[[#This Row],[Valor Nominal]]*(Tabla3[[#This Row],[Precio Clean]]-1),0),0)</f>
        <v>0</v>
      </c>
      <c r="AK57" s="605">
        <f>+IF(Tabla3[[#This Row],[Amortización k | cupón de intereses]]="Amortización de K",IF(Tabla3[[#This Row],[Precio Clean]]&lt;1,Tabla3[[#This Row],[Valor Nominal]]*(Tabla3[[#This Row],[Precio Clean]]-1),0),0)</f>
        <v>0</v>
      </c>
      <c r="AR57" s="628"/>
    </row>
    <row r="58" spans="1:45">
      <c r="A58" s="502"/>
      <c r="B58" s="437" t="str">
        <f t="shared" si="25"/>
        <v>Solar Banco SAECA</v>
      </c>
      <c r="C58" s="437" t="str">
        <f t="shared" si="25"/>
        <v>GSAF_6,40%_28122026_AA3247-56_50K</v>
      </c>
      <c r="D58" s="437" t="str">
        <f t="shared" si="25"/>
        <v>CDA</v>
      </c>
      <c r="E58" s="437" t="str">
        <f t="shared" si="25"/>
        <v>Apy</v>
      </c>
      <c r="F58" s="437" t="str">
        <f t="shared" si="25"/>
        <v>Financiero</v>
      </c>
      <c r="G58" s="437" t="str">
        <f t="shared" si="25"/>
        <v>Paraguay</v>
      </c>
      <c r="H58" s="437">
        <f t="shared" si="25"/>
        <v>3</v>
      </c>
      <c r="I58" s="445">
        <v>797.81</v>
      </c>
      <c r="J58" s="462"/>
      <c r="L58" s="442"/>
      <c r="M58" s="493"/>
      <c r="N58" s="493"/>
      <c r="O58" s="516">
        <f t="shared" si="26"/>
        <v>6.50128752E-2</v>
      </c>
      <c r="P58" s="516">
        <f t="shared" si="26"/>
        <v>6.3485420303006634E-2</v>
      </c>
      <c r="Q58" s="450">
        <f t="shared" si="26"/>
        <v>45838</v>
      </c>
      <c r="R58" s="450">
        <v>46104</v>
      </c>
      <c r="S58" s="509" t="s">
        <v>146</v>
      </c>
      <c r="T58" s="510">
        <f>Tabla3[[#This Row],[Cantidad]]*Tabla3[[#This Row],[Cortes]]</f>
        <v>2393.4299999999998</v>
      </c>
      <c r="U58" s="511" t="b">
        <f t="shared" si="0"/>
        <v>0</v>
      </c>
      <c r="V58" s="511" t="b">
        <f t="shared" si="1"/>
        <v>0</v>
      </c>
      <c r="W58" s="497">
        <f>IF(Tabla3[[#This Row],[Fecha de operación]]=$C$1,0,U58-V58)</f>
        <v>0</v>
      </c>
      <c r="X58" s="512" t="str">
        <f t="shared" si="19"/>
        <v>Vencido</v>
      </c>
      <c r="Y58" s="517"/>
      <c r="Z58" s="449">
        <f t="shared" si="20"/>
        <v>-8</v>
      </c>
      <c r="AA58" s="518">
        <f t="shared" si="27"/>
        <v>0.72991288968998791</v>
      </c>
      <c r="AB58" s="518">
        <f t="shared" si="27"/>
        <v>0.7182391909684428</v>
      </c>
      <c r="AC58" s="449" t="str">
        <f t="shared" si="28"/>
        <v>Familiar CB</v>
      </c>
      <c r="AD58" s="449" t="s">
        <v>454</v>
      </c>
      <c r="AG58" s="605">
        <f>+IF(Tabla3[[#This Row],[Amortización k | cupón de intereses]]="Amortización de K",Tabla3[[#This Row],[Valor Nominal]],0)</f>
        <v>0</v>
      </c>
      <c r="AH58" s="605">
        <f>+IF(AND(Tabla3[[#This Row],[Amortización k | cupón de intereses]]="Cupón de interés",Tabla3[[#This Row],[Estado]]="Vigente"),Tabla3[[#This Row],[Valor Nominal]],0)</f>
        <v>0</v>
      </c>
      <c r="AI58" s="618">
        <f>+IF(Tabla3[[#This Row],[Amortización k | cupón de intereses]]="Amortización de K",SUMIFS($AH$7:$AH$557,Tabla3[Código Emisión],Tabla3[[#This Row],[Código Emisión]],Tabla3[Fecha de operación],Tabla3[[#This Row],[Fecha de operación]]),0)-Tabla3[[#This Row],[Accrued]]*Tabla3[[#This Row],[Valor Nominal]]</f>
        <v>0</v>
      </c>
      <c r="AJ58" s="605">
        <f>+IF(Tabla3[[#This Row],[Amortización k | cupón de intereses]]="Amortización de K",IF(Tabla3[[#This Row],[Precio Clean]]&gt;1,Tabla3[[#This Row],[Valor Nominal]]*(Tabla3[[#This Row],[Precio Clean]]-1),0),0)</f>
        <v>0</v>
      </c>
      <c r="AK58" s="605">
        <f>+IF(Tabla3[[#This Row],[Amortización k | cupón de intereses]]="Amortización de K",IF(Tabla3[[#This Row],[Precio Clean]]&lt;1,Tabla3[[#This Row],[Valor Nominal]]*(Tabla3[[#This Row],[Precio Clean]]-1),0),0)</f>
        <v>0</v>
      </c>
      <c r="AR58" s="628"/>
    </row>
    <row r="59" spans="1:45">
      <c r="A59" s="502"/>
      <c r="B59" s="437" t="str">
        <f t="shared" si="25"/>
        <v>Solar Banco SAECA</v>
      </c>
      <c r="C59" s="437" t="str">
        <f t="shared" si="25"/>
        <v>GSAF_6,40%_28122026_AA3247-56_50K</v>
      </c>
      <c r="D59" s="437" t="str">
        <f t="shared" si="25"/>
        <v>CDA</v>
      </c>
      <c r="E59" s="437" t="str">
        <f t="shared" si="25"/>
        <v>Apy</v>
      </c>
      <c r="F59" s="437" t="str">
        <f t="shared" si="25"/>
        <v>Financiero</v>
      </c>
      <c r="G59" s="437" t="str">
        <f t="shared" si="25"/>
        <v>Paraguay</v>
      </c>
      <c r="H59" s="437">
        <f t="shared" si="25"/>
        <v>3</v>
      </c>
      <c r="I59" s="445">
        <v>797.81</v>
      </c>
      <c r="J59" s="462"/>
      <c r="L59" s="442"/>
      <c r="M59" s="493"/>
      <c r="N59" s="493"/>
      <c r="O59" s="516">
        <f t="shared" si="26"/>
        <v>6.50128752E-2</v>
      </c>
      <c r="P59" s="516">
        <f t="shared" si="26"/>
        <v>6.3485420303006634E-2</v>
      </c>
      <c r="Q59" s="450">
        <f t="shared" si="26"/>
        <v>45838</v>
      </c>
      <c r="R59" s="450">
        <v>46013</v>
      </c>
      <c r="S59" s="509" t="s">
        <v>146</v>
      </c>
      <c r="T59" s="510">
        <f>Tabla3[[#This Row],[Cantidad]]*Tabla3[[#This Row],[Cortes]]</f>
        <v>2393.4299999999998</v>
      </c>
      <c r="U59" s="511" t="b">
        <f t="shared" si="0"/>
        <v>0</v>
      </c>
      <c r="V59" s="511" t="b">
        <f t="shared" si="1"/>
        <v>0</v>
      </c>
      <c r="W59" s="497">
        <f>IF(Tabla3[[#This Row],[Fecha de operación]]=$C$1,0,U59-V59)</f>
        <v>0</v>
      </c>
      <c r="X59" s="512" t="str">
        <f t="shared" si="19"/>
        <v>Vencido</v>
      </c>
      <c r="Y59" s="517"/>
      <c r="Z59" s="449">
        <f t="shared" si="20"/>
        <v>-99</v>
      </c>
      <c r="AA59" s="518">
        <f t="shared" si="27"/>
        <v>0.72991288968998791</v>
      </c>
      <c r="AB59" s="518">
        <f t="shared" si="27"/>
        <v>0.7182391909684428</v>
      </c>
      <c r="AC59" s="449" t="str">
        <f t="shared" si="28"/>
        <v>Familiar CB</v>
      </c>
      <c r="AD59" s="449" t="s">
        <v>454</v>
      </c>
      <c r="AG59" s="605">
        <f>+IF(Tabla3[[#This Row],[Amortización k | cupón de intereses]]="Amortización de K",Tabla3[[#This Row],[Valor Nominal]],0)</f>
        <v>0</v>
      </c>
      <c r="AH59" s="605">
        <f>+IF(AND(Tabla3[[#This Row],[Amortización k | cupón de intereses]]="Cupón de interés",Tabla3[[#This Row],[Estado]]="Vigente"),Tabla3[[#This Row],[Valor Nominal]],0)</f>
        <v>0</v>
      </c>
      <c r="AI59" s="618">
        <f>+IF(Tabla3[[#This Row],[Amortización k | cupón de intereses]]="Amortización de K",SUMIFS($AH$7:$AH$557,Tabla3[Código Emisión],Tabla3[[#This Row],[Código Emisión]],Tabla3[Fecha de operación],Tabla3[[#This Row],[Fecha de operación]]),0)-Tabla3[[#This Row],[Accrued]]*Tabla3[[#This Row],[Valor Nominal]]</f>
        <v>0</v>
      </c>
      <c r="AJ59" s="605">
        <f>+IF(Tabla3[[#This Row],[Amortización k | cupón de intereses]]="Amortización de K",IF(Tabla3[[#This Row],[Precio Clean]]&gt;1,Tabla3[[#This Row],[Valor Nominal]]*(Tabla3[[#This Row],[Precio Clean]]-1),0),0)</f>
        <v>0</v>
      </c>
      <c r="AK59" s="605">
        <f>+IF(Tabla3[[#This Row],[Amortización k | cupón de intereses]]="Amortización de K",IF(Tabla3[[#This Row],[Precio Clean]]&lt;1,Tabla3[[#This Row],[Valor Nominal]]*(Tabla3[[#This Row],[Precio Clean]]-1),0),0)</f>
        <v>0</v>
      </c>
      <c r="AR59" s="628"/>
    </row>
    <row r="60" spans="1:45">
      <c r="A60" s="502"/>
      <c r="B60" s="437" t="str">
        <f t="shared" si="25"/>
        <v>Solar Banco SAECA</v>
      </c>
      <c r="C60" s="437" t="str">
        <f t="shared" si="25"/>
        <v>GSAF_6,40%_28122026_AA3247-56_50K</v>
      </c>
      <c r="D60" s="437" t="str">
        <f t="shared" si="25"/>
        <v>CDA</v>
      </c>
      <c r="E60" s="437" t="str">
        <f t="shared" si="25"/>
        <v>Apy</v>
      </c>
      <c r="F60" s="437" t="str">
        <f t="shared" si="25"/>
        <v>Financiero</v>
      </c>
      <c r="G60" s="437" t="str">
        <f t="shared" si="25"/>
        <v>Paraguay</v>
      </c>
      <c r="H60" s="437">
        <f t="shared" si="25"/>
        <v>3</v>
      </c>
      <c r="I60" s="445">
        <v>789.04</v>
      </c>
      <c r="J60" s="462"/>
      <c r="L60" s="442"/>
      <c r="M60" s="493"/>
      <c r="N60" s="493"/>
      <c r="O60" s="516">
        <f t="shared" si="26"/>
        <v>6.50128752E-2</v>
      </c>
      <c r="P60" s="516">
        <f t="shared" si="26"/>
        <v>6.3485420303006634E-2</v>
      </c>
      <c r="Q60" s="450">
        <f t="shared" si="26"/>
        <v>45838</v>
      </c>
      <c r="R60" s="450">
        <v>45922</v>
      </c>
      <c r="S60" s="509" t="s">
        <v>146</v>
      </c>
      <c r="T60" s="510">
        <f>Tabla3[[#This Row],[Cantidad]]*Tabla3[[#This Row],[Cortes]]</f>
        <v>2367.12</v>
      </c>
      <c r="U60" s="511" t="b">
        <f t="shared" si="0"/>
        <v>0</v>
      </c>
      <c r="V60" s="511" t="b">
        <f t="shared" si="1"/>
        <v>0</v>
      </c>
      <c r="W60" s="497">
        <f>IF(Tabla3[[#This Row],[Fecha de operación]]=$C$1,0,U60-V60)</f>
        <v>0</v>
      </c>
      <c r="X60" s="512" t="str">
        <f t="shared" si="19"/>
        <v>Vencido</v>
      </c>
      <c r="Y60" s="517"/>
      <c r="Z60" s="449">
        <f t="shared" si="20"/>
        <v>-190</v>
      </c>
      <c r="AA60" s="518">
        <f t="shared" si="27"/>
        <v>0.72991288968998791</v>
      </c>
      <c r="AB60" s="518">
        <f t="shared" si="27"/>
        <v>0.7182391909684428</v>
      </c>
      <c r="AC60" s="449" t="str">
        <f t="shared" si="28"/>
        <v>Familiar CB</v>
      </c>
      <c r="AD60" s="449" t="s">
        <v>454</v>
      </c>
      <c r="AG60" s="605">
        <f>+IF(Tabla3[[#This Row],[Amortización k | cupón de intereses]]="Amortización de K",Tabla3[[#This Row],[Valor Nominal]],0)</f>
        <v>0</v>
      </c>
      <c r="AH60" s="605">
        <f>+IF(AND(Tabla3[[#This Row],[Amortización k | cupón de intereses]]="Cupón de interés",Tabla3[[#This Row],[Estado]]="Vigente"),Tabla3[[#This Row],[Valor Nominal]],0)</f>
        <v>0</v>
      </c>
      <c r="AI60" s="618">
        <f>+IF(Tabla3[[#This Row],[Amortización k | cupón de intereses]]="Amortización de K",SUMIFS($AH$7:$AH$557,Tabla3[Código Emisión],Tabla3[[#This Row],[Código Emisión]],Tabla3[Fecha de operación],Tabla3[[#This Row],[Fecha de operación]]),0)-Tabla3[[#This Row],[Accrued]]*Tabla3[[#This Row],[Valor Nominal]]</f>
        <v>0</v>
      </c>
      <c r="AJ60" s="605">
        <f>+IF(Tabla3[[#This Row],[Amortización k | cupón de intereses]]="Amortización de K",IF(Tabla3[[#This Row],[Precio Clean]]&gt;1,Tabla3[[#This Row],[Valor Nominal]]*(Tabla3[[#This Row],[Precio Clean]]-1),0),0)</f>
        <v>0</v>
      </c>
      <c r="AK60" s="605">
        <f>+IF(Tabla3[[#This Row],[Amortización k | cupón de intereses]]="Amortización de K",IF(Tabla3[[#This Row],[Precio Clean]]&lt;1,Tabla3[[#This Row],[Valor Nominal]]*(Tabla3[[#This Row],[Precio Clean]]-1),0),0)</f>
        <v>0</v>
      </c>
      <c r="AS60" s="606"/>
    </row>
    <row r="61" spans="1:45" ht="15">
      <c r="A61" s="500">
        <f>+A54+1</f>
        <v>6</v>
      </c>
      <c r="B61" s="475" t="s">
        <v>489</v>
      </c>
      <c r="C61" s="475" t="s">
        <v>497</v>
      </c>
      <c r="D61" s="475" t="s">
        <v>453</v>
      </c>
      <c r="E61" s="475" t="s">
        <v>491</v>
      </c>
      <c r="F61" s="475" t="s">
        <v>297</v>
      </c>
      <c r="G61" s="475" t="s">
        <v>298</v>
      </c>
      <c r="H61" s="475">
        <v>1</v>
      </c>
      <c r="I61" s="477">
        <v>380000</v>
      </c>
      <c r="J61" s="478">
        <v>6.5500000000000003E-2</v>
      </c>
      <c r="K61" s="479">
        <v>45695</v>
      </c>
      <c r="L61" s="478">
        <f>+Tabla3[[#This Row],[Tasa de Interés]]*($U$5-Tabla3[[#This Row],[Last coupon]])/365</f>
        <v>7.4831506849315069E-2</v>
      </c>
      <c r="M61" s="480">
        <f>+Tabla3[[#This Row],[Precio Dirty]]-Tabla3[[#This Row],[Accrued]]</f>
        <v>0.99857698533954453</v>
      </c>
      <c r="N61" s="481">
        <f>SUMIFS(U:U,C:C,C61,Q:Q,Q61)/SUMIFS(T:T,C:C,C61,Q:Q,Q61,AD:AD,"Amortización de K")</f>
        <v>1.0734084921888596</v>
      </c>
      <c r="O61" s="482">
        <v>6.5995201468467699E-2</v>
      </c>
      <c r="P61" s="482">
        <v>6.6000000000000003E-2</v>
      </c>
      <c r="Q61" s="484">
        <v>45845</v>
      </c>
      <c r="R61" s="484">
        <v>46245</v>
      </c>
      <c r="S61" s="504" t="s">
        <v>146</v>
      </c>
      <c r="T61" s="505">
        <f>Tabla3[[#This Row],[Cantidad]]*Tabla3[[#This Row],[Cortes]]</f>
        <v>380000</v>
      </c>
      <c r="U61" s="506">
        <f t="shared" si="0"/>
        <v>371253.05821631686</v>
      </c>
      <c r="V61" s="506">
        <f t="shared" si="1"/>
        <v>371188.06021786819</v>
      </c>
      <c r="W61" s="487">
        <f>IF(Tabla3[[#This Row],[Fecha de operación]]=$C$1,0,U61-V61)</f>
        <v>64.997998448670842</v>
      </c>
      <c r="X61" s="507" t="str">
        <f t="shared" si="19"/>
        <v>Vigente</v>
      </c>
      <c r="Y61" s="489" t="s">
        <v>498</v>
      </c>
      <c r="Z61" s="488">
        <f t="shared" si="20"/>
        <v>133</v>
      </c>
      <c r="AA61" s="508">
        <f>IF(Y61="Mensual",DURATION($C$1,$C$1+Z61*12,J61/12,O61/12,1)/12,DURATION($C$1,R61,J61,O61,IF(Y61="Cupón cero",1,IF(Y61="Al vencimiento",1,IF(Y61="Anual",1,IF(Y61="Semestral",2,IF(Y61="Trimestral",4,"")))))))</f>
        <v>0.36111111111111116</v>
      </c>
      <c r="AB61" s="508">
        <f>IF(Y61="Mensual",MDURATION($C$1,$C$1+Z61*12,J61/12,O61/12,1)/12,MDURATION($C$1,R61,J61,O61,IF(Y61="Cupón cero",1,IF(Y61="Al vencimiento",1,IF(Y61="Anual",1,IF(Y61="Semestral",2,IF(Y61="Trimestral",4,"")))))))</f>
        <v>0.33875491241767364</v>
      </c>
      <c r="AC61" s="488" t="s">
        <v>451</v>
      </c>
      <c r="AD61" s="488" t="s">
        <v>452</v>
      </c>
      <c r="AG61" s="605">
        <f>+IF(Tabla3[[#This Row],[Amortización k | cupón de intereses]]="Amortización de K",Tabla3[[#This Row],[Valor Nominal]],0)</f>
        <v>380000</v>
      </c>
      <c r="AH61" s="605">
        <f>+IF(AND(Tabla3[[#This Row],[Amortización k | cupón de intereses]]="Cupón de interés",Tabla3[[#This Row],[Estado]]="Vigente"),Tabla3[[#This Row],[Valor Nominal]],0)</f>
        <v>0</v>
      </c>
      <c r="AI61" s="618">
        <f>+IF(Tabla3[[#This Row],[Amortización k | cupón de intereses]]="Amortización de K",SUMIFS($AH$7:$AH$557,Tabla3[Código Emisión],Tabla3[[#This Row],[Código Emisión]],Tabla3[Fecha de operación],Tabla3[[#This Row],[Fecha de operación]]),0)-Tabla3[[#This Row],[Accrued]]*Tabla3[[#This Row],[Valor Nominal]]</f>
        <v>9069.5073972602768</v>
      </c>
      <c r="AJ61" s="605">
        <f>+IF(Tabla3[[#This Row],[Amortización k | cupón de intereses]]="Amortización de K",IF(Tabla3[[#This Row],[Precio Clean]]&gt;1,Tabla3[[#This Row],[Valor Nominal]]*(Tabla3[[#This Row],[Precio Clean]]-1),0),0)</f>
        <v>0</v>
      </c>
      <c r="AK61" s="605">
        <f>+IF(Tabla3[[#This Row],[Amortización k | cupón de intereses]]="Amortización de K",IF(Tabla3[[#This Row],[Precio Clean]]&lt;1,Tabla3[[#This Row],[Valor Nominal]]*(Tabla3[[#This Row],[Precio Clean]]-1),0),0)</f>
        <v>-540.74557097307797</v>
      </c>
      <c r="AS61" s="606"/>
    </row>
    <row r="62" spans="1:45">
      <c r="A62" s="502"/>
      <c r="B62" s="437" t="str">
        <f t="shared" ref="B62:G62" si="29">+B61</f>
        <v>Financiera FIC SAECA</v>
      </c>
      <c r="C62" s="437" t="str">
        <f t="shared" si="29"/>
        <v>FIC_6,55%_11082026_AA1538_380K</v>
      </c>
      <c r="D62" s="437" t="str">
        <f t="shared" si="29"/>
        <v>CDA</v>
      </c>
      <c r="E62" s="437" t="str">
        <f t="shared" si="29"/>
        <v>A-py</v>
      </c>
      <c r="F62" s="437" t="str">
        <f t="shared" si="29"/>
        <v>Financiero</v>
      </c>
      <c r="G62" s="437" t="str">
        <f t="shared" si="29"/>
        <v>Paraguay</v>
      </c>
      <c r="H62" s="437">
        <f>+H61</f>
        <v>1</v>
      </c>
      <c r="I62" s="445">
        <v>37505.480000000003</v>
      </c>
      <c r="J62" s="462"/>
      <c r="L62" s="442"/>
      <c r="M62" s="493"/>
      <c r="N62" s="493"/>
      <c r="O62" s="516">
        <f t="shared" ref="O62:Q62" si="30">+O61</f>
        <v>6.5995201468467699E-2</v>
      </c>
      <c r="P62" s="516">
        <f t="shared" si="30"/>
        <v>6.6000000000000003E-2</v>
      </c>
      <c r="Q62" s="450">
        <f t="shared" si="30"/>
        <v>45845</v>
      </c>
      <c r="R62" s="450">
        <v>46245</v>
      </c>
      <c r="S62" s="509" t="s">
        <v>146</v>
      </c>
      <c r="T62" s="510">
        <f>Tabla3[[#This Row],[Cantidad]]*Tabla3[[#This Row],[Cortes]]</f>
        <v>37505.480000000003</v>
      </c>
      <c r="U62" s="511">
        <f t="shared" si="0"/>
        <v>36642.168815449761</v>
      </c>
      <c r="V62" s="511">
        <f t="shared" si="1"/>
        <v>36635.753601947508</v>
      </c>
      <c r="W62" s="497">
        <f>IF(Tabla3[[#This Row],[Fecha de operación]]=$C$1,0,U62-V62)</f>
        <v>6.4152135022522998</v>
      </c>
      <c r="X62" s="512" t="str">
        <f t="shared" si="19"/>
        <v>Vigente</v>
      </c>
      <c r="Y62" s="517"/>
      <c r="Z62" s="449">
        <f t="shared" si="20"/>
        <v>133</v>
      </c>
      <c r="AA62" s="518">
        <f t="shared" ref="AA62:AB62" si="31">AA61</f>
        <v>0.36111111111111116</v>
      </c>
      <c r="AB62" s="518">
        <f t="shared" si="31"/>
        <v>0.33875491241767364</v>
      </c>
      <c r="AC62" s="449" t="str">
        <f>+AC61</f>
        <v>Familiar CB</v>
      </c>
      <c r="AD62" s="449" t="s">
        <v>454</v>
      </c>
      <c r="AG62" s="605">
        <f>+IF(Tabla3[[#This Row],[Amortización k | cupón de intereses]]="Amortización de K",Tabla3[[#This Row],[Valor Nominal]],0)</f>
        <v>0</v>
      </c>
      <c r="AH62" s="605">
        <f>+IF(AND(Tabla3[[#This Row],[Amortización k | cupón de intereses]]="Cupón de interés",Tabla3[[#This Row],[Estado]]="Vigente"),Tabla3[[#This Row],[Valor Nominal]],0)</f>
        <v>37505.480000000003</v>
      </c>
      <c r="AI62" s="618">
        <f>+IF(Tabla3[[#This Row],[Amortización k | cupón de intereses]]="Amortización de K",SUMIFS($AH$7:$AH$557,Tabla3[Código Emisión],Tabla3[[#This Row],[Código Emisión]],Tabla3[Fecha de operación],Tabla3[[#This Row],[Fecha de operación]]),0)-Tabla3[[#This Row],[Accrued]]*Tabla3[[#This Row],[Valor Nominal]]</f>
        <v>0</v>
      </c>
      <c r="AJ62" s="605">
        <f>+IF(Tabla3[[#This Row],[Amortización k | cupón de intereses]]="Amortización de K",IF(Tabla3[[#This Row],[Precio Clean]]&gt;1,Tabla3[[#This Row],[Valor Nominal]]*(Tabla3[[#This Row],[Precio Clean]]-1),0),0)</f>
        <v>0</v>
      </c>
      <c r="AK62" s="605">
        <f>+IF(Tabla3[[#This Row],[Amortización k | cupón de intereses]]="Amortización de K",IF(Tabla3[[#This Row],[Precio Clean]]&lt;1,Tabla3[[#This Row],[Valor Nominal]]*(Tabla3[[#This Row],[Precio Clean]]-1),0),0)</f>
        <v>0</v>
      </c>
      <c r="AS62" s="606"/>
    </row>
    <row r="63" spans="1:45" ht="15">
      <c r="A63" s="500">
        <f>+A61+1</f>
        <v>7</v>
      </c>
      <c r="B63" s="475" t="s">
        <v>485</v>
      </c>
      <c r="C63" s="475" t="s">
        <v>486</v>
      </c>
      <c r="D63" s="475" t="s">
        <v>453</v>
      </c>
      <c r="E63" s="475" t="s">
        <v>487</v>
      </c>
      <c r="F63" s="475" t="s">
        <v>297</v>
      </c>
      <c r="G63" s="475" t="s">
        <v>298</v>
      </c>
      <c r="H63" s="475">
        <v>1</v>
      </c>
      <c r="I63" s="477">
        <v>200000</v>
      </c>
      <c r="J63" s="478">
        <v>6.4500000000000002E-2</v>
      </c>
      <c r="K63" s="479">
        <f>_xlfn.MAXIFS(R:R,C:C,C63,AD:AD,"Cupón de interés",X:X,"Vencido")</f>
        <v>46100</v>
      </c>
      <c r="L63" s="478">
        <f>+Tabla3[[#This Row],[Tasa de Interés]]*($U$5-Tabla3[[#This Row],[Last coupon]])/365</f>
        <v>2.1205479452054794E-3</v>
      </c>
      <c r="M63" s="480">
        <f>+Tabla3[[#This Row],[Precio Dirty]]-Tabla3[[#This Row],[Accrued]]</f>
        <v>1.0014074171703617</v>
      </c>
      <c r="N63" s="481">
        <f>SUMIFS(U:U,C:C,C63,Q:Q,Q63)/SUMIFS(T:T,C:C,C63,Q:Q,Q63,AD:AD,"Amortización de K")</f>
        <v>1.0035279651155673</v>
      </c>
      <c r="O63" s="478">
        <v>6.446408927440643E-2</v>
      </c>
      <c r="P63" s="482">
        <v>6.3457801253336221E-2</v>
      </c>
      <c r="Q63" s="484">
        <v>45847</v>
      </c>
      <c r="R63" s="484">
        <v>46650</v>
      </c>
      <c r="S63" s="504" t="s">
        <v>146</v>
      </c>
      <c r="T63" s="505">
        <f>Tabla3[[#This Row],[Cantidad]]*Tabla3[[#This Row],[Cortes]]</f>
        <v>200000</v>
      </c>
      <c r="U63" s="506">
        <f t="shared" si="0"/>
        <v>182406.21150863805</v>
      </c>
      <c r="V63" s="506">
        <f t="shared" si="1"/>
        <v>182374.99449754914</v>
      </c>
      <c r="W63" s="506">
        <f>IF(Tabla3[[#This Row],[Fecha de operación]]=$C$1,0,U63-V63)</f>
        <v>31.217011088912841</v>
      </c>
      <c r="X63" s="507" t="str">
        <f t="shared" si="19"/>
        <v>Vigente</v>
      </c>
      <c r="Y63" s="489" t="s">
        <v>450</v>
      </c>
      <c r="Z63" s="488">
        <f t="shared" si="20"/>
        <v>538</v>
      </c>
      <c r="AA63" s="508">
        <f t="shared" ref="AA63" si="32">IF(Y63="Mensual",DURATION($C$1,$C$1+Z63*12,J63/12,O63/12,1)/12,DURATION($C$1,R63,J63,O63,IF(Y63="Cupón cero",1,IF(Y63="Al vencimiento",1,IF(Y63="Anual",1,IF(Y63="Semestral",2,IF(Y63="Trimestral",4,"")))))))</f>
        <v>1.4111813121165326</v>
      </c>
      <c r="AB63" s="508">
        <f t="shared" ref="AB63" si="33">IF(Y63="Mensual",MDURATION($C$1,$C$1+Z63*12,J63/12,O63/12,1)/12,MDURATION($C$1,R63,J63,O63,IF(Y63="Cupón cero",1,IF(Y63="Al vencimiento",1,IF(Y63="Anual",1,IF(Y63="Semestral",2,IF(Y63="Trimestral",4,"")))))))</f>
        <v>1.3887993901488336</v>
      </c>
      <c r="AC63" s="488" t="s">
        <v>451</v>
      </c>
      <c r="AD63" s="488" t="s">
        <v>452</v>
      </c>
      <c r="AG63" s="605">
        <f>+IF(Tabla3[[#This Row],[Amortización k | cupón de intereses]]="Amortización de K",Tabla3[[#This Row],[Valor Nominal]],0)</f>
        <v>200000</v>
      </c>
      <c r="AH63" s="605">
        <f>+IF(AND(Tabla3[[#This Row],[Amortización k | cupón de intereses]]="Cupón de interés",Tabla3[[#This Row],[Estado]]="Vigente"),Tabla3[[#This Row],[Valor Nominal]],0)</f>
        <v>0</v>
      </c>
      <c r="AI63" s="618">
        <f>+IF(Tabla3[[#This Row],[Amortización k | cupón de intereses]]="Amortización de K",SUMIFS($AH$7:$AH$557,Tabla3[Código Emisión],Tabla3[[#This Row],[Código Emisión]],Tabla3[Fecha de operación],Tabla3[[#This Row],[Fecha de operación]]),0)-Tabla3[[#This Row],[Accrued]]*Tabla3[[#This Row],[Valor Nominal]]</f>
        <v>19014.230410958906</v>
      </c>
      <c r="AJ63" s="605">
        <f>+IF(Tabla3[[#This Row],[Amortización k | cupón de intereses]]="Amortización de K",IF(Tabla3[[#This Row],[Precio Clean]]&gt;1,Tabla3[[#This Row],[Valor Nominal]]*(Tabla3[[#This Row],[Precio Clean]]-1),0),0)</f>
        <v>281.48343407234933</v>
      </c>
      <c r="AK63" s="605">
        <f>+IF(Tabla3[[#This Row],[Amortización k | cupón de intereses]]="Amortización de K",IF(Tabla3[[#This Row],[Precio Clean]]&lt;1,Tabla3[[#This Row],[Valor Nominal]]*(Tabla3[[#This Row],[Precio Clean]]-1),0),0)</f>
        <v>0</v>
      </c>
      <c r="AS63" s="606"/>
    </row>
    <row r="64" spans="1:45">
      <c r="A64" s="502"/>
      <c r="B64" s="437" t="s">
        <v>485</v>
      </c>
      <c r="C64" s="437" t="str">
        <f>+C63</f>
        <v>BNF_6,45%_200927_BB1790-1794_200K</v>
      </c>
      <c r="D64" s="437" t="s">
        <v>453</v>
      </c>
      <c r="E64" s="437" t="str">
        <f>+E63</f>
        <v>AA+py</v>
      </c>
      <c r="F64" s="437" t="s">
        <v>297</v>
      </c>
      <c r="G64" s="437" t="s">
        <v>298</v>
      </c>
      <c r="H64" s="437">
        <v>1</v>
      </c>
      <c r="I64" s="492">
        <v>6538.35</v>
      </c>
      <c r="J64" s="451"/>
      <c r="K64" s="450"/>
      <c r="L64" s="451"/>
      <c r="M64" s="493"/>
      <c r="N64" s="493"/>
      <c r="O64" s="451">
        <f t="shared" ref="O64:Q68" si="34">+O63</f>
        <v>6.446408927440643E-2</v>
      </c>
      <c r="P64" s="451">
        <f t="shared" si="34"/>
        <v>6.3457801253336221E-2</v>
      </c>
      <c r="Q64" s="450">
        <f t="shared" si="34"/>
        <v>45847</v>
      </c>
      <c r="R64" s="450">
        <v>46650</v>
      </c>
      <c r="S64" s="437" t="s">
        <v>146</v>
      </c>
      <c r="T64" s="510">
        <f>Tabla3[[#This Row],[Cantidad]]*Tabla3[[#This Row],[Cortes]]</f>
        <v>6538.35</v>
      </c>
      <c r="U64" s="511">
        <f t="shared" si="0"/>
        <v>5963.1782650875175</v>
      </c>
      <c r="V64" s="511">
        <f t="shared" si="1"/>
        <v>5962.1577263652525</v>
      </c>
      <c r="W64" s="511">
        <f>IF(Tabla3[[#This Row],[Fecha de operación]]=$C$1,0,U64-V64)</f>
        <v>1.0205387222649733</v>
      </c>
      <c r="X64" s="469" t="str">
        <f t="shared" si="19"/>
        <v>Vigente</v>
      </c>
      <c r="Y64" s="469" t="s">
        <v>450</v>
      </c>
      <c r="Z64" s="469">
        <f t="shared" si="20"/>
        <v>538</v>
      </c>
      <c r="AA64" s="492">
        <f>+AA63</f>
        <v>1.4111813121165326</v>
      </c>
      <c r="AB64" s="492">
        <f>+AB63</f>
        <v>1.3887993901488336</v>
      </c>
      <c r="AC64" s="469" t="s">
        <v>451</v>
      </c>
      <c r="AD64" s="469" t="s">
        <v>454</v>
      </c>
      <c r="AG64" s="605">
        <f>+IF(Tabla3[[#This Row],[Amortización k | cupón de intereses]]="Amortización de K",Tabla3[[#This Row],[Valor Nominal]],0)</f>
        <v>0</v>
      </c>
      <c r="AH64" s="605">
        <f>+IF(AND(Tabla3[[#This Row],[Amortización k | cupón de intereses]]="Cupón de interés",Tabla3[[#This Row],[Estado]]="Vigente"),Tabla3[[#This Row],[Valor Nominal]],0)</f>
        <v>6538.35</v>
      </c>
      <c r="AI64" s="618">
        <f>+IF(Tabla3[[#This Row],[Amortización k | cupón de intereses]]="Amortización de K",SUMIFS($AH$7:$AH$557,Tabla3[Código Emisión],Tabla3[[#This Row],[Código Emisión]],Tabla3[Fecha de operación],Tabla3[[#This Row],[Fecha de operación]]),0)-Tabla3[[#This Row],[Accrued]]*Tabla3[[#This Row],[Valor Nominal]]</f>
        <v>0</v>
      </c>
      <c r="AJ64" s="605">
        <f>+IF(Tabla3[[#This Row],[Amortización k | cupón de intereses]]="Amortización de K",IF(Tabla3[[#This Row],[Precio Clean]]&gt;1,Tabla3[[#This Row],[Valor Nominal]]*(Tabla3[[#This Row],[Precio Clean]]-1),0),0)</f>
        <v>0</v>
      </c>
      <c r="AK64" s="605">
        <f>+IF(Tabla3[[#This Row],[Amortización k | cupón de intereses]]="Amortización de K",IF(Tabla3[[#This Row],[Precio Clean]]&lt;1,Tabla3[[#This Row],[Valor Nominal]]*(Tabla3[[#This Row],[Precio Clean]]-1),0),0)</f>
        <v>0</v>
      </c>
      <c r="AO64" s="606"/>
      <c r="AP64" s="629"/>
      <c r="AQ64" s="629"/>
    </row>
    <row r="65" spans="1:46">
      <c r="A65" s="502"/>
      <c r="B65" s="437" t="s">
        <v>485</v>
      </c>
      <c r="C65" s="437" t="str">
        <f>+C64</f>
        <v>BNF_6,45%_200927_BB1790-1794_200K</v>
      </c>
      <c r="D65" s="437" t="s">
        <v>453</v>
      </c>
      <c r="E65" s="437" t="str">
        <f>+E64</f>
        <v>AA+py</v>
      </c>
      <c r="F65" s="437" t="s">
        <v>297</v>
      </c>
      <c r="G65" s="437" t="s">
        <v>298</v>
      </c>
      <c r="H65" s="437">
        <v>1</v>
      </c>
      <c r="I65" s="492">
        <v>6326.3</v>
      </c>
      <c r="J65" s="451"/>
      <c r="K65" s="450"/>
      <c r="L65" s="451"/>
      <c r="M65" s="493"/>
      <c r="N65" s="493"/>
      <c r="O65" s="451">
        <f t="shared" si="34"/>
        <v>6.446408927440643E-2</v>
      </c>
      <c r="P65" s="451">
        <f t="shared" si="34"/>
        <v>6.3457801253336221E-2</v>
      </c>
      <c r="Q65" s="450">
        <f t="shared" si="34"/>
        <v>45847</v>
      </c>
      <c r="R65" s="450">
        <v>46465</v>
      </c>
      <c r="S65" s="437" t="s">
        <v>146</v>
      </c>
      <c r="T65" s="510">
        <f>Tabla3[[#This Row],[Cantidad]]*Tabla3[[#This Row],[Cortes]]</f>
        <v>6326.3</v>
      </c>
      <c r="U65" s="511">
        <f t="shared" si="0"/>
        <v>5955.3973956327482</v>
      </c>
      <c r="V65" s="511">
        <f t="shared" si="1"/>
        <v>5954.3781885289945</v>
      </c>
      <c r="W65" s="511">
        <f>IF(Tabla3[[#This Row],[Fecha de operación]]=$C$1,0,U65-V65)</f>
        <v>1.0192071037536152</v>
      </c>
      <c r="X65" s="469" t="str">
        <f t="shared" si="19"/>
        <v>Vigente</v>
      </c>
      <c r="Y65" s="469" t="s">
        <v>450</v>
      </c>
      <c r="Z65" s="469">
        <f t="shared" si="20"/>
        <v>353</v>
      </c>
      <c r="AA65" s="492">
        <f t="shared" ref="AA65:AA68" si="35">+AA64</f>
        <v>1.4111813121165326</v>
      </c>
      <c r="AB65" s="492">
        <f>+AB64</f>
        <v>1.3887993901488336</v>
      </c>
      <c r="AC65" s="469" t="s">
        <v>451</v>
      </c>
      <c r="AD65" s="469" t="s">
        <v>454</v>
      </c>
      <c r="AG65" s="605">
        <f>+IF(Tabla3[[#This Row],[Amortización k | cupón de intereses]]="Amortización de K",Tabla3[[#This Row],[Valor Nominal]],0)</f>
        <v>0</v>
      </c>
      <c r="AH65" s="605">
        <f>+IF(AND(Tabla3[[#This Row],[Amortización k | cupón de intereses]]="Cupón de interés",Tabla3[[#This Row],[Estado]]="Vigente"),Tabla3[[#This Row],[Valor Nominal]],0)</f>
        <v>6326.3</v>
      </c>
      <c r="AI65" s="618">
        <f>+IF(Tabla3[[#This Row],[Amortización k | cupón de intereses]]="Amortización de K",SUMIFS($AH$7:$AH$557,Tabla3[Código Emisión],Tabla3[[#This Row],[Código Emisión]],Tabla3[Fecha de operación],Tabla3[[#This Row],[Fecha de operación]]),0)-Tabla3[[#This Row],[Accrued]]*Tabla3[[#This Row],[Valor Nominal]]</f>
        <v>0</v>
      </c>
      <c r="AJ65" s="605">
        <f>+IF(Tabla3[[#This Row],[Amortización k | cupón de intereses]]="Amortización de K",IF(Tabla3[[#This Row],[Precio Clean]]&gt;1,Tabla3[[#This Row],[Valor Nominal]]*(Tabla3[[#This Row],[Precio Clean]]-1),0),0)</f>
        <v>0</v>
      </c>
      <c r="AK65" s="605">
        <f>+IF(Tabla3[[#This Row],[Amortización k | cupón de intereses]]="Amortización de K",IF(Tabla3[[#This Row],[Precio Clean]]&lt;1,Tabla3[[#This Row],[Valor Nominal]]*(Tabla3[[#This Row],[Precio Clean]]-1),0),0)</f>
        <v>0</v>
      </c>
      <c r="AO65" s="606"/>
      <c r="AP65" s="605"/>
      <c r="AQ65" s="605"/>
    </row>
    <row r="66" spans="1:46">
      <c r="A66" s="502"/>
      <c r="B66" s="437" t="s">
        <v>485</v>
      </c>
      <c r="C66" s="437" t="str">
        <f>+C65</f>
        <v>BNF_6,45%_200927_BB1790-1794_200K</v>
      </c>
      <c r="D66" s="437" t="s">
        <v>453</v>
      </c>
      <c r="E66" s="437" t="str">
        <f>+E65</f>
        <v>AA+py</v>
      </c>
      <c r="F66" s="437" t="s">
        <v>297</v>
      </c>
      <c r="G66" s="437" t="s">
        <v>298</v>
      </c>
      <c r="H66" s="437">
        <v>1</v>
      </c>
      <c r="I66" s="492">
        <v>6573.69</v>
      </c>
      <c r="J66" s="451"/>
      <c r="K66" s="450"/>
      <c r="L66" s="451"/>
      <c r="M66" s="493"/>
      <c r="N66" s="493"/>
      <c r="O66" s="451">
        <f t="shared" si="34"/>
        <v>6.446408927440643E-2</v>
      </c>
      <c r="P66" s="451">
        <f t="shared" si="34"/>
        <v>6.3457801253336221E-2</v>
      </c>
      <c r="Q66" s="450">
        <f t="shared" si="34"/>
        <v>45847</v>
      </c>
      <c r="R66" s="450">
        <v>46286</v>
      </c>
      <c r="S66" s="437" t="s">
        <v>146</v>
      </c>
      <c r="T66" s="510">
        <f>Tabla3[[#This Row],[Cantidad]]*Tabla3[[#This Row],[Cortes]]</f>
        <v>6573.69</v>
      </c>
      <c r="U66" s="511">
        <f t="shared" si="0"/>
        <v>6380.8058537551196</v>
      </c>
      <c r="V66" s="511">
        <f t="shared" si="1"/>
        <v>6379.7138422197386</v>
      </c>
      <c r="W66" s="511">
        <f>IF(Tabla3[[#This Row],[Fecha de operación]]=$C$1,0,U66-V66)</f>
        <v>1.0920115353810615</v>
      </c>
      <c r="X66" s="469" t="str">
        <f t="shared" si="19"/>
        <v>Vigente</v>
      </c>
      <c r="Y66" s="469" t="s">
        <v>450</v>
      </c>
      <c r="Z66" s="469">
        <f t="shared" si="20"/>
        <v>174</v>
      </c>
      <c r="AA66" s="492">
        <f t="shared" si="35"/>
        <v>1.4111813121165326</v>
      </c>
      <c r="AB66" s="492">
        <f>+AB65</f>
        <v>1.3887993901488336</v>
      </c>
      <c r="AC66" s="469" t="s">
        <v>451</v>
      </c>
      <c r="AD66" s="469" t="s">
        <v>454</v>
      </c>
      <c r="AG66" s="605">
        <f>+IF(Tabla3[[#This Row],[Amortización k | cupón de intereses]]="Amortización de K",Tabla3[[#This Row],[Valor Nominal]],0)</f>
        <v>0</v>
      </c>
      <c r="AH66" s="605">
        <f>+IF(AND(Tabla3[[#This Row],[Amortización k | cupón de intereses]]="Cupón de interés",Tabla3[[#This Row],[Estado]]="Vigente"),Tabla3[[#This Row],[Valor Nominal]],0)</f>
        <v>6573.69</v>
      </c>
      <c r="AI66" s="618">
        <f>+IF(Tabla3[[#This Row],[Amortización k | cupón de intereses]]="Amortización de K",SUMIFS($AH$7:$AH$557,Tabla3[Código Emisión],Tabla3[[#This Row],[Código Emisión]],Tabla3[Fecha de operación],Tabla3[[#This Row],[Fecha de operación]]),0)-Tabla3[[#This Row],[Accrued]]*Tabla3[[#This Row],[Valor Nominal]]</f>
        <v>0</v>
      </c>
      <c r="AJ66" s="605">
        <f>+IF(Tabla3[[#This Row],[Amortización k | cupón de intereses]]="Amortización de K",IF(Tabla3[[#This Row],[Precio Clean]]&gt;1,Tabla3[[#This Row],[Valor Nominal]]*(Tabla3[[#This Row],[Precio Clean]]-1),0),0)</f>
        <v>0</v>
      </c>
      <c r="AK66" s="605">
        <f>+IF(Tabla3[[#This Row],[Amortización k | cupón de intereses]]="Amortización de K",IF(Tabla3[[#This Row],[Precio Clean]]&lt;1,Tabla3[[#This Row],[Valor Nominal]]*(Tabla3[[#This Row],[Precio Clean]]-1),0),0)</f>
        <v>0</v>
      </c>
      <c r="AO66" s="606"/>
      <c r="AP66" s="605"/>
      <c r="AQ66" s="605"/>
    </row>
    <row r="67" spans="1:46">
      <c r="A67" s="502"/>
      <c r="B67" s="437" t="s">
        <v>485</v>
      </c>
      <c r="C67" s="437" t="str">
        <f>+C66</f>
        <v>BNF_6,45%_200927_BB1790-1794_200K</v>
      </c>
      <c r="D67" s="437" t="s">
        <v>453</v>
      </c>
      <c r="E67" s="437" t="str">
        <f>+E66</f>
        <v>AA+py</v>
      </c>
      <c r="F67" s="437" t="s">
        <v>297</v>
      </c>
      <c r="G67" s="437" t="s">
        <v>298</v>
      </c>
      <c r="H67" s="437">
        <v>1</v>
      </c>
      <c r="I67" s="492">
        <v>6396.98</v>
      </c>
      <c r="J67" s="451"/>
      <c r="K67" s="450"/>
      <c r="L67" s="451"/>
      <c r="M67" s="493"/>
      <c r="N67" s="493"/>
      <c r="O67" s="451">
        <f t="shared" si="34"/>
        <v>6.446408927440643E-2</v>
      </c>
      <c r="P67" s="451">
        <f t="shared" si="34"/>
        <v>6.3457801253336221E-2</v>
      </c>
      <c r="Q67" s="450">
        <f t="shared" si="34"/>
        <v>45847</v>
      </c>
      <c r="R67" s="450">
        <v>46100</v>
      </c>
      <c r="S67" s="437" t="s">
        <v>146</v>
      </c>
      <c r="T67" s="510">
        <f>Tabla3[[#This Row],[Cantidad]]*Tabla3[[#This Row],[Cortes]]</f>
        <v>6396.98</v>
      </c>
      <c r="U67" s="511" t="b">
        <f t="shared" si="0"/>
        <v>0</v>
      </c>
      <c r="V67" s="511" t="b">
        <f t="shared" si="1"/>
        <v>0</v>
      </c>
      <c r="W67" s="511">
        <f>IF(Tabla3[[#This Row],[Fecha de operación]]=$C$1,0,U67-V67)</f>
        <v>0</v>
      </c>
      <c r="X67" s="469" t="str">
        <f t="shared" si="19"/>
        <v>Vencido</v>
      </c>
      <c r="Y67" s="469" t="s">
        <v>450</v>
      </c>
      <c r="Z67" s="469">
        <f t="shared" si="20"/>
        <v>-12</v>
      </c>
      <c r="AA67" s="492">
        <f t="shared" si="35"/>
        <v>1.4111813121165326</v>
      </c>
      <c r="AB67" s="492">
        <f>+AB66</f>
        <v>1.3887993901488336</v>
      </c>
      <c r="AC67" s="469" t="s">
        <v>451</v>
      </c>
      <c r="AD67" s="469" t="s">
        <v>454</v>
      </c>
      <c r="AG67" s="605">
        <f>+IF(Tabla3[[#This Row],[Amortización k | cupón de intereses]]="Amortización de K",Tabla3[[#This Row],[Valor Nominal]],0)</f>
        <v>0</v>
      </c>
      <c r="AH67" s="605">
        <f>+IF(AND(Tabla3[[#This Row],[Amortización k | cupón de intereses]]="Cupón de interés",Tabla3[[#This Row],[Estado]]="Vigente"),Tabla3[[#This Row],[Valor Nominal]],0)</f>
        <v>0</v>
      </c>
      <c r="AI67" s="618">
        <f>+IF(Tabla3[[#This Row],[Amortización k | cupón de intereses]]="Amortización de K",SUMIFS($AH$7:$AH$557,Tabla3[Código Emisión],Tabla3[[#This Row],[Código Emisión]],Tabla3[Fecha de operación],Tabla3[[#This Row],[Fecha de operación]]),0)-Tabla3[[#This Row],[Accrued]]*Tabla3[[#This Row],[Valor Nominal]]</f>
        <v>0</v>
      </c>
      <c r="AJ67" s="605">
        <f>+IF(Tabla3[[#This Row],[Amortización k | cupón de intereses]]="Amortización de K",IF(Tabla3[[#This Row],[Precio Clean]]&gt;1,Tabla3[[#This Row],[Valor Nominal]]*(Tabla3[[#This Row],[Precio Clean]]-1),0),0)</f>
        <v>0</v>
      </c>
      <c r="AK67" s="605">
        <f>+IF(Tabla3[[#This Row],[Amortización k | cupón de intereses]]="Amortización de K",IF(Tabla3[[#This Row],[Precio Clean]]&lt;1,Tabla3[[#This Row],[Valor Nominal]]*(Tabla3[[#This Row],[Precio Clean]]-1),0),0)</f>
        <v>0</v>
      </c>
      <c r="AO67" s="606"/>
      <c r="AP67" s="605"/>
      <c r="AQ67" s="605"/>
    </row>
    <row r="68" spans="1:46">
      <c r="A68" s="519"/>
      <c r="B68" s="520" t="s">
        <v>485</v>
      </c>
      <c r="C68" s="437" t="str">
        <f>+C67</f>
        <v>BNF_6,45%_200927_BB1790-1794_200K</v>
      </c>
      <c r="D68" s="520" t="s">
        <v>453</v>
      </c>
      <c r="E68" s="437" t="str">
        <f>+E67</f>
        <v>AA+py</v>
      </c>
      <c r="F68" s="520" t="s">
        <v>297</v>
      </c>
      <c r="G68" s="520" t="s">
        <v>298</v>
      </c>
      <c r="H68" s="520">
        <v>1</v>
      </c>
      <c r="I68" s="521">
        <v>6503.01</v>
      </c>
      <c r="J68" s="522"/>
      <c r="K68" s="524"/>
      <c r="L68" s="522"/>
      <c r="M68" s="523"/>
      <c r="N68" s="523"/>
      <c r="O68" s="522">
        <f t="shared" si="34"/>
        <v>6.446408927440643E-2</v>
      </c>
      <c r="P68" s="522">
        <f t="shared" si="34"/>
        <v>6.3457801253336221E-2</v>
      </c>
      <c r="Q68" s="524">
        <f t="shared" si="34"/>
        <v>45847</v>
      </c>
      <c r="R68" s="524">
        <v>45919</v>
      </c>
      <c r="S68" s="520" t="s">
        <v>146</v>
      </c>
      <c r="T68" s="525">
        <f>Tabla3[[#This Row],[Cantidad]]*Tabla3[[#This Row],[Cortes]]</f>
        <v>6503.01</v>
      </c>
      <c r="U68" s="526" t="b">
        <f t="shared" si="0"/>
        <v>0</v>
      </c>
      <c r="V68" s="526" t="b">
        <f t="shared" si="1"/>
        <v>0</v>
      </c>
      <c r="W68" s="526">
        <f>IF(Tabla3[[#This Row],[Fecha de operación]]=$C$1,0,U68-V68)</f>
        <v>0</v>
      </c>
      <c r="X68" s="528" t="str">
        <f t="shared" si="19"/>
        <v>Vencido</v>
      </c>
      <c r="Y68" s="528" t="s">
        <v>450</v>
      </c>
      <c r="Z68" s="528">
        <f t="shared" si="20"/>
        <v>-193</v>
      </c>
      <c r="AA68" s="492">
        <f t="shared" si="35"/>
        <v>1.4111813121165326</v>
      </c>
      <c r="AB68" s="445">
        <f>+AB67</f>
        <v>1.3887993901488336</v>
      </c>
      <c r="AC68" s="528" t="s">
        <v>451</v>
      </c>
      <c r="AD68" s="528" t="s">
        <v>454</v>
      </c>
      <c r="AG68" s="605">
        <f>+IF(Tabla3[[#This Row],[Amortización k | cupón de intereses]]="Amortización de K",Tabla3[[#This Row],[Valor Nominal]],0)</f>
        <v>0</v>
      </c>
      <c r="AH68" s="605">
        <f>+IF(AND(Tabla3[[#This Row],[Amortización k | cupón de intereses]]="Cupón de interés",Tabla3[[#This Row],[Estado]]="Vigente"),Tabla3[[#This Row],[Valor Nominal]],0)</f>
        <v>0</v>
      </c>
      <c r="AI68" s="618">
        <f>+IF(Tabla3[[#This Row],[Amortización k | cupón de intereses]]="Amortización de K",SUMIFS($AH$7:$AH$557,Tabla3[Código Emisión],Tabla3[[#This Row],[Código Emisión]],Tabla3[Fecha de operación],Tabla3[[#This Row],[Fecha de operación]]),0)-Tabla3[[#This Row],[Accrued]]*Tabla3[[#This Row],[Valor Nominal]]</f>
        <v>0</v>
      </c>
      <c r="AJ68" s="605">
        <f>+IF(Tabla3[[#This Row],[Amortización k | cupón de intereses]]="Amortización de K",IF(Tabla3[[#This Row],[Precio Clean]]&gt;1,Tabla3[[#This Row],[Valor Nominal]]*(Tabla3[[#This Row],[Precio Clean]]-1),0),0)</f>
        <v>0</v>
      </c>
      <c r="AK68" s="605">
        <f>+IF(Tabla3[[#This Row],[Amortización k | cupón de intereses]]="Amortización de K",IF(Tabla3[[#This Row],[Precio Clean]]&lt;1,Tabla3[[#This Row],[Valor Nominal]]*(Tabla3[[#This Row],[Precio Clean]]-1),0),0)</f>
        <v>0</v>
      </c>
    </row>
    <row r="69" spans="1:46" ht="15">
      <c r="A69" s="500">
        <f>+A63+1</f>
        <v>8</v>
      </c>
      <c r="B69" s="475" t="s">
        <v>500</v>
      </c>
      <c r="C69" s="475" t="s">
        <v>501</v>
      </c>
      <c r="D69" s="475" t="s">
        <v>466</v>
      </c>
      <c r="E69" s="475" t="s">
        <v>561</v>
      </c>
      <c r="F69" s="475" t="s">
        <v>502</v>
      </c>
      <c r="G69" s="475" t="s">
        <v>401</v>
      </c>
      <c r="H69" s="475">
        <v>250</v>
      </c>
      <c r="I69" s="477">
        <v>1000</v>
      </c>
      <c r="J69" s="478">
        <v>5.1249999999999997E-2</v>
      </c>
      <c r="K69" s="479">
        <f>_xlfn.MAXIFS(R:R,C:C,C69,AD:AD,"Cupón de interés",X:X,"Vencido")</f>
        <v>46112</v>
      </c>
      <c r="L69" s="478">
        <f>+Tabla3[[#This Row],[Tasa de Interés]]*($U$5-Tabla3[[#This Row],[Last coupon]])/365</f>
        <v>0</v>
      </c>
      <c r="M69" s="480">
        <f>+Tabla3[[#This Row],[Precio Dirty]]-Tabla3[[#This Row],[Accrued]]</f>
        <v>0.98589766337721618</v>
      </c>
      <c r="N69" s="481">
        <f>SUMIFS(U:U,C:C,C69,Q:Q,Q69)/SUMIFS(T:T,C:C,C69,Q:Q,Q69,AD:AD,"Amortización de K")</f>
        <v>0.98589766337721618</v>
      </c>
      <c r="O69" s="482">
        <v>6.6193596401531871E-2</v>
      </c>
      <c r="P69" s="482">
        <v>6.6052426367268602E-2</v>
      </c>
      <c r="Q69" s="484">
        <v>45854</v>
      </c>
      <c r="R69" s="484">
        <v>46477</v>
      </c>
      <c r="S69" s="504" t="s">
        <v>146</v>
      </c>
      <c r="T69" s="510">
        <f>Tabla3[[#This Row],[Cantidad]]*Tabla3[[#This Row],[Cortes]]</f>
        <v>250000</v>
      </c>
      <c r="U69" s="511">
        <f>IF(X69="VIgente",(T69/(1+O69)^((R69-$U$5)/360)))</f>
        <v>234270.35021482874</v>
      </c>
      <c r="V69" s="511">
        <f>IF(X69="VIgente",(T69/(1+O69)^((R69-$V$5)/360)))</f>
        <v>234228.64409650359</v>
      </c>
      <c r="W69" s="497">
        <f>IF(Tabla3[[#This Row],[Fecha de operación]]=$C$1,0,U69-V69)</f>
        <v>41.706118325149873</v>
      </c>
      <c r="X69" s="507" t="str">
        <f t="shared" si="19"/>
        <v>Vigente</v>
      </c>
      <c r="Y69" s="489" t="s">
        <v>488</v>
      </c>
      <c r="Z69" s="488">
        <f t="shared" si="20"/>
        <v>365</v>
      </c>
      <c r="AA69" s="508">
        <f>IF(Y69="Mensual",DURATION($C$1,$C$1+Z69*12,J69/12,O69/12,1)/12,DURATION($C$1,R69,J69,O69,IF(Y69="Cupón cero",1,IF(Y69="Al vencimiento",1,IF(Y69="Anual",1,IF(Y69="Semestral",2,IF(Y69="Trimestral",4,"")))))))</f>
        <v>0.98741889880959655</v>
      </c>
      <c r="AB69" s="508">
        <f>IF(Y69="Mensual",MDURATION($C$1,$C$1+Z69*12,J69/12,O69/12,1)/12,MDURATION($C$1,R69,J69,O69,IF(Y69="Cupón cero",1,IF(Y69="Al vencimiento",1,IF(Y69="Anual",1,IF(Y69="Semestral",2,IF(Y69="Trimestral",4,"")))))))</f>
        <v>0.95578546030660272</v>
      </c>
      <c r="AC69" s="488" t="s">
        <v>451</v>
      </c>
      <c r="AD69" s="488" t="s">
        <v>452</v>
      </c>
      <c r="AG69" s="605">
        <f>+IF(Tabla3[[#This Row],[Amortización k | cupón de intereses]]="Amortización de K",Tabla3[[#This Row],[Valor Nominal]],0)</f>
        <v>250000</v>
      </c>
      <c r="AH69" s="605">
        <f>+IF(AND(Tabla3[[#This Row],[Amortización k | cupón de intereses]]="Cupón de interés",Tabla3[[#This Row],[Estado]]="Vigente"),Tabla3[[#This Row],[Valor Nominal]],0)</f>
        <v>0</v>
      </c>
      <c r="AI69" s="618">
        <f>+IF(Tabla3[[#This Row],[Amortización k | cupón de intereses]]="Amortización de K",SUMIFS($AH$7:$AH$557,Tabla3[Código Emisión],Tabla3[[#This Row],[Código Emisión]],Tabla3[Fecha de operación],Tabla3[[#This Row],[Fecha de operación]]),0)-Tabla3[[#This Row],[Accrued]]*Tabla3[[#This Row],[Valor Nominal]]</f>
        <v>12812.5</v>
      </c>
      <c r="AJ69" s="605">
        <f>+IF(Tabla3[[#This Row],[Amortización k | cupón de intereses]]="Amortización de K",IF(Tabla3[[#This Row],[Precio Clean]]&gt;1,Tabla3[[#This Row],[Valor Nominal]]*(Tabla3[[#This Row],[Precio Clean]]-1),0),0)</f>
        <v>0</v>
      </c>
      <c r="AK69" s="605">
        <f>+IF(Tabla3[[#This Row],[Amortización k | cupón de intereses]]="Amortización de K",IF(Tabla3[[#This Row],[Precio Clean]]&lt;1,Tabla3[[#This Row],[Valor Nominal]]*(Tabla3[[#This Row],[Precio Clean]]-1),0),0)</f>
        <v>-3525.5841556959545</v>
      </c>
    </row>
    <row r="70" spans="1:46">
      <c r="A70" s="502"/>
      <c r="B70" s="437" t="str">
        <f t="shared" ref="B70:H73" si="36">+B69</f>
        <v>Globo Comunicacao e Participacoes S.A.</v>
      </c>
      <c r="C70" s="437" t="str">
        <f t="shared" si="36"/>
        <v>USP47777AA86</v>
      </c>
      <c r="D70" s="437" t="str">
        <f t="shared" si="36"/>
        <v>Bonos en el exterior</v>
      </c>
      <c r="E70" s="437" t="str">
        <f t="shared" si="36"/>
        <v>BB+ Internacional</v>
      </c>
      <c r="F70" s="437" t="str">
        <f t="shared" si="36"/>
        <v>Medios y telecomunicaciones</v>
      </c>
      <c r="G70" s="437" t="str">
        <f t="shared" si="36"/>
        <v>Brasil</v>
      </c>
      <c r="H70" s="437">
        <f>+H69</f>
        <v>250</v>
      </c>
      <c r="I70" s="492">
        <f>2.5625*10</f>
        <v>25.625</v>
      </c>
      <c r="J70" s="451"/>
      <c r="L70" s="442"/>
      <c r="M70" s="493"/>
      <c r="N70" s="493"/>
      <c r="O70" s="494">
        <f t="shared" ref="O70:Q73" si="37">+O69</f>
        <v>6.6193596401531871E-2</v>
      </c>
      <c r="P70" s="494">
        <f t="shared" si="37"/>
        <v>6.6052426367268602E-2</v>
      </c>
      <c r="Q70" s="450">
        <f t="shared" si="37"/>
        <v>45854</v>
      </c>
      <c r="R70" s="450">
        <v>46477</v>
      </c>
      <c r="S70" s="509" t="s">
        <v>146</v>
      </c>
      <c r="T70" s="510">
        <f>Tabla3[[#This Row],[Cantidad]]*Tabla3[[#This Row],[Cortes]]</f>
        <v>6406.25</v>
      </c>
      <c r="U70" s="511">
        <f t="shared" ref="U70:U72" si="38">IF(X70="VIgente",(T70/(1+O70)^((R70-$U$5)/360)))</f>
        <v>6003.1777242549861</v>
      </c>
      <c r="V70" s="511">
        <f t="shared" ref="V70:V72" si="39">IF(X70="VIgente",(T70/(1+O70)^((R70-$V$5)/360)))</f>
        <v>6002.1090049729037</v>
      </c>
      <c r="W70" s="497">
        <f>IF(Tabla3[[#This Row],[Fecha de operación]]=$C$1,0,U70-V70)</f>
        <v>1.0687192820823839</v>
      </c>
      <c r="X70" s="512" t="str">
        <f t="shared" si="19"/>
        <v>Vigente</v>
      </c>
      <c r="Y70" s="498"/>
      <c r="Z70" s="469">
        <f t="shared" si="20"/>
        <v>365</v>
      </c>
      <c r="AA70" s="499">
        <f t="shared" ref="AA70:AB73" si="40">AA69</f>
        <v>0.98741889880959655</v>
      </c>
      <c r="AB70" s="499">
        <f t="shared" si="40"/>
        <v>0.95578546030660272</v>
      </c>
      <c r="AC70" s="469" t="str">
        <f t="shared" ref="AC70:AC73" si="41">+AC69</f>
        <v>Familiar CB</v>
      </c>
      <c r="AD70" s="469" t="s">
        <v>454</v>
      </c>
      <c r="AG70" s="605">
        <f>+IF(Tabla3[[#This Row],[Amortización k | cupón de intereses]]="Amortización de K",Tabla3[[#This Row],[Valor Nominal]],0)</f>
        <v>0</v>
      </c>
      <c r="AH70" s="605">
        <f>+IF(AND(Tabla3[[#This Row],[Amortización k | cupón de intereses]]="Cupón de interés",Tabla3[[#This Row],[Estado]]="Vigente"),Tabla3[[#This Row],[Valor Nominal]],0)</f>
        <v>6406.25</v>
      </c>
      <c r="AI70" s="618">
        <f>+IF(Tabla3[[#This Row],[Amortización k | cupón de intereses]]="Amortización de K",SUMIFS($AH$7:$AH$557,Tabla3[Código Emisión],Tabla3[[#This Row],[Código Emisión]],Tabla3[Fecha de operación],Tabla3[[#This Row],[Fecha de operación]]),0)-Tabla3[[#This Row],[Accrued]]*Tabla3[[#This Row],[Valor Nominal]]</f>
        <v>0</v>
      </c>
      <c r="AJ70" s="605">
        <f>+IF(Tabla3[[#This Row],[Amortización k | cupón de intereses]]="Amortización de K",IF(Tabla3[[#This Row],[Precio Clean]]&gt;1,Tabla3[[#This Row],[Valor Nominal]]*(Tabla3[[#This Row],[Precio Clean]]-1),0),0)</f>
        <v>0</v>
      </c>
      <c r="AK70" s="605">
        <f>+IF(Tabla3[[#This Row],[Amortización k | cupón de intereses]]="Amortización de K",IF(Tabla3[[#This Row],[Precio Clean]]&lt;1,Tabla3[[#This Row],[Valor Nominal]]*(Tabla3[[#This Row],[Precio Clean]]-1),0),0)</f>
        <v>0</v>
      </c>
    </row>
    <row r="71" spans="1:46">
      <c r="A71" s="502"/>
      <c r="B71" s="437" t="str">
        <f t="shared" si="36"/>
        <v>Globo Comunicacao e Participacoes S.A.</v>
      </c>
      <c r="C71" s="437" t="str">
        <f t="shared" si="36"/>
        <v>USP47777AA86</v>
      </c>
      <c r="D71" s="437" t="str">
        <f t="shared" si="36"/>
        <v>Bonos en el exterior</v>
      </c>
      <c r="E71" s="437" t="str">
        <f t="shared" si="36"/>
        <v>BB+ Internacional</v>
      </c>
      <c r="F71" s="437" t="str">
        <f t="shared" si="36"/>
        <v>Medios y telecomunicaciones</v>
      </c>
      <c r="G71" s="437" t="str">
        <f t="shared" si="36"/>
        <v>Brasil</v>
      </c>
      <c r="H71" s="437">
        <f t="shared" si="36"/>
        <v>250</v>
      </c>
      <c r="I71" s="492">
        <f t="shared" ref="I71:I73" si="42">2.5625*10</f>
        <v>25.625</v>
      </c>
      <c r="J71" s="451"/>
      <c r="L71" s="442"/>
      <c r="M71" s="493"/>
      <c r="N71" s="493"/>
      <c r="O71" s="494">
        <f t="shared" si="37"/>
        <v>6.6193596401531871E-2</v>
      </c>
      <c r="P71" s="494">
        <f t="shared" si="37"/>
        <v>6.6052426367268602E-2</v>
      </c>
      <c r="Q71" s="450">
        <f t="shared" si="37"/>
        <v>45854</v>
      </c>
      <c r="R71" s="450">
        <v>46295</v>
      </c>
      <c r="S71" s="509" t="s">
        <v>146</v>
      </c>
      <c r="T71" s="510">
        <f>Tabla3[[#This Row],[Cantidad]]*Tabla3[[#This Row],[Cortes]]</f>
        <v>6406.25</v>
      </c>
      <c r="U71" s="511">
        <f t="shared" si="38"/>
        <v>6200.887905220322</v>
      </c>
      <c r="V71" s="511">
        <f t="shared" si="39"/>
        <v>6199.7839884657742</v>
      </c>
      <c r="W71" s="497">
        <f>IF(Tabla3[[#This Row],[Fecha de operación]]=$C$1,0,U71-V71)</f>
        <v>1.103916754547754</v>
      </c>
      <c r="X71" s="512" t="str">
        <f t="shared" si="19"/>
        <v>Vigente</v>
      </c>
      <c r="Y71" s="498"/>
      <c r="Z71" s="469">
        <f t="shared" si="20"/>
        <v>183</v>
      </c>
      <c r="AA71" s="499">
        <f t="shared" si="40"/>
        <v>0.98741889880959655</v>
      </c>
      <c r="AB71" s="499">
        <f t="shared" si="40"/>
        <v>0.95578546030660272</v>
      </c>
      <c r="AC71" s="469" t="str">
        <f t="shared" si="41"/>
        <v>Familiar CB</v>
      </c>
      <c r="AD71" s="469" t="s">
        <v>454</v>
      </c>
      <c r="AG71" s="605">
        <f>+IF(Tabla3[[#This Row],[Amortización k | cupón de intereses]]="Amortización de K",Tabla3[[#This Row],[Valor Nominal]],0)</f>
        <v>0</v>
      </c>
      <c r="AH71" s="605">
        <f>+IF(AND(Tabla3[[#This Row],[Amortización k | cupón de intereses]]="Cupón de interés",Tabla3[[#This Row],[Estado]]="Vigente"),Tabla3[[#This Row],[Valor Nominal]],0)</f>
        <v>6406.25</v>
      </c>
      <c r="AI71" s="618">
        <f>+IF(Tabla3[[#This Row],[Amortización k | cupón de intereses]]="Amortización de K",SUMIFS($AH$7:$AH$557,Tabla3[Código Emisión],Tabla3[[#This Row],[Código Emisión]],Tabla3[Fecha de operación],Tabla3[[#This Row],[Fecha de operación]]),0)-Tabla3[[#This Row],[Accrued]]*Tabla3[[#This Row],[Valor Nominal]]</f>
        <v>0</v>
      </c>
      <c r="AJ71" s="605">
        <f>+IF(Tabla3[[#This Row],[Amortización k | cupón de intereses]]="Amortización de K",IF(Tabla3[[#This Row],[Precio Clean]]&gt;1,Tabla3[[#This Row],[Valor Nominal]]*(Tabla3[[#This Row],[Precio Clean]]-1),0),0)</f>
        <v>0</v>
      </c>
      <c r="AK71" s="605">
        <f>+IF(Tabla3[[#This Row],[Amortización k | cupón de intereses]]="Amortización de K",IF(Tabla3[[#This Row],[Precio Clean]]&lt;1,Tabla3[[#This Row],[Valor Nominal]]*(Tabla3[[#This Row],[Precio Clean]]-1),0),0)</f>
        <v>0</v>
      </c>
    </row>
    <row r="72" spans="1:46">
      <c r="A72" s="502"/>
      <c r="B72" s="437" t="str">
        <f t="shared" si="36"/>
        <v>Globo Comunicacao e Participacoes S.A.</v>
      </c>
      <c r="C72" s="437" t="str">
        <f t="shared" si="36"/>
        <v>USP47777AA86</v>
      </c>
      <c r="D72" s="437" t="str">
        <f t="shared" si="36"/>
        <v>Bonos en el exterior</v>
      </c>
      <c r="E72" s="437" t="str">
        <f>+E71</f>
        <v>BB+ Internacional</v>
      </c>
      <c r="F72" s="437" t="str">
        <f t="shared" si="36"/>
        <v>Medios y telecomunicaciones</v>
      </c>
      <c r="G72" s="437" t="str">
        <f t="shared" si="36"/>
        <v>Brasil</v>
      </c>
      <c r="H72" s="437">
        <f t="shared" si="36"/>
        <v>250</v>
      </c>
      <c r="I72" s="492">
        <f t="shared" si="42"/>
        <v>25.625</v>
      </c>
      <c r="J72" s="451"/>
      <c r="L72" s="442"/>
      <c r="M72" s="493"/>
      <c r="N72" s="493"/>
      <c r="O72" s="494">
        <f t="shared" si="37"/>
        <v>6.6193596401531871E-2</v>
      </c>
      <c r="P72" s="494">
        <f t="shared" si="37"/>
        <v>6.6052426367268602E-2</v>
      </c>
      <c r="Q72" s="450">
        <f t="shared" si="37"/>
        <v>45854</v>
      </c>
      <c r="R72" s="450">
        <v>46112</v>
      </c>
      <c r="S72" s="509" t="s">
        <v>146</v>
      </c>
      <c r="T72" s="510">
        <f>Tabla3[[#This Row],[Cantidad]]*Tabla3[[#This Row],[Cortes]]</f>
        <v>6406.25</v>
      </c>
      <c r="U72" s="511" t="b">
        <f t="shared" si="38"/>
        <v>0</v>
      </c>
      <c r="V72" s="511" t="b">
        <f t="shared" si="39"/>
        <v>0</v>
      </c>
      <c r="W72" s="497">
        <f>IF(Tabla3[[#This Row],[Fecha de operación]]=$C$1,0,U72-V72)</f>
        <v>0</v>
      </c>
      <c r="X72" s="512" t="str">
        <f t="shared" si="19"/>
        <v>Vencido</v>
      </c>
      <c r="Y72" s="498"/>
      <c r="Z72" s="469">
        <f t="shared" si="20"/>
        <v>0</v>
      </c>
      <c r="AA72" s="499">
        <f t="shared" si="40"/>
        <v>0.98741889880959655</v>
      </c>
      <c r="AB72" s="499">
        <f t="shared" si="40"/>
        <v>0.95578546030660272</v>
      </c>
      <c r="AC72" s="469" t="str">
        <f t="shared" si="41"/>
        <v>Familiar CB</v>
      </c>
      <c r="AD72" s="469" t="s">
        <v>454</v>
      </c>
      <c r="AG72" s="605">
        <f>+IF(Tabla3[[#This Row],[Amortización k | cupón de intereses]]="Amortización de K",Tabla3[[#This Row],[Valor Nominal]],0)</f>
        <v>0</v>
      </c>
      <c r="AH72" s="605">
        <f>+IF(AND(Tabla3[[#This Row],[Amortización k | cupón de intereses]]="Cupón de interés",Tabla3[[#This Row],[Estado]]="Vigente"),Tabla3[[#This Row],[Valor Nominal]],0)</f>
        <v>0</v>
      </c>
      <c r="AI72" s="618">
        <f>+IF(Tabla3[[#This Row],[Amortización k | cupón de intereses]]="Amortización de K",SUMIFS($AH$7:$AH$557,Tabla3[Código Emisión],Tabla3[[#This Row],[Código Emisión]],Tabla3[Fecha de operación],Tabla3[[#This Row],[Fecha de operación]]),0)-Tabla3[[#This Row],[Accrued]]*Tabla3[[#This Row],[Valor Nominal]]</f>
        <v>0</v>
      </c>
      <c r="AJ72" s="605">
        <f>+IF(Tabla3[[#This Row],[Amortización k | cupón de intereses]]="Amortización de K",IF(Tabla3[[#This Row],[Precio Clean]]&gt;1,Tabla3[[#This Row],[Valor Nominal]]*(Tabla3[[#This Row],[Precio Clean]]-1),0),0)</f>
        <v>0</v>
      </c>
      <c r="AK72" s="605">
        <f>+IF(Tabla3[[#This Row],[Amortización k | cupón de intereses]]="Amortización de K",IF(Tabla3[[#This Row],[Precio Clean]]&lt;1,Tabla3[[#This Row],[Valor Nominal]]*(Tabla3[[#This Row],[Precio Clean]]-1),0),0)</f>
        <v>0</v>
      </c>
    </row>
    <row r="73" spans="1:46">
      <c r="A73" s="502"/>
      <c r="B73" s="437" t="str">
        <f t="shared" si="36"/>
        <v>Globo Comunicacao e Participacoes S.A.</v>
      </c>
      <c r="C73" s="437" t="str">
        <f t="shared" si="36"/>
        <v>USP47777AA86</v>
      </c>
      <c r="D73" s="437" t="str">
        <f t="shared" si="36"/>
        <v>Bonos en el exterior</v>
      </c>
      <c r="E73" s="437" t="str">
        <f t="shared" si="36"/>
        <v>BB+ Internacional</v>
      </c>
      <c r="F73" s="437" t="str">
        <f t="shared" si="36"/>
        <v>Medios y telecomunicaciones</v>
      </c>
      <c r="G73" s="437" t="str">
        <f t="shared" si="36"/>
        <v>Brasil</v>
      </c>
      <c r="H73" s="437">
        <f t="shared" si="36"/>
        <v>250</v>
      </c>
      <c r="I73" s="492">
        <f t="shared" si="42"/>
        <v>25.625</v>
      </c>
      <c r="J73" s="451"/>
      <c r="L73" s="442"/>
      <c r="M73" s="493"/>
      <c r="N73" s="493"/>
      <c r="O73" s="494">
        <f t="shared" si="37"/>
        <v>6.6193596401531871E-2</v>
      </c>
      <c r="P73" s="494">
        <f t="shared" si="37"/>
        <v>6.6052426367268602E-2</v>
      </c>
      <c r="Q73" s="450">
        <f t="shared" si="37"/>
        <v>45854</v>
      </c>
      <c r="R73" s="450">
        <v>45930</v>
      </c>
      <c r="S73" s="509" t="s">
        <v>146</v>
      </c>
      <c r="T73" s="510">
        <f>Tabla3[[#This Row],[Cantidad]]*Tabla3[[#This Row],[Cortes]]</f>
        <v>6406.25</v>
      </c>
      <c r="U73" s="511" t="b">
        <f>IF(X73="VIgente",(T73/(1+O73)^((R73-$U$5)/365)))</f>
        <v>0</v>
      </c>
      <c r="V73" s="511" t="b">
        <f>IF(X73="VIgente",(T73/(1+O73)^((R73-$V$5)/365)))</f>
        <v>0</v>
      </c>
      <c r="W73" s="497">
        <f>IF(Tabla3[[#This Row],[Fecha de operación]]=$C$1,0,U73-V73)</f>
        <v>0</v>
      </c>
      <c r="X73" s="512" t="str">
        <f t="shared" si="19"/>
        <v>Vencido</v>
      </c>
      <c r="Y73" s="498"/>
      <c r="Z73" s="469">
        <f t="shared" si="20"/>
        <v>-182</v>
      </c>
      <c r="AA73" s="499">
        <f t="shared" si="40"/>
        <v>0.98741889880959655</v>
      </c>
      <c r="AB73" s="499">
        <f t="shared" si="40"/>
        <v>0.95578546030660272</v>
      </c>
      <c r="AC73" s="469" t="str">
        <f t="shared" si="41"/>
        <v>Familiar CB</v>
      </c>
      <c r="AD73" s="469" t="s">
        <v>454</v>
      </c>
      <c r="AG73" s="605">
        <f>+IF(Tabla3[[#This Row],[Amortización k | cupón de intereses]]="Amortización de K",Tabla3[[#This Row],[Valor Nominal]],0)</f>
        <v>0</v>
      </c>
      <c r="AH73" s="605">
        <f>+IF(AND(Tabla3[[#This Row],[Amortización k | cupón de intereses]]="Cupón de interés",Tabla3[[#This Row],[Estado]]="Vigente"),Tabla3[[#This Row],[Valor Nominal]],0)</f>
        <v>0</v>
      </c>
      <c r="AI73" s="618">
        <f>+IF(Tabla3[[#This Row],[Amortización k | cupón de intereses]]="Amortización de K",SUMIFS($AH$7:$AH$557,Tabla3[Código Emisión],Tabla3[[#This Row],[Código Emisión]],Tabla3[Fecha de operación],Tabla3[[#This Row],[Fecha de operación]]),0)-Tabla3[[#This Row],[Accrued]]*Tabla3[[#This Row],[Valor Nominal]]</f>
        <v>0</v>
      </c>
      <c r="AJ73" s="605">
        <f>+IF(Tabla3[[#This Row],[Amortización k | cupón de intereses]]="Amortización de K",IF(Tabla3[[#This Row],[Precio Clean]]&gt;1,Tabla3[[#This Row],[Valor Nominal]]*(Tabla3[[#This Row],[Precio Clean]]-1),0),0)</f>
        <v>0</v>
      </c>
      <c r="AK73" s="605">
        <f>+IF(Tabla3[[#This Row],[Amortización k | cupón de intereses]]="Amortización de K",IF(Tabla3[[#This Row],[Precio Clean]]&lt;1,Tabla3[[#This Row],[Valor Nominal]]*(Tabla3[[#This Row],[Precio Clean]]-1),0),0)</f>
        <v>0</v>
      </c>
    </row>
    <row r="74" spans="1:46" ht="15">
      <c r="A74" s="500">
        <f>+A69+1</f>
        <v>9</v>
      </c>
      <c r="B74" s="475" t="s">
        <v>485</v>
      </c>
      <c r="C74" s="475" t="s">
        <v>503</v>
      </c>
      <c r="D74" s="475" t="s">
        <v>453</v>
      </c>
      <c r="E74" s="475" t="s">
        <v>487</v>
      </c>
      <c r="F74" s="475" t="s">
        <v>297</v>
      </c>
      <c r="G74" s="475" t="s">
        <v>298</v>
      </c>
      <c r="H74" s="515">
        <f>5-1-1</f>
        <v>3</v>
      </c>
      <c r="I74" s="477">
        <v>200000</v>
      </c>
      <c r="J74" s="478">
        <v>6.4500000000000002E-2</v>
      </c>
      <c r="K74" s="479">
        <f>_xlfn.MAXIFS(R:R,C:C,C74,AD:AD,"Cupón de interés",X:X,"Vencido")</f>
        <v>46101</v>
      </c>
      <c r="L74" s="478">
        <f>+Tabla3[[#This Row],[Tasa de Interés]]*($U$5-Tabla3[[#This Row],[Last coupon]])/365</f>
        <v>1.9438356164383562E-3</v>
      </c>
      <c r="M74" s="480">
        <f>+Tabla3[[#This Row],[Precio Dirty]]-Tabla3[[#This Row],[Accrued]]</f>
        <v>1.0012964017013373</v>
      </c>
      <c r="N74" s="481">
        <f>SUMIFS(U:U,C:C,C74,Q:Q,Q74)/SUMIFS(T:T,C:C,C74,Q:Q,Q74,AD:AD,"Amortización de K")</f>
        <v>1.0032402373177756</v>
      </c>
      <c r="O74" s="482">
        <v>6.4554038643836964E-2</v>
      </c>
      <c r="P74" s="482">
        <v>6.3457801253336221E-2</v>
      </c>
      <c r="Q74" s="484">
        <v>45863</v>
      </c>
      <c r="R74" s="484">
        <v>46651</v>
      </c>
      <c r="S74" s="504" t="s">
        <v>146</v>
      </c>
      <c r="T74" s="505">
        <f>Tabla3[[#This Row],[Cantidad]]*Tabla3[[#This Row],[Cortes]]</f>
        <v>600000</v>
      </c>
      <c r="U74" s="506">
        <f t="shared" ref="U74:U137" si="43">IF(X74="VIgente",(T74/(1+O74)^((R74-$U$5)/365)))</f>
        <v>547056.71754683508</v>
      </c>
      <c r="V74" s="506">
        <f t="shared" ref="V74:V137" si="44">IF(X74="VIgente",(T74/(1+O74)^((R74-$V$5)/365)))</f>
        <v>546962.96760068054</v>
      </c>
      <c r="W74" s="487">
        <f>IF(Tabla3[[#This Row],[Fecha de operación]]=$C$1,0,U74-V74)</f>
        <v>93.749946154537611</v>
      </c>
      <c r="X74" s="507" t="str">
        <f t="shared" si="19"/>
        <v>Vigente</v>
      </c>
      <c r="Y74" s="489" t="s">
        <v>488</v>
      </c>
      <c r="Z74" s="488">
        <f t="shared" si="20"/>
        <v>539</v>
      </c>
      <c r="AA74" s="508">
        <f t="shared" ref="AA74" si="45">IF(Y74="Mensual",DURATION($C$1,$C$1+Z74*12,J74/12,O74/12,1)/12,DURATION($C$1,R74,J74,O74,IF(Y74="Cupón cero",1,IF(Y74="Al vencimiento",1,IF(Y74="Anual",1,IF(Y74="Semestral",2,IF(Y74="Trimestral",4,"")))))))</f>
        <v>1.4258447005240493</v>
      </c>
      <c r="AB74" s="508">
        <f t="shared" ref="AB74" si="46">IF(Y74="Mensual",MDURATION($C$1,$C$1+Z74*12,J74/12,O74/12,1)/12,MDURATION($C$1,R74,J74,O74,IF(Y74="Cupón cero",1,IF(Y74="Al vencimiento",1,IF(Y74="Anual",1,IF(Y74="Semestral",2,IF(Y74="Trimestral",4,"")))))))</f>
        <v>1.3812616902589361</v>
      </c>
      <c r="AC74" s="488" t="s">
        <v>451</v>
      </c>
      <c r="AD74" s="488" t="s">
        <v>452</v>
      </c>
      <c r="AG74" s="605">
        <f>+IF(Tabla3[[#This Row],[Amortización k | cupón de intereses]]="Amortización de K",Tabla3[[#This Row],[Valor Nominal]],0)</f>
        <v>600000</v>
      </c>
      <c r="AH74" s="605">
        <f>+IF(AND(Tabla3[[#This Row],[Amortización k | cupón de intereses]]="Cupón de interés",Tabla3[[#This Row],[Estado]]="Vigente"),Tabla3[[#This Row],[Valor Nominal]],0)</f>
        <v>0</v>
      </c>
      <c r="AI74" s="618">
        <f>+IF(Tabla3[[#This Row],[Amortización k | cupón de intereses]]="Amortización de K",SUMIFS($AH$7:$AH$557,Tabla3[Código Emisión],Tabla3[[#This Row],[Código Emisión]],Tabla3[Fecha de operación],Tabla3[[#This Row],[Fecha de operación]]),0)-Tabla3[[#This Row],[Accrued]]*Tabla3[[#This Row],[Valor Nominal]]</f>
        <v>57148.688630136989</v>
      </c>
      <c r="AJ74" s="605">
        <f>+IF(Tabla3[[#This Row],[Amortización k | cupón de intereses]]="Amortización de K",IF(Tabla3[[#This Row],[Precio Clean]]&gt;1,Tabla3[[#This Row],[Valor Nominal]]*(Tabla3[[#This Row],[Precio Clean]]-1),0),0)</f>
        <v>777.84102080236119</v>
      </c>
      <c r="AK74" s="605">
        <f>+IF(Tabla3[[#This Row],[Amortización k | cupón de intereses]]="Amortización de K",IF(Tabla3[[#This Row],[Precio Clean]]&lt;1,Tabla3[[#This Row],[Valor Nominal]]*(Tabla3[[#This Row],[Precio Clean]]-1),0),0)</f>
        <v>0</v>
      </c>
    </row>
    <row r="75" spans="1:46">
      <c r="A75" s="502"/>
      <c r="B75" s="437" t="s">
        <v>485</v>
      </c>
      <c r="C75" s="437" t="str">
        <f t="shared" ref="C75:C87" si="47">+C74</f>
        <v>BNF_6,45%_210927_200K_BB1814-1820-2</v>
      </c>
      <c r="D75" s="437" t="s">
        <v>453</v>
      </c>
      <c r="E75" s="437" t="str">
        <f t="shared" ref="E75:E87" si="48">+E74</f>
        <v>AA+py</v>
      </c>
      <c r="F75" s="437" t="s">
        <v>297</v>
      </c>
      <c r="G75" s="437" t="s">
        <v>298</v>
      </c>
      <c r="H75" s="437">
        <f>+H74</f>
        <v>3</v>
      </c>
      <c r="I75" s="492">
        <v>35.340000000000003</v>
      </c>
      <c r="J75" s="451"/>
      <c r="K75" s="450"/>
      <c r="L75" s="451"/>
      <c r="M75" s="493"/>
      <c r="N75" s="493"/>
      <c r="O75" s="494">
        <f t="shared" ref="O75:Q80" si="49">+O74</f>
        <v>6.4554038643836964E-2</v>
      </c>
      <c r="P75" s="494">
        <f t="shared" si="49"/>
        <v>6.3457801253336221E-2</v>
      </c>
      <c r="Q75" s="450">
        <f t="shared" si="49"/>
        <v>45863</v>
      </c>
      <c r="R75" s="450">
        <v>46651</v>
      </c>
      <c r="S75" s="509" t="s">
        <v>146</v>
      </c>
      <c r="T75" s="510">
        <f>Tabla3[[#This Row],[Cantidad]]*Tabla3[[#This Row],[Cortes]]</f>
        <v>106.02000000000001</v>
      </c>
      <c r="U75" s="511">
        <f t="shared" si="43"/>
        <v>96.664921990525755</v>
      </c>
      <c r="V75" s="511">
        <f t="shared" si="44"/>
        <v>96.648356375040265</v>
      </c>
      <c r="W75" s="497">
        <f>IF(Tabla3[[#This Row],[Fecha de operación]]=$C$1,0,U75-V75)</f>
        <v>1.6565615485490071E-2</v>
      </c>
      <c r="X75" s="512" t="str">
        <f t="shared" si="19"/>
        <v>Vigente</v>
      </c>
      <c r="Y75" s="498" t="s">
        <v>450</v>
      </c>
      <c r="Z75" s="469">
        <f t="shared" si="20"/>
        <v>539</v>
      </c>
      <c r="AA75" s="499">
        <f>+AA74</f>
        <v>1.4258447005240493</v>
      </c>
      <c r="AB75" s="499">
        <f>+AB74</f>
        <v>1.3812616902589361</v>
      </c>
      <c r="AC75" s="469" t="s">
        <v>451</v>
      </c>
      <c r="AD75" s="469" t="s">
        <v>454</v>
      </c>
      <c r="AG75" s="605">
        <f>+IF(Tabla3[[#This Row],[Amortización k | cupón de intereses]]="Amortización de K",Tabla3[[#This Row],[Valor Nominal]],0)</f>
        <v>0</v>
      </c>
      <c r="AH75" s="605">
        <f>+IF(AND(Tabla3[[#This Row],[Amortización k | cupón de intereses]]="Cupón de interés",Tabla3[[#This Row],[Estado]]="Vigente"),Tabla3[[#This Row],[Valor Nominal]],0)</f>
        <v>106.02000000000001</v>
      </c>
      <c r="AI75" s="618">
        <f>+IF(Tabla3[[#This Row],[Amortización k | cupón de intereses]]="Amortización de K",SUMIFS($AH$7:$AH$557,Tabla3[Código Emisión],Tabla3[[#This Row],[Código Emisión]],Tabla3[Fecha de operación],Tabla3[[#This Row],[Fecha de operación]]),0)-Tabla3[[#This Row],[Accrued]]*Tabla3[[#This Row],[Valor Nominal]]</f>
        <v>0</v>
      </c>
      <c r="AJ75" s="605">
        <f>+IF(Tabla3[[#This Row],[Amortización k | cupón de intereses]]="Amortización de K",IF(Tabla3[[#This Row],[Precio Clean]]&gt;1,Tabla3[[#This Row],[Valor Nominal]]*(Tabla3[[#This Row],[Precio Clean]]-1),0),0)</f>
        <v>0</v>
      </c>
      <c r="AK75" s="605">
        <f>+IF(Tabla3[[#This Row],[Amortización k | cupón de intereses]]="Amortización de K",IF(Tabla3[[#This Row],[Precio Clean]]&lt;1,Tabla3[[#This Row],[Valor Nominal]]*(Tabla3[[#This Row],[Precio Clean]]-1),0),0)</f>
        <v>0</v>
      </c>
    </row>
    <row r="76" spans="1:46">
      <c r="A76" s="502"/>
      <c r="B76" s="437" t="s">
        <v>485</v>
      </c>
      <c r="C76" s="437" t="str">
        <f t="shared" si="47"/>
        <v>BNF_6,45%_210927_200K_BB1814-1820-2</v>
      </c>
      <c r="D76" s="437" t="s">
        <v>453</v>
      </c>
      <c r="E76" s="437" t="str">
        <f t="shared" si="48"/>
        <v>AA+py</v>
      </c>
      <c r="F76" s="437" t="s">
        <v>297</v>
      </c>
      <c r="G76" s="437" t="s">
        <v>298</v>
      </c>
      <c r="H76" s="437">
        <f t="shared" ref="H76:H80" si="50">+H75</f>
        <v>3</v>
      </c>
      <c r="I76" s="492">
        <v>6432.32</v>
      </c>
      <c r="J76" s="451"/>
      <c r="K76" s="450"/>
      <c r="L76" s="451"/>
      <c r="M76" s="493"/>
      <c r="N76" s="493"/>
      <c r="O76" s="494">
        <f t="shared" si="49"/>
        <v>6.4554038643836964E-2</v>
      </c>
      <c r="P76" s="494">
        <f t="shared" si="49"/>
        <v>6.3457801253336221E-2</v>
      </c>
      <c r="Q76" s="450">
        <f t="shared" si="49"/>
        <v>45863</v>
      </c>
      <c r="R76" s="450">
        <v>46650</v>
      </c>
      <c r="S76" s="509" t="s">
        <v>146</v>
      </c>
      <c r="T76" s="510">
        <f>Tabla3[[#This Row],[Cantidad]]*Tabla3[[#This Row],[Cortes]]</f>
        <v>19296.96</v>
      </c>
      <c r="U76" s="511">
        <f t="shared" si="43"/>
        <v>17597.234992121666</v>
      </c>
      <c r="V76" s="511">
        <f t="shared" si="44"/>
        <v>17594.219327054288</v>
      </c>
      <c r="W76" s="497">
        <f>IF(Tabla3[[#This Row],[Fecha de operación]]=$C$1,0,U76-V76)</f>
        <v>3.015665067377995</v>
      </c>
      <c r="X76" s="512" t="str">
        <f t="shared" si="19"/>
        <v>Vigente</v>
      </c>
      <c r="Y76" s="498" t="s">
        <v>450</v>
      </c>
      <c r="Z76" s="469">
        <f t="shared" si="20"/>
        <v>538</v>
      </c>
      <c r="AA76" s="499">
        <f t="shared" ref="AA76:AA80" si="51">+AA75</f>
        <v>1.4258447005240493</v>
      </c>
      <c r="AB76" s="499">
        <f>+AB75</f>
        <v>1.3812616902589361</v>
      </c>
      <c r="AC76" s="469" t="s">
        <v>451</v>
      </c>
      <c r="AD76" s="469" t="s">
        <v>454</v>
      </c>
      <c r="AG76" s="605">
        <f>+IF(Tabla3[[#This Row],[Amortización k | cupón de intereses]]="Amortización de K",Tabla3[[#This Row],[Valor Nominal]],0)</f>
        <v>0</v>
      </c>
      <c r="AH76" s="605">
        <f>+IF(AND(Tabla3[[#This Row],[Amortización k | cupón de intereses]]="Cupón de interés",Tabla3[[#This Row],[Estado]]="Vigente"),Tabla3[[#This Row],[Valor Nominal]],0)</f>
        <v>19296.96</v>
      </c>
      <c r="AI76" s="618">
        <f>+IF(Tabla3[[#This Row],[Amortización k | cupón de intereses]]="Amortización de K",SUMIFS($AH$7:$AH$557,Tabla3[Código Emisión],Tabla3[[#This Row],[Código Emisión]],Tabla3[Fecha de operación],Tabla3[[#This Row],[Fecha de operación]]),0)-Tabla3[[#This Row],[Accrued]]*Tabla3[[#This Row],[Valor Nominal]]</f>
        <v>0</v>
      </c>
      <c r="AJ76" s="605">
        <f>+IF(Tabla3[[#This Row],[Amortización k | cupón de intereses]]="Amortización de K",IF(Tabla3[[#This Row],[Precio Clean]]&gt;1,Tabla3[[#This Row],[Valor Nominal]]*(Tabla3[[#This Row],[Precio Clean]]-1),0),0)</f>
        <v>0</v>
      </c>
      <c r="AK76" s="605">
        <f>+IF(Tabla3[[#This Row],[Amortización k | cupón de intereses]]="Amortización de K",IF(Tabla3[[#This Row],[Precio Clean]]&lt;1,Tabla3[[#This Row],[Valor Nominal]]*(Tabla3[[#This Row],[Precio Clean]]-1),0),0)</f>
        <v>0</v>
      </c>
    </row>
    <row r="77" spans="1:46">
      <c r="A77" s="502"/>
      <c r="B77" s="437" t="s">
        <v>485</v>
      </c>
      <c r="C77" s="437" t="str">
        <f t="shared" si="47"/>
        <v>BNF_6,45%_210927_200K_BB1814-1820-2</v>
      </c>
      <c r="D77" s="437" t="s">
        <v>453</v>
      </c>
      <c r="E77" s="437" t="str">
        <f t="shared" si="48"/>
        <v>AA+py</v>
      </c>
      <c r="F77" s="437" t="s">
        <v>297</v>
      </c>
      <c r="G77" s="437" t="s">
        <v>298</v>
      </c>
      <c r="H77" s="437">
        <f t="shared" si="50"/>
        <v>3</v>
      </c>
      <c r="I77" s="492">
        <v>6432.32</v>
      </c>
      <c r="J77" s="451"/>
      <c r="K77" s="450"/>
      <c r="L77" s="451"/>
      <c r="M77" s="493"/>
      <c r="N77" s="493"/>
      <c r="O77" s="494">
        <f t="shared" si="49"/>
        <v>6.4554038643836964E-2</v>
      </c>
      <c r="P77" s="494">
        <f t="shared" si="49"/>
        <v>6.3457801253336221E-2</v>
      </c>
      <c r="Q77" s="450">
        <f t="shared" si="49"/>
        <v>45863</v>
      </c>
      <c r="R77" s="450">
        <v>46468</v>
      </c>
      <c r="S77" s="509" t="s">
        <v>146</v>
      </c>
      <c r="T77" s="510">
        <f>Tabla3[[#This Row],[Cantidad]]*Tabla3[[#This Row],[Cortes]]</f>
        <v>19296.96</v>
      </c>
      <c r="U77" s="511">
        <f t="shared" si="43"/>
        <v>18154.783470444523</v>
      </c>
      <c r="V77" s="511">
        <f t="shared" si="44"/>
        <v>18151.672257441907</v>
      </c>
      <c r="W77" s="497">
        <f>IF(Tabla3[[#This Row],[Fecha de operación]]=$C$1,0,U77-V77)</f>
        <v>3.1112130026158411</v>
      </c>
      <c r="X77" s="512" t="str">
        <f t="shared" si="19"/>
        <v>Vigente</v>
      </c>
      <c r="Y77" s="498" t="s">
        <v>450</v>
      </c>
      <c r="Z77" s="469">
        <f t="shared" si="20"/>
        <v>356</v>
      </c>
      <c r="AA77" s="499">
        <f t="shared" si="51"/>
        <v>1.4258447005240493</v>
      </c>
      <c r="AB77" s="499">
        <f>+AB76</f>
        <v>1.3812616902589361</v>
      </c>
      <c r="AC77" s="469" t="s">
        <v>451</v>
      </c>
      <c r="AD77" s="469" t="s">
        <v>454</v>
      </c>
      <c r="AG77" s="605">
        <f>+IF(Tabla3[[#This Row],[Amortización k | cupón de intereses]]="Amortización de K",Tabla3[[#This Row],[Valor Nominal]],0)</f>
        <v>0</v>
      </c>
      <c r="AH77" s="605">
        <f>+IF(AND(Tabla3[[#This Row],[Amortización k | cupón de intereses]]="Cupón de interés",Tabla3[[#This Row],[Estado]]="Vigente"),Tabla3[[#This Row],[Valor Nominal]],0)</f>
        <v>19296.96</v>
      </c>
      <c r="AI77" s="618">
        <f>+IF(Tabla3[[#This Row],[Amortización k | cupón de intereses]]="Amortización de K",SUMIFS($AH$7:$AH$557,Tabla3[Código Emisión],Tabla3[[#This Row],[Código Emisión]],Tabla3[Fecha de operación],Tabla3[[#This Row],[Fecha de operación]]),0)-Tabla3[[#This Row],[Accrued]]*Tabla3[[#This Row],[Valor Nominal]]</f>
        <v>0</v>
      </c>
      <c r="AJ77" s="605">
        <f>+IF(Tabla3[[#This Row],[Amortización k | cupón de intereses]]="Amortización de K",IF(Tabla3[[#This Row],[Precio Clean]]&gt;1,Tabla3[[#This Row],[Valor Nominal]]*(Tabla3[[#This Row],[Precio Clean]]-1),0),0)</f>
        <v>0</v>
      </c>
      <c r="AK77" s="605">
        <f>+IF(Tabla3[[#This Row],[Amortización k | cupón de intereses]]="Amortización de K",IF(Tabla3[[#This Row],[Precio Clean]]&lt;1,Tabla3[[#This Row],[Valor Nominal]]*(Tabla3[[#This Row],[Precio Clean]]-1),0),0)</f>
        <v>0</v>
      </c>
    </row>
    <row r="78" spans="1:46">
      <c r="A78" s="502"/>
      <c r="B78" s="437" t="s">
        <v>485</v>
      </c>
      <c r="C78" s="437" t="str">
        <f t="shared" si="47"/>
        <v>BNF_6,45%_210927_200K_BB1814-1820-2</v>
      </c>
      <c r="D78" s="437" t="s">
        <v>453</v>
      </c>
      <c r="E78" s="437" t="str">
        <f t="shared" si="48"/>
        <v>AA+py</v>
      </c>
      <c r="F78" s="437" t="s">
        <v>297</v>
      </c>
      <c r="G78" s="437" t="s">
        <v>298</v>
      </c>
      <c r="H78" s="437">
        <f t="shared" si="50"/>
        <v>3</v>
      </c>
      <c r="I78" s="492">
        <v>6538.35</v>
      </c>
      <c r="J78" s="451"/>
      <c r="K78" s="450"/>
      <c r="L78" s="451"/>
      <c r="M78" s="493"/>
      <c r="N78" s="493"/>
      <c r="O78" s="494">
        <f t="shared" si="49"/>
        <v>6.4554038643836964E-2</v>
      </c>
      <c r="P78" s="494">
        <f t="shared" si="49"/>
        <v>6.3457801253336221E-2</v>
      </c>
      <c r="Q78" s="450">
        <f t="shared" si="49"/>
        <v>45863</v>
      </c>
      <c r="R78" s="450">
        <v>46286</v>
      </c>
      <c r="S78" s="509" t="s">
        <v>146</v>
      </c>
      <c r="T78" s="510">
        <f>Tabla3[[#This Row],[Cantidad]]*Tabla3[[#This Row],[Cortes]]</f>
        <v>19615.050000000003</v>
      </c>
      <c r="U78" s="511">
        <f t="shared" si="43"/>
        <v>19038.741459273617</v>
      </c>
      <c r="V78" s="511">
        <f t="shared" si="44"/>
        <v>19035.478761038856</v>
      </c>
      <c r="W78" s="497">
        <f>IF(Tabla3[[#This Row],[Fecha de operación]]=$C$1,0,U78-V78)</f>
        <v>3.2626982347610465</v>
      </c>
      <c r="X78" s="512" t="str">
        <f t="shared" si="19"/>
        <v>Vigente</v>
      </c>
      <c r="Y78" s="498" t="s">
        <v>450</v>
      </c>
      <c r="Z78" s="469">
        <f t="shared" si="20"/>
        <v>174</v>
      </c>
      <c r="AA78" s="499">
        <f t="shared" si="51"/>
        <v>1.4258447005240493</v>
      </c>
      <c r="AB78" s="499">
        <f>+AB77</f>
        <v>1.3812616902589361</v>
      </c>
      <c r="AC78" s="469" t="s">
        <v>451</v>
      </c>
      <c r="AD78" s="469" t="s">
        <v>454</v>
      </c>
      <c r="AG78" s="605">
        <f>+IF(Tabla3[[#This Row],[Amortización k | cupón de intereses]]="Amortización de K",Tabla3[[#This Row],[Valor Nominal]],0)</f>
        <v>0</v>
      </c>
      <c r="AH78" s="605">
        <f>+IF(AND(Tabla3[[#This Row],[Amortización k | cupón de intereses]]="Cupón de interés",Tabla3[[#This Row],[Estado]]="Vigente"),Tabla3[[#This Row],[Valor Nominal]],0)</f>
        <v>19615.050000000003</v>
      </c>
      <c r="AI78" s="618">
        <f>+IF(Tabla3[[#This Row],[Amortización k | cupón de intereses]]="Amortización de K",SUMIFS($AH$7:$AH$557,Tabla3[Código Emisión],Tabla3[[#This Row],[Código Emisión]],Tabla3[Fecha de operación],Tabla3[[#This Row],[Fecha de operación]]),0)-Tabla3[[#This Row],[Accrued]]*Tabla3[[#This Row],[Valor Nominal]]</f>
        <v>0</v>
      </c>
      <c r="AJ78" s="605">
        <f>+IF(Tabla3[[#This Row],[Amortización k | cupón de intereses]]="Amortización de K",IF(Tabla3[[#This Row],[Precio Clean]]&gt;1,Tabla3[[#This Row],[Valor Nominal]]*(Tabla3[[#This Row],[Precio Clean]]-1),0),0)</f>
        <v>0</v>
      </c>
      <c r="AK78" s="605">
        <f>+IF(Tabla3[[#This Row],[Amortización k | cupón de intereses]]="Amortización de K",IF(Tabla3[[#This Row],[Precio Clean]]&lt;1,Tabla3[[#This Row],[Valor Nominal]]*(Tabla3[[#This Row],[Precio Clean]]-1),0),0)</f>
        <v>0</v>
      </c>
    </row>
    <row r="79" spans="1:46">
      <c r="A79" s="502"/>
      <c r="B79" s="437" t="s">
        <v>485</v>
      </c>
      <c r="C79" s="437" t="str">
        <f t="shared" si="47"/>
        <v>BNF_6,45%_210927_200K_BB1814-1820-2</v>
      </c>
      <c r="D79" s="437" t="s">
        <v>453</v>
      </c>
      <c r="E79" s="437" t="str">
        <f t="shared" si="48"/>
        <v>AA+py</v>
      </c>
      <c r="F79" s="437" t="s">
        <v>297</v>
      </c>
      <c r="G79" s="437" t="s">
        <v>298</v>
      </c>
      <c r="H79" s="437">
        <f t="shared" si="50"/>
        <v>3</v>
      </c>
      <c r="I79" s="492">
        <v>6326.3</v>
      </c>
      <c r="J79" s="451"/>
      <c r="K79" s="450"/>
      <c r="L79" s="451"/>
      <c r="M79" s="493"/>
      <c r="N79" s="493"/>
      <c r="O79" s="494">
        <f t="shared" si="49"/>
        <v>6.4554038643836964E-2</v>
      </c>
      <c r="P79" s="494">
        <f t="shared" si="49"/>
        <v>6.3457801253336221E-2</v>
      </c>
      <c r="Q79" s="450">
        <f t="shared" si="49"/>
        <v>45863</v>
      </c>
      <c r="R79" s="450">
        <v>46101</v>
      </c>
      <c r="S79" s="509" t="s">
        <v>146</v>
      </c>
      <c r="T79" s="510">
        <f>Tabla3[[#This Row],[Cantidad]]*Tabla3[[#This Row],[Cortes]]</f>
        <v>18978.900000000001</v>
      </c>
      <c r="U79" s="511" t="b">
        <f t="shared" si="43"/>
        <v>0</v>
      </c>
      <c r="V79" s="511" t="b">
        <f t="shared" si="44"/>
        <v>0</v>
      </c>
      <c r="W79" s="497">
        <f>IF(Tabla3[[#This Row],[Fecha de operación]]=$C$1,0,U79-V79)</f>
        <v>0</v>
      </c>
      <c r="X79" s="512" t="str">
        <f t="shared" si="19"/>
        <v>Vencido</v>
      </c>
      <c r="Y79" s="498" t="s">
        <v>450</v>
      </c>
      <c r="Z79" s="469">
        <f t="shared" si="20"/>
        <v>-11</v>
      </c>
      <c r="AA79" s="499">
        <f t="shared" si="51"/>
        <v>1.4258447005240493</v>
      </c>
      <c r="AB79" s="499">
        <f>+AB78</f>
        <v>1.3812616902589361</v>
      </c>
      <c r="AC79" s="469" t="s">
        <v>451</v>
      </c>
      <c r="AD79" s="469" t="s">
        <v>454</v>
      </c>
      <c r="AG79" s="605">
        <f>+IF(Tabla3[[#This Row],[Amortización k | cupón de intereses]]="Amortización de K",Tabla3[[#This Row],[Valor Nominal]],0)</f>
        <v>0</v>
      </c>
      <c r="AH79" s="605">
        <f>+IF(AND(Tabla3[[#This Row],[Amortización k | cupón de intereses]]="Cupón de interés",Tabla3[[#This Row],[Estado]]="Vigente"),Tabla3[[#This Row],[Valor Nominal]],0)</f>
        <v>0</v>
      </c>
      <c r="AI79" s="618">
        <f>+IF(Tabla3[[#This Row],[Amortización k | cupón de intereses]]="Amortización de K",SUMIFS($AH$7:$AH$557,Tabla3[Código Emisión],Tabla3[[#This Row],[Código Emisión]],Tabla3[Fecha de operación],Tabla3[[#This Row],[Fecha de operación]]),0)-Tabla3[[#This Row],[Accrued]]*Tabla3[[#This Row],[Valor Nominal]]</f>
        <v>0</v>
      </c>
      <c r="AJ79" s="605">
        <f>+IF(Tabla3[[#This Row],[Amortización k | cupón de intereses]]="Amortización de K",IF(Tabla3[[#This Row],[Precio Clean]]&gt;1,Tabla3[[#This Row],[Valor Nominal]]*(Tabla3[[#This Row],[Precio Clean]]-1),0),0)</f>
        <v>0</v>
      </c>
      <c r="AK79" s="605">
        <f>+IF(Tabla3[[#This Row],[Amortización k | cupón de intereses]]="Amortización de K",IF(Tabla3[[#This Row],[Precio Clean]]&lt;1,Tabla3[[#This Row],[Valor Nominal]]*(Tabla3[[#This Row],[Precio Clean]]-1),0),0)</f>
        <v>0</v>
      </c>
    </row>
    <row r="80" spans="1:46" s="520" customFormat="1">
      <c r="A80" s="502"/>
      <c r="B80" s="437" t="s">
        <v>485</v>
      </c>
      <c r="C80" s="437" t="str">
        <f t="shared" si="47"/>
        <v>BNF_6,45%_210927_200K_BB1814-1820-2</v>
      </c>
      <c r="D80" s="437" t="s">
        <v>453</v>
      </c>
      <c r="E80" s="437" t="str">
        <f t="shared" si="48"/>
        <v>AA+py</v>
      </c>
      <c r="F80" s="437" t="s">
        <v>297</v>
      </c>
      <c r="G80" s="437" t="s">
        <v>298</v>
      </c>
      <c r="H80" s="437">
        <f t="shared" si="50"/>
        <v>3</v>
      </c>
      <c r="I80" s="492">
        <v>6573.69</v>
      </c>
      <c r="J80" s="451"/>
      <c r="K80" s="450"/>
      <c r="L80" s="451"/>
      <c r="M80" s="493"/>
      <c r="N80" s="493"/>
      <c r="O80" s="494">
        <f t="shared" si="49"/>
        <v>6.4554038643836964E-2</v>
      </c>
      <c r="P80" s="494">
        <f t="shared" si="49"/>
        <v>6.3457801253336221E-2</v>
      </c>
      <c r="Q80" s="450">
        <f t="shared" si="49"/>
        <v>45863</v>
      </c>
      <c r="R80" s="450">
        <v>45922</v>
      </c>
      <c r="S80" s="509" t="s">
        <v>146</v>
      </c>
      <c r="T80" s="510">
        <f>Tabla3[[#This Row],[Cantidad]]*Tabla3[[#This Row],[Cortes]]</f>
        <v>19721.07</v>
      </c>
      <c r="U80" s="511" t="b">
        <f t="shared" si="43"/>
        <v>0</v>
      </c>
      <c r="V80" s="511" t="b">
        <f t="shared" si="44"/>
        <v>0</v>
      </c>
      <c r="W80" s="497">
        <f>IF(Tabla3[[#This Row],[Fecha de operación]]=$C$1,0,U80-V80)</f>
        <v>0</v>
      </c>
      <c r="X80" s="512" t="str">
        <f t="shared" si="19"/>
        <v>Vencido</v>
      </c>
      <c r="Y80" s="498" t="s">
        <v>450</v>
      </c>
      <c r="Z80" s="469">
        <f t="shared" si="20"/>
        <v>-190</v>
      </c>
      <c r="AA80" s="499">
        <f t="shared" si="51"/>
        <v>1.4258447005240493</v>
      </c>
      <c r="AB80" s="499">
        <f>+AB79</f>
        <v>1.3812616902589361</v>
      </c>
      <c r="AC80" s="469" t="s">
        <v>451</v>
      </c>
      <c r="AD80" s="469" t="s">
        <v>454</v>
      </c>
      <c r="AG80" s="605">
        <f>+IF(Tabla3[[#This Row],[Amortización k | cupón de intereses]]="Amortización de K",Tabla3[[#This Row],[Valor Nominal]],0)</f>
        <v>0</v>
      </c>
      <c r="AH80" s="605">
        <f>+IF(AND(Tabla3[[#This Row],[Amortización k | cupón de intereses]]="Cupón de interés",Tabla3[[#This Row],[Estado]]="Vigente"),Tabla3[[#This Row],[Valor Nominal]],0)</f>
        <v>0</v>
      </c>
      <c r="AI80" s="618">
        <f>+IF(Tabla3[[#This Row],[Amortización k | cupón de intereses]]="Amortización de K",SUMIFS($AH$7:$AH$557,Tabla3[Código Emisión],Tabla3[[#This Row],[Código Emisión]],Tabla3[Fecha de operación],Tabla3[[#This Row],[Fecha de operación]]),0)-Tabla3[[#This Row],[Accrued]]*Tabla3[[#This Row],[Valor Nominal]]</f>
        <v>0</v>
      </c>
      <c r="AJ80" s="605">
        <f>+IF(Tabla3[[#This Row],[Amortización k | cupón de intereses]]="Amortización de K",IF(Tabla3[[#This Row],[Precio Clean]]&gt;1,Tabla3[[#This Row],[Valor Nominal]]*(Tabla3[[#This Row],[Precio Clean]]-1),0),0)</f>
        <v>0</v>
      </c>
      <c r="AK80" s="605">
        <f>+IF(Tabla3[[#This Row],[Amortización k | cupón de intereses]]="Amortización de K",IF(Tabla3[[#This Row],[Precio Clean]]&lt;1,Tabla3[[#This Row],[Valor Nominal]]*(Tabla3[[#This Row],[Precio Clean]]-1),0),0)</f>
        <v>0</v>
      </c>
      <c r="AL80" s="606"/>
      <c r="AM80" s="606"/>
      <c r="AN80" s="607"/>
      <c r="AO80" s="607"/>
      <c r="AP80" s="608"/>
      <c r="AQ80" s="608"/>
      <c r="AR80" s="609"/>
      <c r="AS80" s="607"/>
      <c r="AT80" s="607"/>
    </row>
    <row r="81" spans="1:37" ht="15">
      <c r="A81" s="500">
        <f>+A74+1</f>
        <v>10</v>
      </c>
      <c r="B81" s="475" t="s">
        <v>485</v>
      </c>
      <c r="C81" s="475" t="s">
        <v>503</v>
      </c>
      <c r="D81" s="475" t="s">
        <v>453</v>
      </c>
      <c r="E81" s="475" t="s">
        <v>487</v>
      </c>
      <c r="F81" s="475" t="s">
        <v>297</v>
      </c>
      <c r="G81" s="475" t="s">
        <v>298</v>
      </c>
      <c r="H81" s="475">
        <v>2</v>
      </c>
      <c r="I81" s="477">
        <v>200000</v>
      </c>
      <c r="J81" s="478">
        <v>6.4500000000000002E-2</v>
      </c>
      <c r="K81" s="479">
        <f>_xlfn.MAXIFS(R:R,C:C,C81,AD:AD,"Cupón de interés",X:X,"Vencido")</f>
        <v>46101</v>
      </c>
      <c r="L81" s="478">
        <f>+Tabla3[[#This Row],[Tasa de Interés]]*($U$5-Tabla3[[#This Row],[Last coupon]])/365</f>
        <v>1.9438356164383562E-3</v>
      </c>
      <c r="M81" s="480">
        <f>+Tabla3[[#This Row],[Precio Dirty]]-Tabla3[[#This Row],[Accrued]]</f>
        <v>1.0012964017013375</v>
      </c>
      <c r="N81" s="481">
        <f>SUMIFS(U:U,C:C,C81,Q:Q,Q81)/SUMIFS(T:T,C:C,C81,Q:Q,Q81,AD:AD,"Amortización de K")</f>
        <v>1.0032402373177758</v>
      </c>
      <c r="O81" s="482">
        <v>6.4554038643836964E-2</v>
      </c>
      <c r="P81" s="482">
        <v>6.3508021507080681E-2</v>
      </c>
      <c r="Q81" s="484">
        <v>45867</v>
      </c>
      <c r="R81" s="484">
        <v>46651</v>
      </c>
      <c r="S81" s="504" t="s">
        <v>146</v>
      </c>
      <c r="T81" s="505">
        <f>Tabla3[[#This Row],[Cantidad]]*Tabla3[[#This Row],[Cortes]]</f>
        <v>400000</v>
      </c>
      <c r="U81" s="506">
        <f t="shared" si="43"/>
        <v>364704.47836455668</v>
      </c>
      <c r="V81" s="506">
        <f t="shared" si="44"/>
        <v>364641.97840045369</v>
      </c>
      <c r="W81" s="487">
        <f>IF(Tabla3[[#This Row],[Fecha de operación]]=$C$1,0,U81-V81)</f>
        <v>62.499964102986269</v>
      </c>
      <c r="X81" s="507" t="str">
        <f t="shared" si="19"/>
        <v>Vigente</v>
      </c>
      <c r="Y81" s="489" t="s">
        <v>488</v>
      </c>
      <c r="Z81" s="488">
        <f t="shared" si="20"/>
        <v>539</v>
      </c>
      <c r="AA81" s="508">
        <f t="shared" ref="AA81" si="52">IF(Y81="Mensual",DURATION($C$1,$C$1+Z81*12,J81/12,O81/12,1)/12,DURATION($C$1,R81,J81,O81,IF(Y81="Cupón cero",1,IF(Y81="Al vencimiento",1,IF(Y81="Anual",1,IF(Y81="Semestral",2,IF(Y81="Trimestral",4,"")))))))</f>
        <v>1.4258447005240493</v>
      </c>
      <c r="AB81" s="508">
        <f t="shared" ref="AB81" si="53">IF(Y81="Mensual",MDURATION($C$1,$C$1+Z81*12,J81/12,O81/12,1)/12,MDURATION($C$1,R81,J81,O81,IF(Y81="Cupón cero",1,IF(Y81="Al vencimiento",1,IF(Y81="Anual",1,IF(Y81="Semestral",2,IF(Y81="Trimestral",4,"")))))))</f>
        <v>1.3812616902589361</v>
      </c>
      <c r="AC81" s="488" t="s">
        <v>451</v>
      </c>
      <c r="AD81" s="488" t="s">
        <v>452</v>
      </c>
      <c r="AG81" s="605">
        <f>+IF(Tabla3[[#This Row],[Amortización k | cupón de intereses]]="Amortización de K",Tabla3[[#This Row],[Valor Nominal]],0)</f>
        <v>400000</v>
      </c>
      <c r="AH81" s="605">
        <f>+IF(AND(Tabla3[[#This Row],[Amortización k | cupón de intereses]]="Cupón de interés",Tabla3[[#This Row],[Estado]]="Vigente"),Tabla3[[#This Row],[Valor Nominal]],0)</f>
        <v>0</v>
      </c>
      <c r="AI81" s="618">
        <f>+IF(Tabla3[[#This Row],[Amortización k | cupón de intereses]]="Amortización de K",SUMIFS($AH$7:$AH$557,Tabla3[Código Emisión],Tabla3[[#This Row],[Código Emisión]],Tabla3[Fecha de operación],Tabla3[[#This Row],[Fecha de operación]]),0)-Tabla3[[#This Row],[Accrued]]*Tabla3[[#This Row],[Valor Nominal]]</f>
        <v>38099.125753424662</v>
      </c>
      <c r="AJ81" s="605">
        <f>+IF(Tabla3[[#This Row],[Amortización k | cupón de intereses]]="Amortización de K",IF(Tabla3[[#This Row],[Precio Clean]]&gt;1,Tabla3[[#This Row],[Valor Nominal]]*(Tabla3[[#This Row],[Precio Clean]]-1),0),0)</f>
        <v>518.56068053499621</v>
      </c>
      <c r="AK81" s="605">
        <f>+IF(Tabla3[[#This Row],[Amortización k | cupón de intereses]]="Amortización de K",IF(Tabla3[[#This Row],[Precio Clean]]&lt;1,Tabla3[[#This Row],[Valor Nominal]]*(Tabla3[[#This Row],[Precio Clean]]-1),0),0)</f>
        <v>0</v>
      </c>
    </row>
    <row r="82" spans="1:37">
      <c r="A82" s="502"/>
      <c r="B82" s="437" t="s">
        <v>485</v>
      </c>
      <c r="C82" s="437" t="str">
        <f t="shared" si="47"/>
        <v>BNF_6,45%_210927_200K_BB1814-1820-2</v>
      </c>
      <c r="D82" s="437" t="s">
        <v>453</v>
      </c>
      <c r="E82" s="437" t="str">
        <f t="shared" si="48"/>
        <v>AA+py</v>
      </c>
      <c r="F82" s="437" t="s">
        <v>297</v>
      </c>
      <c r="G82" s="437" t="s">
        <v>298</v>
      </c>
      <c r="H82" s="437">
        <f>+H81</f>
        <v>2</v>
      </c>
      <c r="I82" s="492">
        <v>35.340000000000003</v>
      </c>
      <c r="J82" s="451"/>
      <c r="K82" s="450"/>
      <c r="L82" s="451"/>
      <c r="M82" s="493"/>
      <c r="N82" s="493"/>
      <c r="O82" s="494">
        <f t="shared" ref="O82:Q87" si="54">+O81</f>
        <v>6.4554038643836964E-2</v>
      </c>
      <c r="P82" s="494">
        <f t="shared" si="54"/>
        <v>6.3508021507080681E-2</v>
      </c>
      <c r="Q82" s="450">
        <f t="shared" si="54"/>
        <v>45867</v>
      </c>
      <c r="R82" s="450">
        <v>46651</v>
      </c>
      <c r="S82" s="509" t="s">
        <v>146</v>
      </c>
      <c r="T82" s="510">
        <f>Tabla3[[#This Row],[Cantidad]]*Tabla3[[#This Row],[Cortes]]</f>
        <v>70.680000000000007</v>
      </c>
      <c r="U82" s="511">
        <f t="shared" si="43"/>
        <v>64.443281327017175</v>
      </c>
      <c r="V82" s="511">
        <f t="shared" si="44"/>
        <v>64.432237583360177</v>
      </c>
      <c r="W82" s="497">
        <f>IF(Tabla3[[#This Row],[Fecha de operación]]=$C$1,0,U82-V82)</f>
        <v>1.1043743656998117E-2</v>
      </c>
      <c r="X82" s="512" t="str">
        <f t="shared" si="19"/>
        <v>Vigente</v>
      </c>
      <c r="Y82" s="498" t="s">
        <v>450</v>
      </c>
      <c r="Z82" s="469">
        <f t="shared" si="20"/>
        <v>539</v>
      </c>
      <c r="AA82" s="499">
        <f>+AA81</f>
        <v>1.4258447005240493</v>
      </c>
      <c r="AB82" s="499">
        <f>+AB81</f>
        <v>1.3812616902589361</v>
      </c>
      <c r="AC82" s="469" t="s">
        <v>451</v>
      </c>
      <c r="AD82" s="469" t="s">
        <v>454</v>
      </c>
      <c r="AG82" s="605">
        <f>+IF(Tabla3[[#This Row],[Amortización k | cupón de intereses]]="Amortización de K",Tabla3[[#This Row],[Valor Nominal]],0)</f>
        <v>0</v>
      </c>
      <c r="AH82" s="605">
        <f>+IF(AND(Tabla3[[#This Row],[Amortización k | cupón de intereses]]="Cupón de interés",Tabla3[[#This Row],[Estado]]="Vigente"),Tabla3[[#This Row],[Valor Nominal]],0)</f>
        <v>70.680000000000007</v>
      </c>
      <c r="AI82" s="618">
        <f>+IF(Tabla3[[#This Row],[Amortización k | cupón de intereses]]="Amortización de K",SUMIFS($AH$7:$AH$557,Tabla3[Código Emisión],Tabla3[[#This Row],[Código Emisión]],Tabla3[Fecha de operación],Tabla3[[#This Row],[Fecha de operación]]),0)-Tabla3[[#This Row],[Accrued]]*Tabla3[[#This Row],[Valor Nominal]]</f>
        <v>0</v>
      </c>
      <c r="AJ82" s="605">
        <f>+IF(Tabla3[[#This Row],[Amortización k | cupón de intereses]]="Amortización de K",IF(Tabla3[[#This Row],[Precio Clean]]&gt;1,Tabla3[[#This Row],[Valor Nominal]]*(Tabla3[[#This Row],[Precio Clean]]-1),0),0)</f>
        <v>0</v>
      </c>
      <c r="AK82" s="605">
        <f>+IF(Tabla3[[#This Row],[Amortización k | cupón de intereses]]="Amortización de K",IF(Tabla3[[#This Row],[Precio Clean]]&lt;1,Tabla3[[#This Row],[Valor Nominal]]*(Tabla3[[#This Row],[Precio Clean]]-1),0),0)</f>
        <v>0</v>
      </c>
    </row>
    <row r="83" spans="1:37">
      <c r="A83" s="502"/>
      <c r="B83" s="437" t="s">
        <v>485</v>
      </c>
      <c r="C83" s="437" t="str">
        <f t="shared" si="47"/>
        <v>BNF_6,45%_210927_200K_BB1814-1820-2</v>
      </c>
      <c r="D83" s="437" t="s">
        <v>453</v>
      </c>
      <c r="E83" s="437" t="str">
        <f t="shared" si="48"/>
        <v>AA+py</v>
      </c>
      <c r="F83" s="437" t="s">
        <v>297</v>
      </c>
      <c r="G83" s="437" t="s">
        <v>298</v>
      </c>
      <c r="H83" s="437">
        <f t="shared" ref="H83:H87" si="55">+H82</f>
        <v>2</v>
      </c>
      <c r="I83" s="492">
        <v>6432.32</v>
      </c>
      <c r="J83" s="451"/>
      <c r="K83" s="450"/>
      <c r="L83" s="451"/>
      <c r="M83" s="493"/>
      <c r="N83" s="493"/>
      <c r="O83" s="494">
        <f t="shared" si="54"/>
        <v>6.4554038643836964E-2</v>
      </c>
      <c r="P83" s="494">
        <f t="shared" si="54"/>
        <v>6.3508021507080681E-2</v>
      </c>
      <c r="Q83" s="450">
        <f t="shared" si="54"/>
        <v>45867</v>
      </c>
      <c r="R83" s="450">
        <v>46650</v>
      </c>
      <c r="S83" s="509" t="s">
        <v>146</v>
      </c>
      <c r="T83" s="510">
        <f>Tabla3[[#This Row],[Cantidad]]*Tabla3[[#This Row],[Cortes]]</f>
        <v>12864.64</v>
      </c>
      <c r="U83" s="511">
        <f t="shared" si="43"/>
        <v>11731.489994747777</v>
      </c>
      <c r="V83" s="511">
        <f t="shared" si="44"/>
        <v>11729.479551369526</v>
      </c>
      <c r="W83" s="497">
        <f>IF(Tabla3[[#This Row],[Fecha de operación]]=$C$1,0,U83-V83)</f>
        <v>2.010443378250784</v>
      </c>
      <c r="X83" s="512" t="str">
        <f t="shared" si="19"/>
        <v>Vigente</v>
      </c>
      <c r="Y83" s="498" t="s">
        <v>450</v>
      </c>
      <c r="Z83" s="469">
        <f t="shared" si="20"/>
        <v>538</v>
      </c>
      <c r="AA83" s="499">
        <f t="shared" ref="AA83:AA87" si="56">+AA82</f>
        <v>1.4258447005240493</v>
      </c>
      <c r="AB83" s="499">
        <f>+AB82</f>
        <v>1.3812616902589361</v>
      </c>
      <c r="AC83" s="469" t="s">
        <v>451</v>
      </c>
      <c r="AD83" s="469" t="s">
        <v>454</v>
      </c>
      <c r="AG83" s="605">
        <f>+IF(Tabla3[[#This Row],[Amortización k | cupón de intereses]]="Amortización de K",Tabla3[[#This Row],[Valor Nominal]],0)</f>
        <v>0</v>
      </c>
      <c r="AH83" s="605">
        <f>+IF(AND(Tabla3[[#This Row],[Amortización k | cupón de intereses]]="Cupón de interés",Tabla3[[#This Row],[Estado]]="Vigente"),Tabla3[[#This Row],[Valor Nominal]],0)</f>
        <v>12864.64</v>
      </c>
      <c r="AI83" s="618">
        <f>+IF(Tabla3[[#This Row],[Amortización k | cupón de intereses]]="Amortización de K",SUMIFS($AH$7:$AH$557,Tabla3[Código Emisión],Tabla3[[#This Row],[Código Emisión]],Tabla3[Fecha de operación],Tabla3[[#This Row],[Fecha de operación]]),0)-Tabla3[[#This Row],[Accrued]]*Tabla3[[#This Row],[Valor Nominal]]</f>
        <v>0</v>
      </c>
      <c r="AJ83" s="605">
        <f>+IF(Tabla3[[#This Row],[Amortización k | cupón de intereses]]="Amortización de K",IF(Tabla3[[#This Row],[Precio Clean]]&gt;1,Tabla3[[#This Row],[Valor Nominal]]*(Tabla3[[#This Row],[Precio Clean]]-1),0),0)</f>
        <v>0</v>
      </c>
      <c r="AK83" s="605">
        <f>+IF(Tabla3[[#This Row],[Amortización k | cupón de intereses]]="Amortización de K",IF(Tabla3[[#This Row],[Precio Clean]]&lt;1,Tabla3[[#This Row],[Valor Nominal]]*(Tabla3[[#This Row],[Precio Clean]]-1),0),0)</f>
        <v>0</v>
      </c>
    </row>
    <row r="84" spans="1:37">
      <c r="A84" s="502"/>
      <c r="B84" s="437" t="s">
        <v>485</v>
      </c>
      <c r="C84" s="437" t="str">
        <f t="shared" si="47"/>
        <v>BNF_6,45%_210927_200K_BB1814-1820-2</v>
      </c>
      <c r="D84" s="437" t="s">
        <v>453</v>
      </c>
      <c r="E84" s="437" t="str">
        <f t="shared" si="48"/>
        <v>AA+py</v>
      </c>
      <c r="F84" s="437" t="s">
        <v>297</v>
      </c>
      <c r="G84" s="437" t="s">
        <v>298</v>
      </c>
      <c r="H84" s="437">
        <f t="shared" si="55"/>
        <v>2</v>
      </c>
      <c r="I84" s="492">
        <v>6432.32</v>
      </c>
      <c r="J84" s="451"/>
      <c r="K84" s="450"/>
      <c r="L84" s="451"/>
      <c r="M84" s="493"/>
      <c r="N84" s="493"/>
      <c r="O84" s="494">
        <f t="shared" si="54"/>
        <v>6.4554038643836964E-2</v>
      </c>
      <c r="P84" s="494">
        <f t="shared" si="54"/>
        <v>6.3508021507080681E-2</v>
      </c>
      <c r="Q84" s="450">
        <f t="shared" si="54"/>
        <v>45867</v>
      </c>
      <c r="R84" s="450">
        <v>46468</v>
      </c>
      <c r="S84" s="509" t="s">
        <v>146</v>
      </c>
      <c r="T84" s="510">
        <f>Tabla3[[#This Row],[Cantidad]]*Tabla3[[#This Row],[Cortes]]</f>
        <v>12864.64</v>
      </c>
      <c r="U84" s="511">
        <f t="shared" si="43"/>
        <v>12103.188980296349</v>
      </c>
      <c r="V84" s="511">
        <f t="shared" si="44"/>
        <v>12101.114838294603</v>
      </c>
      <c r="W84" s="497">
        <f>IF(Tabla3[[#This Row],[Fecha de operación]]=$C$1,0,U84-V84)</f>
        <v>2.0741420017457131</v>
      </c>
      <c r="X84" s="512" t="str">
        <f t="shared" si="19"/>
        <v>Vigente</v>
      </c>
      <c r="Y84" s="498" t="s">
        <v>450</v>
      </c>
      <c r="Z84" s="469">
        <f t="shared" si="20"/>
        <v>356</v>
      </c>
      <c r="AA84" s="499">
        <f t="shared" si="56"/>
        <v>1.4258447005240493</v>
      </c>
      <c r="AB84" s="499">
        <f>+AB83</f>
        <v>1.3812616902589361</v>
      </c>
      <c r="AC84" s="469" t="s">
        <v>451</v>
      </c>
      <c r="AD84" s="469" t="s">
        <v>454</v>
      </c>
      <c r="AG84" s="605">
        <f>+IF(Tabla3[[#This Row],[Amortización k | cupón de intereses]]="Amortización de K",Tabla3[[#This Row],[Valor Nominal]],0)</f>
        <v>0</v>
      </c>
      <c r="AH84" s="605">
        <f>+IF(AND(Tabla3[[#This Row],[Amortización k | cupón de intereses]]="Cupón de interés",Tabla3[[#This Row],[Estado]]="Vigente"),Tabla3[[#This Row],[Valor Nominal]],0)</f>
        <v>12864.64</v>
      </c>
      <c r="AI84" s="618">
        <f>+IF(Tabla3[[#This Row],[Amortización k | cupón de intereses]]="Amortización de K",SUMIFS($AH$7:$AH$557,Tabla3[Código Emisión],Tabla3[[#This Row],[Código Emisión]],Tabla3[Fecha de operación],Tabla3[[#This Row],[Fecha de operación]]),0)-Tabla3[[#This Row],[Accrued]]*Tabla3[[#This Row],[Valor Nominal]]</f>
        <v>0</v>
      </c>
      <c r="AJ84" s="605">
        <f>+IF(Tabla3[[#This Row],[Amortización k | cupón de intereses]]="Amortización de K",IF(Tabla3[[#This Row],[Precio Clean]]&gt;1,Tabla3[[#This Row],[Valor Nominal]]*(Tabla3[[#This Row],[Precio Clean]]-1),0),0)</f>
        <v>0</v>
      </c>
      <c r="AK84" s="605">
        <f>+IF(Tabla3[[#This Row],[Amortización k | cupón de intereses]]="Amortización de K",IF(Tabla3[[#This Row],[Precio Clean]]&lt;1,Tabla3[[#This Row],[Valor Nominal]]*(Tabla3[[#This Row],[Precio Clean]]-1),0),0)</f>
        <v>0</v>
      </c>
    </row>
    <row r="85" spans="1:37">
      <c r="A85" s="502"/>
      <c r="B85" s="437" t="s">
        <v>485</v>
      </c>
      <c r="C85" s="437" t="str">
        <f t="shared" si="47"/>
        <v>BNF_6,45%_210927_200K_BB1814-1820-2</v>
      </c>
      <c r="D85" s="437" t="s">
        <v>453</v>
      </c>
      <c r="E85" s="437" t="str">
        <f t="shared" si="48"/>
        <v>AA+py</v>
      </c>
      <c r="F85" s="437" t="s">
        <v>297</v>
      </c>
      <c r="G85" s="437" t="s">
        <v>298</v>
      </c>
      <c r="H85" s="437">
        <f t="shared" si="55"/>
        <v>2</v>
      </c>
      <c r="I85" s="492">
        <v>6538.35</v>
      </c>
      <c r="J85" s="451"/>
      <c r="K85" s="450"/>
      <c r="L85" s="451"/>
      <c r="M85" s="493"/>
      <c r="N85" s="493"/>
      <c r="O85" s="494">
        <f t="shared" si="54"/>
        <v>6.4554038643836964E-2</v>
      </c>
      <c r="P85" s="494">
        <f t="shared" si="54"/>
        <v>6.3508021507080681E-2</v>
      </c>
      <c r="Q85" s="450">
        <f t="shared" si="54"/>
        <v>45867</v>
      </c>
      <c r="R85" s="450">
        <v>46286</v>
      </c>
      <c r="S85" s="509" t="s">
        <v>146</v>
      </c>
      <c r="T85" s="510">
        <f>Tabla3[[#This Row],[Cantidad]]*Tabla3[[#This Row],[Cortes]]</f>
        <v>13076.7</v>
      </c>
      <c r="U85" s="511">
        <f t="shared" si="43"/>
        <v>12692.494306182411</v>
      </c>
      <c r="V85" s="511">
        <f t="shared" si="44"/>
        <v>12690.319174025903</v>
      </c>
      <c r="W85" s="497">
        <f>IF(Tabla3[[#This Row],[Fecha de operación]]=$C$1,0,U85-V85)</f>
        <v>2.1751321565079706</v>
      </c>
      <c r="X85" s="512" t="str">
        <f t="shared" si="19"/>
        <v>Vigente</v>
      </c>
      <c r="Y85" s="498" t="s">
        <v>450</v>
      </c>
      <c r="Z85" s="469">
        <f t="shared" si="20"/>
        <v>174</v>
      </c>
      <c r="AA85" s="499">
        <f t="shared" si="56"/>
        <v>1.4258447005240493</v>
      </c>
      <c r="AB85" s="499">
        <f>+AB84</f>
        <v>1.3812616902589361</v>
      </c>
      <c r="AC85" s="469" t="s">
        <v>451</v>
      </c>
      <c r="AD85" s="469" t="s">
        <v>454</v>
      </c>
      <c r="AG85" s="605">
        <f>+IF(Tabla3[[#This Row],[Amortización k | cupón de intereses]]="Amortización de K",Tabla3[[#This Row],[Valor Nominal]],0)</f>
        <v>0</v>
      </c>
      <c r="AH85" s="605">
        <f>+IF(AND(Tabla3[[#This Row],[Amortización k | cupón de intereses]]="Cupón de interés",Tabla3[[#This Row],[Estado]]="Vigente"),Tabla3[[#This Row],[Valor Nominal]],0)</f>
        <v>13076.7</v>
      </c>
      <c r="AI85" s="618">
        <f>+IF(Tabla3[[#This Row],[Amortización k | cupón de intereses]]="Amortización de K",SUMIFS($AH$7:$AH$557,Tabla3[Código Emisión],Tabla3[[#This Row],[Código Emisión]],Tabla3[Fecha de operación],Tabla3[[#This Row],[Fecha de operación]]),0)-Tabla3[[#This Row],[Accrued]]*Tabla3[[#This Row],[Valor Nominal]]</f>
        <v>0</v>
      </c>
      <c r="AJ85" s="605">
        <f>+IF(Tabla3[[#This Row],[Amortización k | cupón de intereses]]="Amortización de K",IF(Tabla3[[#This Row],[Precio Clean]]&gt;1,Tabla3[[#This Row],[Valor Nominal]]*(Tabla3[[#This Row],[Precio Clean]]-1),0),0)</f>
        <v>0</v>
      </c>
      <c r="AK85" s="605">
        <f>+IF(Tabla3[[#This Row],[Amortización k | cupón de intereses]]="Amortización de K",IF(Tabla3[[#This Row],[Precio Clean]]&lt;1,Tabla3[[#This Row],[Valor Nominal]]*(Tabla3[[#This Row],[Precio Clean]]-1),0),0)</f>
        <v>0</v>
      </c>
    </row>
    <row r="86" spans="1:37">
      <c r="A86" s="502"/>
      <c r="B86" s="437" t="s">
        <v>485</v>
      </c>
      <c r="C86" s="437" t="str">
        <f t="shared" si="47"/>
        <v>BNF_6,45%_210927_200K_BB1814-1820-2</v>
      </c>
      <c r="D86" s="437" t="s">
        <v>453</v>
      </c>
      <c r="E86" s="437" t="str">
        <f t="shared" si="48"/>
        <v>AA+py</v>
      </c>
      <c r="F86" s="437" t="s">
        <v>297</v>
      </c>
      <c r="G86" s="437" t="s">
        <v>298</v>
      </c>
      <c r="H86" s="437">
        <f t="shared" si="55"/>
        <v>2</v>
      </c>
      <c r="I86" s="492">
        <v>6326.3</v>
      </c>
      <c r="J86" s="451"/>
      <c r="K86" s="450"/>
      <c r="L86" s="451"/>
      <c r="M86" s="493"/>
      <c r="N86" s="493"/>
      <c r="O86" s="494">
        <f t="shared" si="54"/>
        <v>6.4554038643836964E-2</v>
      </c>
      <c r="P86" s="494">
        <f t="shared" si="54"/>
        <v>6.3508021507080681E-2</v>
      </c>
      <c r="Q86" s="450">
        <f t="shared" si="54"/>
        <v>45867</v>
      </c>
      <c r="R86" s="450">
        <v>46101</v>
      </c>
      <c r="S86" s="509" t="s">
        <v>146</v>
      </c>
      <c r="T86" s="510">
        <f>Tabla3[[#This Row],[Cantidad]]*Tabla3[[#This Row],[Cortes]]</f>
        <v>12652.6</v>
      </c>
      <c r="U86" s="511" t="b">
        <f t="shared" si="43"/>
        <v>0</v>
      </c>
      <c r="V86" s="511" t="b">
        <f t="shared" si="44"/>
        <v>0</v>
      </c>
      <c r="W86" s="497">
        <f>IF(Tabla3[[#This Row],[Fecha de operación]]=$C$1,0,U86-V86)</f>
        <v>0</v>
      </c>
      <c r="X86" s="512" t="str">
        <f t="shared" si="19"/>
        <v>Vencido</v>
      </c>
      <c r="Y86" s="498" t="s">
        <v>450</v>
      </c>
      <c r="Z86" s="469">
        <f t="shared" si="20"/>
        <v>-11</v>
      </c>
      <c r="AA86" s="499">
        <f t="shared" si="56"/>
        <v>1.4258447005240493</v>
      </c>
      <c r="AB86" s="499">
        <f>+AB85</f>
        <v>1.3812616902589361</v>
      </c>
      <c r="AC86" s="469" t="s">
        <v>451</v>
      </c>
      <c r="AD86" s="469" t="s">
        <v>454</v>
      </c>
      <c r="AG86" s="605">
        <f>+IF(Tabla3[[#This Row],[Amortización k | cupón de intereses]]="Amortización de K",Tabla3[[#This Row],[Valor Nominal]],0)</f>
        <v>0</v>
      </c>
      <c r="AH86" s="605">
        <f>+IF(AND(Tabla3[[#This Row],[Amortización k | cupón de intereses]]="Cupón de interés",Tabla3[[#This Row],[Estado]]="Vigente"),Tabla3[[#This Row],[Valor Nominal]],0)</f>
        <v>0</v>
      </c>
      <c r="AI86" s="618">
        <f>+IF(Tabla3[[#This Row],[Amortización k | cupón de intereses]]="Amortización de K",SUMIFS($AH$7:$AH$557,Tabla3[Código Emisión],Tabla3[[#This Row],[Código Emisión]],Tabla3[Fecha de operación],Tabla3[[#This Row],[Fecha de operación]]),0)-Tabla3[[#This Row],[Accrued]]*Tabla3[[#This Row],[Valor Nominal]]</f>
        <v>0</v>
      </c>
      <c r="AJ86" s="605">
        <f>+IF(Tabla3[[#This Row],[Amortización k | cupón de intereses]]="Amortización de K",IF(Tabla3[[#This Row],[Precio Clean]]&gt;1,Tabla3[[#This Row],[Valor Nominal]]*(Tabla3[[#This Row],[Precio Clean]]-1),0),0)</f>
        <v>0</v>
      </c>
      <c r="AK86" s="605">
        <f>+IF(Tabla3[[#This Row],[Amortización k | cupón de intereses]]="Amortización de K",IF(Tabla3[[#This Row],[Precio Clean]]&lt;1,Tabla3[[#This Row],[Valor Nominal]]*(Tabla3[[#This Row],[Precio Clean]]-1),0),0)</f>
        <v>0</v>
      </c>
    </row>
    <row r="87" spans="1:37">
      <c r="A87" s="502"/>
      <c r="B87" s="437" t="s">
        <v>485</v>
      </c>
      <c r="C87" s="437" t="str">
        <f t="shared" si="47"/>
        <v>BNF_6,45%_210927_200K_BB1814-1820-2</v>
      </c>
      <c r="D87" s="437" t="s">
        <v>453</v>
      </c>
      <c r="E87" s="437" t="str">
        <f t="shared" si="48"/>
        <v>AA+py</v>
      </c>
      <c r="F87" s="437" t="s">
        <v>297</v>
      </c>
      <c r="G87" s="437" t="s">
        <v>298</v>
      </c>
      <c r="H87" s="437">
        <f t="shared" si="55"/>
        <v>2</v>
      </c>
      <c r="I87" s="492">
        <v>6573.69</v>
      </c>
      <c r="J87" s="451"/>
      <c r="K87" s="450"/>
      <c r="L87" s="451"/>
      <c r="M87" s="493"/>
      <c r="N87" s="493"/>
      <c r="O87" s="494">
        <f t="shared" si="54"/>
        <v>6.4554038643836964E-2</v>
      </c>
      <c r="P87" s="494">
        <f t="shared" si="54"/>
        <v>6.3508021507080681E-2</v>
      </c>
      <c r="Q87" s="450">
        <f t="shared" si="54"/>
        <v>45867</v>
      </c>
      <c r="R87" s="450">
        <v>45922</v>
      </c>
      <c r="S87" s="509" t="s">
        <v>146</v>
      </c>
      <c r="T87" s="510">
        <f>Tabla3[[#This Row],[Cantidad]]*Tabla3[[#This Row],[Cortes]]</f>
        <v>13147.38</v>
      </c>
      <c r="U87" s="511" t="b">
        <f t="shared" si="43"/>
        <v>0</v>
      </c>
      <c r="V87" s="511" t="b">
        <f t="shared" si="44"/>
        <v>0</v>
      </c>
      <c r="W87" s="497">
        <f>IF(Tabla3[[#This Row],[Fecha de operación]]=$C$1,0,U87-V87)</f>
        <v>0</v>
      </c>
      <c r="X87" s="512" t="str">
        <f t="shared" si="19"/>
        <v>Vencido</v>
      </c>
      <c r="Y87" s="498" t="s">
        <v>450</v>
      </c>
      <c r="Z87" s="469">
        <f t="shared" si="20"/>
        <v>-190</v>
      </c>
      <c r="AA87" s="499">
        <f t="shared" si="56"/>
        <v>1.4258447005240493</v>
      </c>
      <c r="AB87" s="499">
        <f>+AB86</f>
        <v>1.3812616902589361</v>
      </c>
      <c r="AC87" s="469" t="s">
        <v>451</v>
      </c>
      <c r="AD87" s="469" t="s">
        <v>454</v>
      </c>
      <c r="AG87" s="605">
        <f>+IF(Tabla3[[#This Row],[Amortización k | cupón de intereses]]="Amortización de K",Tabla3[[#This Row],[Valor Nominal]],0)</f>
        <v>0</v>
      </c>
      <c r="AH87" s="605">
        <f>+IF(AND(Tabla3[[#This Row],[Amortización k | cupón de intereses]]="Cupón de interés",Tabla3[[#This Row],[Estado]]="Vigente"),Tabla3[[#This Row],[Valor Nominal]],0)</f>
        <v>0</v>
      </c>
      <c r="AI87" s="618">
        <f>+IF(Tabla3[[#This Row],[Amortización k | cupón de intereses]]="Amortización de K",SUMIFS($AH$7:$AH$557,Tabla3[Código Emisión],Tabla3[[#This Row],[Código Emisión]],Tabla3[Fecha de operación],Tabla3[[#This Row],[Fecha de operación]]),0)-Tabla3[[#This Row],[Accrued]]*Tabla3[[#This Row],[Valor Nominal]]</f>
        <v>0</v>
      </c>
      <c r="AJ87" s="605">
        <f>+IF(Tabla3[[#This Row],[Amortización k | cupón de intereses]]="Amortización de K",IF(Tabla3[[#This Row],[Precio Clean]]&gt;1,Tabla3[[#This Row],[Valor Nominal]]*(Tabla3[[#This Row],[Precio Clean]]-1),0),0)</f>
        <v>0</v>
      </c>
      <c r="AK87" s="605">
        <f>+IF(Tabla3[[#This Row],[Amortización k | cupón de intereses]]="Amortización de K",IF(Tabla3[[#This Row],[Precio Clean]]&lt;1,Tabla3[[#This Row],[Valor Nominal]]*(Tabla3[[#This Row],[Precio Clean]]-1),0),0)</f>
        <v>0</v>
      </c>
    </row>
    <row r="88" spans="1:37" ht="15">
      <c r="A88" s="500">
        <f>+A81+1</f>
        <v>11</v>
      </c>
      <c r="B88" s="475" t="s">
        <v>485</v>
      </c>
      <c r="C88" s="475" t="s">
        <v>503</v>
      </c>
      <c r="D88" s="475" t="s">
        <v>453</v>
      </c>
      <c r="E88" s="475" t="s">
        <v>487</v>
      </c>
      <c r="F88" s="475" t="s">
        <v>297</v>
      </c>
      <c r="G88" s="475" t="s">
        <v>298</v>
      </c>
      <c r="H88" s="475">
        <v>1</v>
      </c>
      <c r="I88" s="477">
        <v>200000</v>
      </c>
      <c r="J88" s="478">
        <v>6.4500000000000002E-2</v>
      </c>
      <c r="K88" s="479">
        <f>_xlfn.MAXIFS(R:R,C:C,C88,AD:AD,"Cupón de interés",X:X,"Vencido")</f>
        <v>46101</v>
      </c>
      <c r="L88" s="478">
        <f>+Tabla3[[#This Row],[Tasa de Interés]]*($U$5-Tabla3[[#This Row],[Last coupon]])/365</f>
        <v>1.9438356164383562E-3</v>
      </c>
      <c r="M88" s="480">
        <f>+Tabla3[[#This Row],[Precio Dirty]]-Tabla3[[#This Row],[Accrued]]</f>
        <v>1.0012963776056794</v>
      </c>
      <c r="N88" s="481">
        <f>SUMIFS(U:U,C:C,C88,Q:Q,Q88)/SUMIFS(T:T,C:C,C88,Q:Q,Q88,AD:AD,"Amortización de K")</f>
        <v>1.0032402132221176</v>
      </c>
      <c r="O88" s="482">
        <v>6.4554056525230399E-2</v>
      </c>
      <c r="P88" s="482">
        <v>6.3544578171482513E-2</v>
      </c>
      <c r="Q88" s="484">
        <v>45875</v>
      </c>
      <c r="R88" s="484">
        <v>46651</v>
      </c>
      <c r="S88" s="504" t="s">
        <v>146</v>
      </c>
      <c r="T88" s="505">
        <f>Tabla3[[#This Row],[Cantidad]]*Tabla3[[#This Row],[Cortes]]</f>
        <v>200000</v>
      </c>
      <c r="U88" s="506">
        <f t="shared" si="43"/>
        <v>182352.23465913202</v>
      </c>
      <c r="V88" s="506">
        <f t="shared" si="44"/>
        <v>182320.98466946534</v>
      </c>
      <c r="W88" s="487">
        <f>IF(Tabla3[[#This Row],[Fecha de operación]]=$C$1,0,U88-V88)</f>
        <v>31.249989666684996</v>
      </c>
      <c r="X88" s="507" t="str">
        <f t="shared" si="19"/>
        <v>Vigente</v>
      </c>
      <c r="Y88" s="489" t="s">
        <v>488</v>
      </c>
      <c r="Z88" s="488">
        <f t="shared" si="20"/>
        <v>539</v>
      </c>
      <c r="AA88" s="508">
        <f t="shared" ref="AA88" si="57">IF(Y88="Mensual",DURATION($C$1,$C$1+Z88*12,J88/12,O88/12,1)/12,DURATION($C$1,R88,J88,O88,IF(Y88="Cupón cero",1,IF(Y88="Al vencimiento",1,IF(Y88="Anual",1,IF(Y88="Semestral",2,IF(Y88="Trimestral",4,"")))))))</f>
        <v>1.4258446998890166</v>
      </c>
      <c r="AB88" s="508">
        <f t="shared" ref="AB88" si="58">IF(Y88="Mensual",MDURATION($C$1,$C$1+Z88*12,J88/12,O88/12,1)/12,MDURATION($C$1,R88,J88,O88,IF(Y88="Cupón cero",1,IF(Y88="Al vencimiento",1,IF(Y88="Anual",1,IF(Y88="Semestral",2,IF(Y88="Trimestral",4,"")))))))</f>
        <v>1.3812616776804572</v>
      </c>
      <c r="AC88" s="488" t="s">
        <v>451</v>
      </c>
      <c r="AD88" s="488" t="s">
        <v>452</v>
      </c>
      <c r="AG88" s="605">
        <f>+IF(Tabla3[[#This Row],[Amortización k | cupón de intereses]]="Amortización de K",Tabla3[[#This Row],[Valor Nominal]],0)</f>
        <v>200000</v>
      </c>
      <c r="AH88" s="605">
        <f>+IF(AND(Tabla3[[#This Row],[Amortización k | cupón de intereses]]="Cupón de interés",Tabla3[[#This Row],[Estado]]="Vigente"),Tabla3[[#This Row],[Valor Nominal]],0)</f>
        <v>0</v>
      </c>
      <c r="AI88" s="618">
        <f>+IF(Tabla3[[#This Row],[Amortización k | cupón de intereses]]="Amortización de K",SUMIFS($AH$7:$AH$557,Tabla3[Código Emisión],Tabla3[[#This Row],[Código Emisión]],Tabla3[Fecha de operación],Tabla3[[#This Row],[Fecha de operación]]),0)-Tabla3[[#This Row],[Accrued]]*Tabla3[[#This Row],[Valor Nominal]]</f>
        <v>19049.562876712331</v>
      </c>
      <c r="AJ88" s="605">
        <f>+IF(Tabla3[[#This Row],[Amortización k | cupón de intereses]]="Amortización de K",IF(Tabla3[[#This Row],[Precio Clean]]&gt;1,Tabla3[[#This Row],[Valor Nominal]]*(Tabla3[[#This Row],[Precio Clean]]-1),0),0)</f>
        <v>259.27552113587103</v>
      </c>
      <c r="AK88" s="605">
        <f>+IF(Tabla3[[#This Row],[Amortización k | cupón de intereses]]="Amortización de K",IF(Tabla3[[#This Row],[Precio Clean]]&lt;1,Tabla3[[#This Row],[Valor Nominal]]*(Tabla3[[#This Row],[Precio Clean]]-1),0),0)</f>
        <v>0</v>
      </c>
    </row>
    <row r="89" spans="1:37">
      <c r="A89" s="502"/>
      <c r="B89" s="437" t="s">
        <v>485</v>
      </c>
      <c r="C89" s="437" t="str">
        <f t="shared" ref="C89:C94" si="59">+C88</f>
        <v>BNF_6,45%_210927_200K_BB1814-1820-2</v>
      </c>
      <c r="D89" s="437" t="s">
        <v>453</v>
      </c>
      <c r="E89" s="437" t="str">
        <f t="shared" ref="E89:E94" si="60">+E88</f>
        <v>AA+py</v>
      </c>
      <c r="F89" s="437" t="s">
        <v>297</v>
      </c>
      <c r="G89" s="437" t="s">
        <v>298</v>
      </c>
      <c r="H89" s="437">
        <f>+H88</f>
        <v>1</v>
      </c>
      <c r="I89" s="492">
        <v>35.340000000000003</v>
      </c>
      <c r="J89" s="451"/>
      <c r="K89" s="450"/>
      <c r="L89" s="451"/>
      <c r="M89" s="493"/>
      <c r="N89" s="493"/>
      <c r="O89" s="494">
        <f t="shared" ref="O89:Q94" si="61">+O88</f>
        <v>6.4554056525230399E-2</v>
      </c>
      <c r="P89" s="494">
        <f t="shared" si="61"/>
        <v>6.3544578171482513E-2</v>
      </c>
      <c r="Q89" s="450">
        <f t="shared" si="61"/>
        <v>45875</v>
      </c>
      <c r="R89" s="450">
        <v>46651</v>
      </c>
      <c r="S89" s="509" t="s">
        <v>146</v>
      </c>
      <c r="T89" s="510">
        <f>Tabla3[[#This Row],[Cantidad]]*Tabla3[[#This Row],[Cortes]]</f>
        <v>35.340000000000003</v>
      </c>
      <c r="U89" s="511">
        <f t="shared" si="43"/>
        <v>32.221639864268631</v>
      </c>
      <c r="V89" s="511">
        <f t="shared" si="44"/>
        <v>32.216117991094528</v>
      </c>
      <c r="W89" s="497">
        <f>IF(Tabla3[[#This Row],[Fecha de operación]]=$C$1,0,U89-V89)</f>
        <v>5.5218731741035754E-3</v>
      </c>
      <c r="X89" s="512" t="str">
        <f t="shared" si="19"/>
        <v>Vigente</v>
      </c>
      <c r="Y89" s="498" t="s">
        <v>450</v>
      </c>
      <c r="Z89" s="469">
        <f t="shared" si="20"/>
        <v>539</v>
      </c>
      <c r="AA89" s="499">
        <f>+AA88</f>
        <v>1.4258446998890166</v>
      </c>
      <c r="AB89" s="499">
        <f>+AB88</f>
        <v>1.3812616776804572</v>
      </c>
      <c r="AC89" s="469" t="s">
        <v>451</v>
      </c>
      <c r="AD89" s="469" t="s">
        <v>454</v>
      </c>
      <c r="AG89" s="605">
        <f>+IF(Tabla3[[#This Row],[Amortización k | cupón de intereses]]="Amortización de K",Tabla3[[#This Row],[Valor Nominal]],0)</f>
        <v>0</v>
      </c>
      <c r="AH89" s="605">
        <f>+IF(AND(Tabla3[[#This Row],[Amortización k | cupón de intereses]]="Cupón de interés",Tabla3[[#This Row],[Estado]]="Vigente"),Tabla3[[#This Row],[Valor Nominal]],0)</f>
        <v>35.340000000000003</v>
      </c>
      <c r="AI89" s="618">
        <f>+IF(Tabla3[[#This Row],[Amortización k | cupón de intereses]]="Amortización de K",SUMIFS($AH$7:$AH$557,Tabla3[Código Emisión],Tabla3[[#This Row],[Código Emisión]],Tabla3[Fecha de operación],Tabla3[[#This Row],[Fecha de operación]]),0)-Tabla3[[#This Row],[Accrued]]*Tabla3[[#This Row],[Valor Nominal]]</f>
        <v>0</v>
      </c>
      <c r="AJ89" s="605">
        <f>+IF(Tabla3[[#This Row],[Amortización k | cupón de intereses]]="Amortización de K",IF(Tabla3[[#This Row],[Precio Clean]]&gt;1,Tabla3[[#This Row],[Valor Nominal]]*(Tabla3[[#This Row],[Precio Clean]]-1),0),0)</f>
        <v>0</v>
      </c>
      <c r="AK89" s="605">
        <f>+IF(Tabla3[[#This Row],[Amortización k | cupón de intereses]]="Amortización de K",IF(Tabla3[[#This Row],[Precio Clean]]&lt;1,Tabla3[[#This Row],[Valor Nominal]]*(Tabla3[[#This Row],[Precio Clean]]-1),0),0)</f>
        <v>0</v>
      </c>
    </row>
    <row r="90" spans="1:37">
      <c r="A90" s="502"/>
      <c r="B90" s="437" t="s">
        <v>485</v>
      </c>
      <c r="C90" s="437" t="str">
        <f t="shared" si="59"/>
        <v>BNF_6,45%_210927_200K_BB1814-1820-2</v>
      </c>
      <c r="D90" s="437" t="s">
        <v>453</v>
      </c>
      <c r="E90" s="437" t="str">
        <f t="shared" si="60"/>
        <v>AA+py</v>
      </c>
      <c r="F90" s="437" t="s">
        <v>297</v>
      </c>
      <c r="G90" s="437" t="s">
        <v>298</v>
      </c>
      <c r="H90" s="437">
        <f t="shared" ref="H90:H94" si="62">+H89</f>
        <v>1</v>
      </c>
      <c r="I90" s="492">
        <v>6432.32</v>
      </c>
      <c r="J90" s="451"/>
      <c r="K90" s="450"/>
      <c r="L90" s="451"/>
      <c r="M90" s="493"/>
      <c r="N90" s="493"/>
      <c r="O90" s="494">
        <f t="shared" si="61"/>
        <v>6.4554056525230399E-2</v>
      </c>
      <c r="P90" s="494">
        <f t="shared" si="61"/>
        <v>6.3544578171482513E-2</v>
      </c>
      <c r="Q90" s="450">
        <f t="shared" si="61"/>
        <v>45875</v>
      </c>
      <c r="R90" s="450">
        <v>46650</v>
      </c>
      <c r="S90" s="509" t="s">
        <v>146</v>
      </c>
      <c r="T90" s="510">
        <f>Tabla3[[#This Row],[Cantidad]]*Tabla3[[#This Row],[Cortes]]</f>
        <v>6432.32</v>
      </c>
      <c r="U90" s="511">
        <f t="shared" si="43"/>
        <v>5865.7448521472679</v>
      </c>
      <c r="V90" s="511">
        <f t="shared" si="44"/>
        <v>5864.7396302131401</v>
      </c>
      <c r="W90" s="497">
        <f>IF(Tabla3[[#This Row],[Fecha de operación]]=$C$1,0,U90-V90)</f>
        <v>1.0052219341278033</v>
      </c>
      <c r="X90" s="512" t="str">
        <f t="shared" si="19"/>
        <v>Vigente</v>
      </c>
      <c r="Y90" s="498" t="s">
        <v>450</v>
      </c>
      <c r="Z90" s="469">
        <f t="shared" si="20"/>
        <v>538</v>
      </c>
      <c r="AA90" s="499">
        <f t="shared" ref="AA90:AA94" si="63">+AA89</f>
        <v>1.4258446998890166</v>
      </c>
      <c r="AB90" s="499">
        <f>+AB89</f>
        <v>1.3812616776804572</v>
      </c>
      <c r="AC90" s="469" t="s">
        <v>451</v>
      </c>
      <c r="AD90" s="469" t="s">
        <v>454</v>
      </c>
      <c r="AG90" s="605">
        <f>+IF(Tabla3[[#This Row],[Amortización k | cupón de intereses]]="Amortización de K",Tabla3[[#This Row],[Valor Nominal]],0)</f>
        <v>0</v>
      </c>
      <c r="AH90" s="605">
        <f>+IF(AND(Tabla3[[#This Row],[Amortización k | cupón de intereses]]="Cupón de interés",Tabla3[[#This Row],[Estado]]="Vigente"),Tabla3[[#This Row],[Valor Nominal]],0)</f>
        <v>6432.32</v>
      </c>
      <c r="AI90" s="618">
        <f>+IF(Tabla3[[#This Row],[Amortización k | cupón de intereses]]="Amortización de K",SUMIFS($AH$7:$AH$557,Tabla3[Código Emisión],Tabla3[[#This Row],[Código Emisión]],Tabla3[Fecha de operación],Tabla3[[#This Row],[Fecha de operación]]),0)-Tabla3[[#This Row],[Accrued]]*Tabla3[[#This Row],[Valor Nominal]]</f>
        <v>0</v>
      </c>
      <c r="AJ90" s="605">
        <f>+IF(Tabla3[[#This Row],[Amortización k | cupón de intereses]]="Amortización de K",IF(Tabla3[[#This Row],[Precio Clean]]&gt;1,Tabla3[[#This Row],[Valor Nominal]]*(Tabla3[[#This Row],[Precio Clean]]-1),0),0)</f>
        <v>0</v>
      </c>
      <c r="AK90" s="605">
        <f>+IF(Tabla3[[#This Row],[Amortización k | cupón de intereses]]="Amortización de K",IF(Tabla3[[#This Row],[Precio Clean]]&lt;1,Tabla3[[#This Row],[Valor Nominal]]*(Tabla3[[#This Row],[Precio Clean]]-1),0),0)</f>
        <v>0</v>
      </c>
    </row>
    <row r="91" spans="1:37">
      <c r="A91" s="502"/>
      <c r="B91" s="437" t="s">
        <v>485</v>
      </c>
      <c r="C91" s="437" t="str">
        <f t="shared" si="59"/>
        <v>BNF_6,45%_210927_200K_BB1814-1820-2</v>
      </c>
      <c r="D91" s="437" t="s">
        <v>453</v>
      </c>
      <c r="E91" s="437" t="str">
        <f t="shared" si="60"/>
        <v>AA+py</v>
      </c>
      <c r="F91" s="437" t="s">
        <v>297</v>
      </c>
      <c r="G91" s="437" t="s">
        <v>298</v>
      </c>
      <c r="H91" s="437">
        <f t="shared" si="62"/>
        <v>1</v>
      </c>
      <c r="I91" s="492">
        <v>6432.32</v>
      </c>
      <c r="J91" s="451"/>
      <c r="K91" s="450"/>
      <c r="L91" s="451"/>
      <c r="M91" s="493"/>
      <c r="N91" s="493"/>
      <c r="O91" s="494">
        <f t="shared" si="61"/>
        <v>6.4554056525230399E-2</v>
      </c>
      <c r="P91" s="494">
        <f t="shared" si="61"/>
        <v>6.3544578171482513E-2</v>
      </c>
      <c r="Q91" s="450">
        <f t="shared" si="61"/>
        <v>45875</v>
      </c>
      <c r="R91" s="450">
        <v>46468</v>
      </c>
      <c r="S91" s="509" t="s">
        <v>146</v>
      </c>
      <c r="T91" s="510">
        <f>Tabla3[[#This Row],[Cantidad]]*Tabla3[[#This Row],[Cortes]]</f>
        <v>6432.32</v>
      </c>
      <c r="U91" s="511">
        <f t="shared" si="43"/>
        <v>6051.5943910055084</v>
      </c>
      <c r="V91" s="511">
        <f t="shared" si="44"/>
        <v>6050.5573197431831</v>
      </c>
      <c r="W91" s="497">
        <f>IF(Tabla3[[#This Row],[Fecha de operación]]=$C$1,0,U91-V91)</f>
        <v>1.0370712623252984</v>
      </c>
      <c r="X91" s="512" t="str">
        <f t="shared" si="19"/>
        <v>Vigente</v>
      </c>
      <c r="Y91" s="498" t="s">
        <v>450</v>
      </c>
      <c r="Z91" s="469">
        <f t="shared" si="20"/>
        <v>356</v>
      </c>
      <c r="AA91" s="499">
        <f t="shared" si="63"/>
        <v>1.4258446998890166</v>
      </c>
      <c r="AB91" s="499">
        <f>+AB90</f>
        <v>1.3812616776804572</v>
      </c>
      <c r="AC91" s="469" t="s">
        <v>451</v>
      </c>
      <c r="AD91" s="469" t="s">
        <v>454</v>
      </c>
      <c r="AG91" s="605">
        <f>+IF(Tabla3[[#This Row],[Amortización k | cupón de intereses]]="Amortización de K",Tabla3[[#This Row],[Valor Nominal]],0)</f>
        <v>0</v>
      </c>
      <c r="AH91" s="605">
        <f>+IF(AND(Tabla3[[#This Row],[Amortización k | cupón de intereses]]="Cupón de interés",Tabla3[[#This Row],[Estado]]="Vigente"),Tabla3[[#This Row],[Valor Nominal]],0)</f>
        <v>6432.32</v>
      </c>
      <c r="AI91" s="618">
        <f>+IF(Tabla3[[#This Row],[Amortización k | cupón de intereses]]="Amortización de K",SUMIFS($AH$7:$AH$557,Tabla3[Código Emisión],Tabla3[[#This Row],[Código Emisión]],Tabla3[Fecha de operación],Tabla3[[#This Row],[Fecha de operación]]),0)-Tabla3[[#This Row],[Accrued]]*Tabla3[[#This Row],[Valor Nominal]]</f>
        <v>0</v>
      </c>
      <c r="AJ91" s="605">
        <f>+IF(Tabla3[[#This Row],[Amortización k | cupón de intereses]]="Amortización de K",IF(Tabla3[[#This Row],[Precio Clean]]&gt;1,Tabla3[[#This Row],[Valor Nominal]]*(Tabla3[[#This Row],[Precio Clean]]-1),0),0)</f>
        <v>0</v>
      </c>
      <c r="AK91" s="605">
        <f>+IF(Tabla3[[#This Row],[Amortización k | cupón de intereses]]="Amortización de K",IF(Tabla3[[#This Row],[Precio Clean]]&lt;1,Tabla3[[#This Row],[Valor Nominal]]*(Tabla3[[#This Row],[Precio Clean]]-1),0),0)</f>
        <v>0</v>
      </c>
    </row>
    <row r="92" spans="1:37">
      <c r="A92" s="502"/>
      <c r="B92" s="437" t="s">
        <v>485</v>
      </c>
      <c r="C92" s="437" t="str">
        <f t="shared" si="59"/>
        <v>BNF_6,45%_210927_200K_BB1814-1820-2</v>
      </c>
      <c r="D92" s="437" t="s">
        <v>453</v>
      </c>
      <c r="E92" s="437" t="str">
        <f t="shared" si="60"/>
        <v>AA+py</v>
      </c>
      <c r="F92" s="437" t="s">
        <v>297</v>
      </c>
      <c r="G92" s="437" t="s">
        <v>298</v>
      </c>
      <c r="H92" s="437">
        <f t="shared" si="62"/>
        <v>1</v>
      </c>
      <c r="I92" s="492">
        <v>6538.35</v>
      </c>
      <c r="J92" s="451"/>
      <c r="K92" s="450"/>
      <c r="L92" s="451"/>
      <c r="M92" s="493"/>
      <c r="N92" s="493"/>
      <c r="O92" s="494">
        <f t="shared" si="61"/>
        <v>6.4554056525230399E-2</v>
      </c>
      <c r="P92" s="494">
        <f t="shared" si="61"/>
        <v>6.3544578171482513E-2</v>
      </c>
      <c r="Q92" s="450">
        <f t="shared" si="61"/>
        <v>45875</v>
      </c>
      <c r="R92" s="450">
        <v>46286</v>
      </c>
      <c r="S92" s="509" t="s">
        <v>146</v>
      </c>
      <c r="T92" s="510">
        <f>Tabla3[[#This Row],[Cantidad]]*Tabla3[[#This Row],[Cortes]]</f>
        <v>6538.35</v>
      </c>
      <c r="U92" s="511">
        <f t="shared" si="43"/>
        <v>6346.2471022744412</v>
      </c>
      <c r="V92" s="511">
        <f t="shared" si="44"/>
        <v>6345.1595359128942</v>
      </c>
      <c r="W92" s="497">
        <f>IF(Tabla3[[#This Row],[Fecha de operación]]=$C$1,0,U92-V92)</f>
        <v>1.087566361547033</v>
      </c>
      <c r="X92" s="512" t="str">
        <f t="shared" si="19"/>
        <v>Vigente</v>
      </c>
      <c r="Y92" s="498" t="s">
        <v>450</v>
      </c>
      <c r="Z92" s="469">
        <f t="shared" si="20"/>
        <v>174</v>
      </c>
      <c r="AA92" s="499">
        <f t="shared" si="63"/>
        <v>1.4258446998890166</v>
      </c>
      <c r="AB92" s="499">
        <f>+AB91</f>
        <v>1.3812616776804572</v>
      </c>
      <c r="AC92" s="469" t="s">
        <v>451</v>
      </c>
      <c r="AD92" s="469" t="s">
        <v>454</v>
      </c>
      <c r="AG92" s="605">
        <f>+IF(Tabla3[[#This Row],[Amortización k | cupón de intereses]]="Amortización de K",Tabla3[[#This Row],[Valor Nominal]],0)</f>
        <v>0</v>
      </c>
      <c r="AH92" s="605">
        <f>+IF(AND(Tabla3[[#This Row],[Amortización k | cupón de intereses]]="Cupón de interés",Tabla3[[#This Row],[Estado]]="Vigente"),Tabla3[[#This Row],[Valor Nominal]],0)</f>
        <v>6538.35</v>
      </c>
      <c r="AI92" s="618">
        <f>+IF(Tabla3[[#This Row],[Amortización k | cupón de intereses]]="Amortización de K",SUMIFS($AH$7:$AH$557,Tabla3[Código Emisión],Tabla3[[#This Row],[Código Emisión]],Tabla3[Fecha de operación],Tabla3[[#This Row],[Fecha de operación]]),0)-Tabla3[[#This Row],[Accrued]]*Tabla3[[#This Row],[Valor Nominal]]</f>
        <v>0</v>
      </c>
      <c r="AJ92" s="605">
        <f>+IF(Tabla3[[#This Row],[Amortización k | cupón de intereses]]="Amortización de K",IF(Tabla3[[#This Row],[Precio Clean]]&gt;1,Tabla3[[#This Row],[Valor Nominal]]*(Tabla3[[#This Row],[Precio Clean]]-1),0),0)</f>
        <v>0</v>
      </c>
      <c r="AK92" s="605">
        <f>+IF(Tabla3[[#This Row],[Amortización k | cupón de intereses]]="Amortización de K",IF(Tabla3[[#This Row],[Precio Clean]]&lt;1,Tabla3[[#This Row],[Valor Nominal]]*(Tabla3[[#This Row],[Precio Clean]]-1),0),0)</f>
        <v>0</v>
      </c>
    </row>
    <row r="93" spans="1:37">
      <c r="A93" s="502"/>
      <c r="B93" s="437" t="s">
        <v>485</v>
      </c>
      <c r="C93" s="437" t="str">
        <f t="shared" si="59"/>
        <v>BNF_6,45%_210927_200K_BB1814-1820-2</v>
      </c>
      <c r="D93" s="437" t="s">
        <v>453</v>
      </c>
      <c r="E93" s="437" t="str">
        <f t="shared" si="60"/>
        <v>AA+py</v>
      </c>
      <c r="F93" s="437" t="s">
        <v>297</v>
      </c>
      <c r="G93" s="437" t="s">
        <v>298</v>
      </c>
      <c r="H93" s="437">
        <f t="shared" si="62"/>
        <v>1</v>
      </c>
      <c r="I93" s="492">
        <v>6326.3</v>
      </c>
      <c r="J93" s="451"/>
      <c r="K93" s="450"/>
      <c r="L93" s="451"/>
      <c r="M93" s="493"/>
      <c r="N93" s="493"/>
      <c r="O93" s="494">
        <f t="shared" si="61"/>
        <v>6.4554056525230399E-2</v>
      </c>
      <c r="P93" s="494">
        <f t="shared" si="61"/>
        <v>6.3544578171482513E-2</v>
      </c>
      <c r="Q93" s="450">
        <f t="shared" si="61"/>
        <v>45875</v>
      </c>
      <c r="R93" s="450">
        <v>46101</v>
      </c>
      <c r="S93" s="509" t="s">
        <v>146</v>
      </c>
      <c r="T93" s="510">
        <f>Tabla3[[#This Row],[Cantidad]]*Tabla3[[#This Row],[Cortes]]</f>
        <v>6326.3</v>
      </c>
      <c r="U93" s="511" t="b">
        <f t="shared" si="43"/>
        <v>0</v>
      </c>
      <c r="V93" s="511" t="b">
        <f t="shared" si="44"/>
        <v>0</v>
      </c>
      <c r="W93" s="497">
        <f>IF(Tabla3[[#This Row],[Fecha de operación]]=$C$1,0,U93-V93)</f>
        <v>0</v>
      </c>
      <c r="X93" s="512" t="str">
        <f t="shared" si="19"/>
        <v>Vencido</v>
      </c>
      <c r="Y93" s="498" t="s">
        <v>450</v>
      </c>
      <c r="Z93" s="469">
        <f t="shared" si="20"/>
        <v>-11</v>
      </c>
      <c r="AA93" s="499">
        <f t="shared" si="63"/>
        <v>1.4258446998890166</v>
      </c>
      <c r="AB93" s="499">
        <f>+AB92</f>
        <v>1.3812616776804572</v>
      </c>
      <c r="AC93" s="469" t="s">
        <v>451</v>
      </c>
      <c r="AD93" s="469" t="s">
        <v>454</v>
      </c>
      <c r="AG93" s="605">
        <f>+IF(Tabla3[[#This Row],[Amortización k | cupón de intereses]]="Amortización de K",Tabla3[[#This Row],[Valor Nominal]],0)</f>
        <v>0</v>
      </c>
      <c r="AH93" s="605">
        <f>+IF(AND(Tabla3[[#This Row],[Amortización k | cupón de intereses]]="Cupón de interés",Tabla3[[#This Row],[Estado]]="Vigente"),Tabla3[[#This Row],[Valor Nominal]],0)</f>
        <v>0</v>
      </c>
      <c r="AI93" s="618">
        <f>+IF(Tabla3[[#This Row],[Amortización k | cupón de intereses]]="Amortización de K",SUMIFS($AH$7:$AH$557,Tabla3[Código Emisión],Tabla3[[#This Row],[Código Emisión]],Tabla3[Fecha de operación],Tabla3[[#This Row],[Fecha de operación]]),0)-Tabla3[[#This Row],[Accrued]]*Tabla3[[#This Row],[Valor Nominal]]</f>
        <v>0</v>
      </c>
      <c r="AJ93" s="605">
        <f>+IF(Tabla3[[#This Row],[Amortización k | cupón de intereses]]="Amortización de K",IF(Tabla3[[#This Row],[Precio Clean]]&gt;1,Tabla3[[#This Row],[Valor Nominal]]*(Tabla3[[#This Row],[Precio Clean]]-1),0),0)</f>
        <v>0</v>
      </c>
      <c r="AK93" s="605">
        <f>+IF(Tabla3[[#This Row],[Amortización k | cupón de intereses]]="Amortización de K",IF(Tabla3[[#This Row],[Precio Clean]]&lt;1,Tabla3[[#This Row],[Valor Nominal]]*(Tabla3[[#This Row],[Precio Clean]]-1),0),0)</f>
        <v>0</v>
      </c>
    </row>
    <row r="94" spans="1:37">
      <c r="A94" s="502"/>
      <c r="B94" s="437" t="s">
        <v>485</v>
      </c>
      <c r="C94" s="437" t="str">
        <f t="shared" si="59"/>
        <v>BNF_6,45%_210927_200K_BB1814-1820-2</v>
      </c>
      <c r="D94" s="437" t="s">
        <v>453</v>
      </c>
      <c r="E94" s="437" t="str">
        <f t="shared" si="60"/>
        <v>AA+py</v>
      </c>
      <c r="F94" s="437" t="s">
        <v>297</v>
      </c>
      <c r="G94" s="437" t="s">
        <v>298</v>
      </c>
      <c r="H94" s="437">
        <f t="shared" si="62"/>
        <v>1</v>
      </c>
      <c r="I94" s="492">
        <v>6573.69</v>
      </c>
      <c r="J94" s="451"/>
      <c r="K94" s="450"/>
      <c r="L94" s="451"/>
      <c r="M94" s="493"/>
      <c r="N94" s="493"/>
      <c r="O94" s="494">
        <f t="shared" si="61"/>
        <v>6.4554056525230399E-2</v>
      </c>
      <c r="P94" s="494">
        <f t="shared" si="61"/>
        <v>6.3544578171482513E-2</v>
      </c>
      <c r="Q94" s="450">
        <f t="shared" si="61"/>
        <v>45875</v>
      </c>
      <c r="R94" s="450">
        <v>45922</v>
      </c>
      <c r="S94" s="509" t="s">
        <v>146</v>
      </c>
      <c r="T94" s="510">
        <f>Tabla3[[#This Row],[Cantidad]]*Tabla3[[#This Row],[Cortes]]</f>
        <v>6573.69</v>
      </c>
      <c r="U94" s="511" t="b">
        <f t="shared" si="43"/>
        <v>0</v>
      </c>
      <c r="V94" s="511" t="b">
        <f t="shared" si="44"/>
        <v>0</v>
      </c>
      <c r="W94" s="497">
        <f>IF(Tabla3[[#This Row],[Fecha de operación]]=$C$1,0,U94-V94)</f>
        <v>0</v>
      </c>
      <c r="X94" s="512" t="str">
        <f t="shared" si="19"/>
        <v>Vencido</v>
      </c>
      <c r="Y94" s="498" t="s">
        <v>450</v>
      </c>
      <c r="Z94" s="469">
        <f t="shared" si="20"/>
        <v>-190</v>
      </c>
      <c r="AA94" s="499">
        <f t="shared" si="63"/>
        <v>1.4258446998890166</v>
      </c>
      <c r="AB94" s="499">
        <f>+AB93</f>
        <v>1.3812616776804572</v>
      </c>
      <c r="AC94" s="469" t="s">
        <v>451</v>
      </c>
      <c r="AD94" s="469" t="s">
        <v>454</v>
      </c>
      <c r="AG94" s="605">
        <f>+IF(Tabla3[[#This Row],[Amortización k | cupón de intereses]]="Amortización de K",Tabla3[[#This Row],[Valor Nominal]],0)</f>
        <v>0</v>
      </c>
      <c r="AH94" s="605">
        <f>+IF(AND(Tabla3[[#This Row],[Amortización k | cupón de intereses]]="Cupón de interés",Tabla3[[#This Row],[Estado]]="Vigente"),Tabla3[[#This Row],[Valor Nominal]],0)</f>
        <v>0</v>
      </c>
      <c r="AI94" s="618">
        <f>+IF(Tabla3[[#This Row],[Amortización k | cupón de intereses]]="Amortización de K",SUMIFS($AH$7:$AH$557,Tabla3[Código Emisión],Tabla3[[#This Row],[Código Emisión]],Tabla3[Fecha de operación],Tabla3[[#This Row],[Fecha de operación]]),0)-Tabla3[[#This Row],[Accrued]]*Tabla3[[#This Row],[Valor Nominal]]</f>
        <v>0</v>
      </c>
      <c r="AJ94" s="605">
        <f>+IF(Tabla3[[#This Row],[Amortización k | cupón de intereses]]="Amortización de K",IF(Tabla3[[#This Row],[Precio Clean]]&gt;1,Tabla3[[#This Row],[Valor Nominal]]*(Tabla3[[#This Row],[Precio Clean]]-1),0),0)</f>
        <v>0</v>
      </c>
      <c r="AK94" s="605">
        <f>+IF(Tabla3[[#This Row],[Amortización k | cupón de intereses]]="Amortización de K",IF(Tabla3[[#This Row],[Precio Clean]]&lt;1,Tabla3[[#This Row],[Valor Nominal]]*(Tabla3[[#This Row],[Precio Clean]]-1),0),0)</f>
        <v>0</v>
      </c>
    </row>
    <row r="95" spans="1:37" ht="15">
      <c r="A95" s="500">
        <f>+A88+1</f>
        <v>12</v>
      </c>
      <c r="B95" s="475" t="s">
        <v>504</v>
      </c>
      <c r="C95" s="475" t="s">
        <v>562</v>
      </c>
      <c r="D95" s="475" t="s">
        <v>453</v>
      </c>
      <c r="E95" s="475" t="s">
        <v>487</v>
      </c>
      <c r="F95" s="475" t="s">
        <v>297</v>
      </c>
      <c r="G95" s="475" t="s">
        <v>298</v>
      </c>
      <c r="H95" s="476">
        <v>5</v>
      </c>
      <c r="I95" s="477">
        <v>100000</v>
      </c>
      <c r="J95" s="478">
        <v>6.5000000000000002E-2</v>
      </c>
      <c r="K95" s="479">
        <f>_xlfn.MAXIFS(R:R,C:C,C95,AD:AD,"Cupón de interés",X:X,"Vencido")</f>
        <v>46055</v>
      </c>
      <c r="L95" s="478">
        <f>+Tabla3[[#This Row],[Tasa de Interés]]*($U$5-Tabla3[[#This Row],[Last coupon]])/365</f>
        <v>1.0150684931506849E-2</v>
      </c>
      <c r="M95" s="480">
        <f>+Tabla3[[#This Row],[Precio Dirty]]-Tabla3[[#This Row],[Accrued]]</f>
        <v>0.99783233212751077</v>
      </c>
      <c r="N95" s="481">
        <f>SUMIFS(U:U,C:C,C95,Q:Q,Q95)/SUMIFS(T:T,C:C,C95,Q:Q,Q95,AD:AD,"Amortización de K")</f>
        <v>1.0079830170590176</v>
      </c>
      <c r="O95" s="482">
        <v>6.7037466168403628E-2</v>
      </c>
      <c r="P95" s="482">
        <f>+NOMINAL(Tabla3[[#This Row],[YTM]],2)</f>
        <v>6.5950111854982563E-2</v>
      </c>
      <c r="Q95" s="484">
        <v>45876</v>
      </c>
      <c r="R95" s="484">
        <v>46972</v>
      </c>
      <c r="S95" s="504" t="s">
        <v>146</v>
      </c>
      <c r="T95" s="510">
        <f>Tabla3[[#This Row],[Cantidad]]*Tabla3[[#This Row],[Cortes]]</f>
        <v>500000</v>
      </c>
      <c r="U95" s="511">
        <f t="shared" si="43"/>
        <v>429115.3720701852</v>
      </c>
      <c r="V95" s="511">
        <f t="shared" si="44"/>
        <v>429039.09496912966</v>
      </c>
      <c r="W95" s="497">
        <f>IF(Tabla3[[#This Row],[Fecha de operación]]=$C$1,0,U95-V95)</f>
        <v>76.277101055544335</v>
      </c>
      <c r="X95" s="507" t="str">
        <f t="shared" si="19"/>
        <v>Vigente</v>
      </c>
      <c r="Y95" s="489" t="s">
        <v>488</v>
      </c>
      <c r="Z95" s="488">
        <f t="shared" si="20"/>
        <v>860</v>
      </c>
      <c r="AA95" s="508">
        <f t="shared" ref="AA95" si="64">IF(Y95="Mensual",DURATION($C$1,$C$1+Z95*12,J95/12,O95/12,1)/12,DURATION($C$1,R95,J95,O95,IF(Y95="Cupón cero",1,IF(Y95="Al vencimiento",1,IF(Y95="Anual",1,IF(Y95="Semestral",2,IF(Y95="Trimestral",4,"")))))))</f>
        <v>2.1970808872862282</v>
      </c>
      <c r="AB95" s="508">
        <f t="shared" ref="AB95" si="65">IF(Y95="Mensual",MDURATION($C$1,$C$1+Z95*12,J95/12,O95/12,1)/12,MDURATION($C$1,R95,J95,O95,IF(Y95="Cupón cero",1,IF(Y95="Al vencimiento",1,IF(Y95="Anual",1,IF(Y95="Semestral",2,IF(Y95="Trimestral",4,"")))))))</f>
        <v>2.1258258964786756</v>
      </c>
      <c r="AC95" s="488" t="s">
        <v>451</v>
      </c>
      <c r="AD95" s="488" t="s">
        <v>452</v>
      </c>
      <c r="AG95" s="605">
        <f>+IF(Tabla3[[#This Row],[Amortización k | cupón de intereses]]="Amortización de K",Tabla3[[#This Row],[Valor Nominal]],0)</f>
        <v>500000</v>
      </c>
      <c r="AH95" s="605">
        <f>+IF(AND(Tabla3[[#This Row],[Amortización k | cupón de intereses]]="Cupón de interés",Tabla3[[#This Row],[Estado]]="Vigente"),Tabla3[[#This Row],[Valor Nominal]],0)</f>
        <v>0</v>
      </c>
      <c r="AI95" s="618">
        <f>+IF(Tabla3[[#This Row],[Amortización k | cupón de intereses]]="Amortización de K",SUMIFS($AH$7:$AH$557,Tabla3[Código Emisión],Tabla3[[#This Row],[Código Emisión]],Tabla3[Fecha de operación],Tabla3[[#This Row],[Fecha de operación]]),0)-Tabla3[[#This Row],[Accrued]]*Tabla3[[#This Row],[Valor Nominal]]</f>
        <v>76575.34246575342</v>
      </c>
      <c r="AJ95" s="605">
        <f>+IF(Tabla3[[#This Row],[Amortización k | cupón de intereses]]="Amortización de K",IF(Tabla3[[#This Row],[Precio Clean]]&gt;1,Tabla3[[#This Row],[Valor Nominal]]*(Tabla3[[#This Row],[Precio Clean]]-1),0),0)</f>
        <v>0</v>
      </c>
      <c r="AK95" s="605">
        <f>+IF(Tabla3[[#This Row],[Amortización k | cupón de intereses]]="Amortización de K",IF(Tabla3[[#This Row],[Precio Clean]]&lt;1,Tabla3[[#This Row],[Valor Nominal]]*(Tabla3[[#This Row],[Precio Clean]]-1),0),0)</f>
        <v>-1083.8339362446159</v>
      </c>
    </row>
    <row r="96" spans="1:37">
      <c r="A96" s="502"/>
      <c r="B96" s="437" t="str">
        <f>+B95</f>
        <v>Sudameris Bank SAECA</v>
      </c>
      <c r="C96" s="437" t="str">
        <f t="shared" ref="C96:C119" si="66">+C95</f>
        <v>SUD_6,50%_07082028_BN7267-75_100K</v>
      </c>
      <c r="D96" s="437" t="s">
        <v>453</v>
      </c>
      <c r="E96" s="437" t="str">
        <f t="shared" ref="E96:E101" si="67">+E95</f>
        <v>AA+py</v>
      </c>
      <c r="F96" s="437" t="s">
        <v>297</v>
      </c>
      <c r="G96" s="437" t="s">
        <v>298</v>
      </c>
      <c r="H96" s="529">
        <v>5</v>
      </c>
      <c r="I96" s="492">
        <v>3490.4109589041091</v>
      </c>
      <c r="J96" s="451"/>
      <c r="K96" s="450"/>
      <c r="L96" s="451"/>
      <c r="M96" s="493"/>
      <c r="N96" s="493"/>
      <c r="O96" s="494">
        <f t="shared" ref="O96:Q101" si="68">+O95</f>
        <v>6.7037466168403628E-2</v>
      </c>
      <c r="P96" s="494">
        <f t="shared" si="68"/>
        <v>6.5950111854982563E-2</v>
      </c>
      <c r="Q96" s="450">
        <f t="shared" si="68"/>
        <v>45876</v>
      </c>
      <c r="R96" s="450">
        <v>46972</v>
      </c>
      <c r="S96" s="509" t="s">
        <v>146</v>
      </c>
      <c r="T96" s="510">
        <f>Tabla3[[#This Row],[Cantidad]]*Tabla3[[#This Row],[Cortes]]</f>
        <v>17452.054794520547</v>
      </c>
      <c r="U96" s="511">
        <f t="shared" si="43"/>
        <v>14977.889973079888</v>
      </c>
      <c r="V96" s="511">
        <f t="shared" si="44"/>
        <v>14975.227588785512</v>
      </c>
      <c r="W96" s="497">
        <f>IF(Tabla3[[#This Row],[Fecha de operación]]=$C$1,0,U96-V96)</f>
        <v>2.6623842943754426</v>
      </c>
      <c r="X96" s="512" t="str">
        <f t="shared" si="19"/>
        <v>Vigente</v>
      </c>
      <c r="Y96" s="498" t="str">
        <f>+Y95</f>
        <v>Semestral</v>
      </c>
      <c r="Z96" s="469">
        <f t="shared" si="20"/>
        <v>860</v>
      </c>
      <c r="AA96" s="499">
        <f>+AA95</f>
        <v>2.1970808872862282</v>
      </c>
      <c r="AB96" s="499">
        <f>+AB95</f>
        <v>2.1258258964786756</v>
      </c>
      <c r="AC96" s="469" t="s">
        <v>451</v>
      </c>
      <c r="AD96" s="469" t="s">
        <v>454</v>
      </c>
      <c r="AG96" s="605">
        <f>+IF(Tabla3[[#This Row],[Amortización k | cupón de intereses]]="Amortización de K",Tabla3[[#This Row],[Valor Nominal]],0)</f>
        <v>0</v>
      </c>
      <c r="AH96" s="605">
        <f>+IF(AND(Tabla3[[#This Row],[Amortización k | cupón de intereses]]="Cupón de interés",Tabla3[[#This Row],[Estado]]="Vigente"),Tabla3[[#This Row],[Valor Nominal]],0)</f>
        <v>17452.054794520547</v>
      </c>
      <c r="AI96" s="618">
        <f>+IF(Tabla3[[#This Row],[Amortización k | cupón de intereses]]="Amortización de K",SUMIFS($AH$7:$AH$557,Tabla3[Código Emisión],Tabla3[[#This Row],[Código Emisión]],Tabla3[Fecha de operación],Tabla3[[#This Row],[Fecha de operación]]),0)-Tabla3[[#This Row],[Accrued]]*Tabla3[[#This Row],[Valor Nominal]]</f>
        <v>0</v>
      </c>
      <c r="AJ96" s="605">
        <f>+IF(Tabla3[[#This Row],[Amortización k | cupón de intereses]]="Amortización de K",IF(Tabla3[[#This Row],[Precio Clean]]&gt;1,Tabla3[[#This Row],[Valor Nominal]]*(Tabla3[[#This Row],[Precio Clean]]-1),0),0)</f>
        <v>0</v>
      </c>
      <c r="AK96" s="605">
        <f>+IF(Tabla3[[#This Row],[Amortización k | cupón de intereses]]="Amortización de K",IF(Tabla3[[#This Row],[Precio Clean]]&lt;1,Tabla3[[#This Row],[Valor Nominal]]*(Tabla3[[#This Row],[Precio Clean]]-1),0),0)</f>
        <v>0</v>
      </c>
    </row>
    <row r="97" spans="1:37">
      <c r="A97" s="502"/>
      <c r="B97" s="437" t="str">
        <f t="shared" ref="B97:B101" si="69">+B96</f>
        <v>Sudameris Bank SAECA</v>
      </c>
      <c r="C97" s="437" t="str">
        <f t="shared" si="66"/>
        <v>SUD_6,50%_07082028_BN7267-75_100K</v>
      </c>
      <c r="D97" s="437" t="s">
        <v>453</v>
      </c>
      <c r="E97" s="437" t="str">
        <f t="shared" si="67"/>
        <v>AA+py</v>
      </c>
      <c r="F97" s="437" t="s">
        <v>297</v>
      </c>
      <c r="G97" s="437" t="s">
        <v>298</v>
      </c>
      <c r="H97" s="529">
        <v>5</v>
      </c>
      <c r="I97" s="492">
        <v>3223.2876712328766</v>
      </c>
      <c r="J97" s="451"/>
      <c r="K97" s="450"/>
      <c r="L97" s="451"/>
      <c r="M97" s="493"/>
      <c r="N97" s="493"/>
      <c r="O97" s="494">
        <f t="shared" si="68"/>
        <v>6.7037466168403628E-2</v>
      </c>
      <c r="P97" s="494">
        <f t="shared" si="68"/>
        <v>6.5950111854982563E-2</v>
      </c>
      <c r="Q97" s="450">
        <f t="shared" si="68"/>
        <v>45876</v>
      </c>
      <c r="R97" s="450">
        <v>46776</v>
      </c>
      <c r="S97" s="509" t="s">
        <v>146</v>
      </c>
      <c r="T97" s="510">
        <f>Tabla3[[#This Row],[Cantidad]]*Tabla3[[#This Row],[Cortes]]</f>
        <v>16116.438356164383</v>
      </c>
      <c r="U97" s="511">
        <f t="shared" si="43"/>
        <v>14322.051649300132</v>
      </c>
      <c r="V97" s="511">
        <f t="shared" si="44"/>
        <v>14319.505843085579</v>
      </c>
      <c r="W97" s="497">
        <f>IF(Tabla3[[#This Row],[Fecha de operación]]=$C$1,0,U97-V97)</f>
        <v>2.5458062145535223</v>
      </c>
      <c r="X97" s="512" t="str">
        <f t="shared" si="19"/>
        <v>Vigente</v>
      </c>
      <c r="Y97" s="498" t="str">
        <f t="shared" ref="Y97:Y101" si="70">+Y96</f>
        <v>Semestral</v>
      </c>
      <c r="Z97" s="469">
        <f t="shared" si="20"/>
        <v>664</v>
      </c>
      <c r="AA97" s="499">
        <f t="shared" ref="AA97:AA101" si="71">+AA96</f>
        <v>2.1970808872862282</v>
      </c>
      <c r="AB97" s="499">
        <f>+AB96</f>
        <v>2.1258258964786756</v>
      </c>
      <c r="AC97" s="469" t="s">
        <v>451</v>
      </c>
      <c r="AD97" s="469" t="s">
        <v>454</v>
      </c>
      <c r="AG97" s="605">
        <f>+IF(Tabla3[[#This Row],[Amortización k | cupón de intereses]]="Amortización de K",Tabla3[[#This Row],[Valor Nominal]],0)</f>
        <v>0</v>
      </c>
      <c r="AH97" s="605">
        <f>+IF(AND(Tabla3[[#This Row],[Amortización k | cupón de intereses]]="Cupón de interés",Tabla3[[#This Row],[Estado]]="Vigente"),Tabla3[[#This Row],[Valor Nominal]],0)</f>
        <v>16116.438356164383</v>
      </c>
      <c r="AI97" s="618">
        <f>+IF(Tabla3[[#This Row],[Amortización k | cupón de intereses]]="Amortización de K",SUMIFS($AH$7:$AH$557,Tabla3[Código Emisión],Tabla3[[#This Row],[Código Emisión]],Tabla3[Fecha de operación],Tabla3[[#This Row],[Fecha de operación]]),0)-Tabla3[[#This Row],[Accrued]]*Tabla3[[#This Row],[Valor Nominal]]</f>
        <v>0</v>
      </c>
      <c r="AJ97" s="605">
        <f>+IF(Tabla3[[#This Row],[Amortización k | cupón de intereses]]="Amortización de K",IF(Tabla3[[#This Row],[Precio Clean]]&gt;1,Tabla3[[#This Row],[Valor Nominal]]*(Tabla3[[#This Row],[Precio Clean]]-1),0),0)</f>
        <v>0</v>
      </c>
      <c r="AK97" s="605">
        <f>+IF(Tabla3[[#This Row],[Amortización k | cupón de intereses]]="Amortización de K",IF(Tabla3[[#This Row],[Precio Clean]]&lt;1,Tabla3[[#This Row],[Valor Nominal]]*(Tabla3[[#This Row],[Precio Clean]]-1),0),0)</f>
        <v>0</v>
      </c>
    </row>
    <row r="98" spans="1:37">
      <c r="A98" s="502"/>
      <c r="B98" s="437" t="str">
        <f t="shared" si="69"/>
        <v>Sudameris Bank SAECA</v>
      </c>
      <c r="C98" s="437" t="str">
        <f t="shared" si="66"/>
        <v>SUD_6,50%_07082028_BN7267-75_100K</v>
      </c>
      <c r="D98" s="437" t="s">
        <v>453</v>
      </c>
      <c r="E98" s="437" t="str">
        <f t="shared" si="67"/>
        <v>AA+py</v>
      </c>
      <c r="F98" s="437" t="s">
        <v>297</v>
      </c>
      <c r="G98" s="437" t="s">
        <v>298</v>
      </c>
      <c r="H98" s="529">
        <v>5</v>
      </c>
      <c r="I98" s="492">
        <v>3205.4794520547944</v>
      </c>
      <c r="J98" s="451"/>
      <c r="K98" s="450"/>
      <c r="L98" s="451"/>
      <c r="M98" s="493"/>
      <c r="N98" s="493"/>
      <c r="O98" s="494">
        <f t="shared" si="68"/>
        <v>6.7037466168403628E-2</v>
      </c>
      <c r="P98" s="494">
        <f t="shared" si="68"/>
        <v>6.5950111854982563E-2</v>
      </c>
      <c r="Q98" s="450">
        <f t="shared" si="68"/>
        <v>45876</v>
      </c>
      <c r="R98" s="450">
        <v>46595</v>
      </c>
      <c r="S98" s="509" t="s">
        <v>146</v>
      </c>
      <c r="T98" s="510">
        <f>Tabla3[[#This Row],[Cantidad]]*Tabla3[[#This Row],[Cortes]]</f>
        <v>16027.397260273972</v>
      </c>
      <c r="U98" s="511">
        <f t="shared" si="43"/>
        <v>14708.662853624677</v>
      </c>
      <c r="V98" s="511">
        <f t="shared" si="44"/>
        <v>14706.048325607504</v>
      </c>
      <c r="W98" s="497">
        <f>IF(Tabla3[[#This Row],[Fecha de operación]]=$C$1,0,U98-V98)</f>
        <v>2.6145280171731429</v>
      </c>
      <c r="X98" s="512" t="str">
        <f t="shared" si="19"/>
        <v>Vigente</v>
      </c>
      <c r="Y98" s="498" t="str">
        <f t="shared" si="70"/>
        <v>Semestral</v>
      </c>
      <c r="Z98" s="469">
        <f t="shared" si="20"/>
        <v>483</v>
      </c>
      <c r="AA98" s="499">
        <f t="shared" si="71"/>
        <v>2.1970808872862282</v>
      </c>
      <c r="AB98" s="499">
        <f>+AB97</f>
        <v>2.1258258964786756</v>
      </c>
      <c r="AC98" s="469" t="s">
        <v>451</v>
      </c>
      <c r="AD98" s="469" t="s">
        <v>454</v>
      </c>
      <c r="AG98" s="605">
        <f>+IF(Tabla3[[#This Row],[Amortización k | cupón de intereses]]="Amortización de K",Tabla3[[#This Row],[Valor Nominal]],0)</f>
        <v>0</v>
      </c>
      <c r="AH98" s="605">
        <f>+IF(AND(Tabla3[[#This Row],[Amortización k | cupón de intereses]]="Cupón de interés",Tabla3[[#This Row],[Estado]]="Vigente"),Tabla3[[#This Row],[Valor Nominal]],0)</f>
        <v>16027.397260273972</v>
      </c>
      <c r="AI98" s="618">
        <f>+IF(Tabla3[[#This Row],[Amortización k | cupón de intereses]]="Amortización de K",SUMIFS($AH$7:$AH$557,Tabla3[Código Emisión],Tabla3[[#This Row],[Código Emisión]],Tabla3[Fecha de operación],Tabla3[[#This Row],[Fecha de operación]]),0)-Tabla3[[#This Row],[Accrued]]*Tabla3[[#This Row],[Valor Nominal]]</f>
        <v>0</v>
      </c>
      <c r="AJ98" s="605">
        <f>+IF(Tabla3[[#This Row],[Amortización k | cupón de intereses]]="Amortización de K",IF(Tabla3[[#This Row],[Precio Clean]]&gt;1,Tabla3[[#This Row],[Valor Nominal]]*(Tabla3[[#This Row],[Precio Clean]]-1),0),0)</f>
        <v>0</v>
      </c>
      <c r="AK98" s="605">
        <f>+IF(Tabla3[[#This Row],[Amortización k | cupón de intereses]]="Amortización de K",IF(Tabla3[[#This Row],[Precio Clean]]&lt;1,Tabla3[[#This Row],[Valor Nominal]]*(Tabla3[[#This Row],[Precio Clean]]-1),0),0)</f>
        <v>0</v>
      </c>
    </row>
    <row r="99" spans="1:37">
      <c r="A99" s="502"/>
      <c r="B99" s="437" t="str">
        <f t="shared" si="69"/>
        <v>Sudameris Bank SAECA</v>
      </c>
      <c r="C99" s="437" t="str">
        <f t="shared" si="66"/>
        <v>SUD_6,50%_07082028_BN7267-75_100K</v>
      </c>
      <c r="D99" s="437" t="s">
        <v>453</v>
      </c>
      <c r="E99" s="437" t="str">
        <f t="shared" si="67"/>
        <v>AA+py</v>
      </c>
      <c r="F99" s="437" t="s">
        <v>297</v>
      </c>
      <c r="G99" s="437" t="s">
        <v>298</v>
      </c>
      <c r="H99" s="529">
        <v>5</v>
      </c>
      <c r="I99" s="492">
        <v>3169.8630136986299</v>
      </c>
      <c r="J99" s="451"/>
      <c r="K99" s="450"/>
      <c r="L99" s="451"/>
      <c r="M99" s="493"/>
      <c r="N99" s="493"/>
      <c r="O99" s="494">
        <f t="shared" si="68"/>
        <v>6.7037466168403628E-2</v>
      </c>
      <c r="P99" s="494">
        <f t="shared" si="68"/>
        <v>6.5950111854982563E-2</v>
      </c>
      <c r="Q99" s="450">
        <f t="shared" si="68"/>
        <v>45876</v>
      </c>
      <c r="R99" s="450">
        <v>46415</v>
      </c>
      <c r="S99" s="509" t="s">
        <v>146</v>
      </c>
      <c r="T99" s="510">
        <f>Tabla3[[#This Row],[Cantidad]]*Tabla3[[#This Row],[Cortes]]</f>
        <v>15849.31506849315</v>
      </c>
      <c r="U99" s="511">
        <f t="shared" si="43"/>
        <v>15018.187201955028</v>
      </c>
      <c r="V99" s="511">
        <f t="shared" si="44"/>
        <v>15015.517654655083</v>
      </c>
      <c r="W99" s="497">
        <f>IF(Tabla3[[#This Row],[Fecha de operación]]=$C$1,0,U99-V99)</f>
        <v>2.6695472999454068</v>
      </c>
      <c r="X99" s="512" t="str">
        <f t="shared" si="19"/>
        <v>Vigente</v>
      </c>
      <c r="Y99" s="498" t="str">
        <f t="shared" si="70"/>
        <v>Semestral</v>
      </c>
      <c r="Z99" s="469">
        <f t="shared" si="20"/>
        <v>303</v>
      </c>
      <c r="AA99" s="499">
        <f t="shared" si="71"/>
        <v>2.1970808872862282</v>
      </c>
      <c r="AB99" s="499">
        <f>+AB98</f>
        <v>2.1258258964786756</v>
      </c>
      <c r="AC99" s="469" t="s">
        <v>451</v>
      </c>
      <c r="AD99" s="469" t="s">
        <v>454</v>
      </c>
      <c r="AG99" s="605">
        <f>+IF(Tabla3[[#This Row],[Amortización k | cupón de intereses]]="Amortización de K",Tabla3[[#This Row],[Valor Nominal]],0)</f>
        <v>0</v>
      </c>
      <c r="AH99" s="605">
        <f>+IF(AND(Tabla3[[#This Row],[Amortización k | cupón de intereses]]="Cupón de interés",Tabla3[[#This Row],[Estado]]="Vigente"),Tabla3[[#This Row],[Valor Nominal]],0)</f>
        <v>15849.31506849315</v>
      </c>
      <c r="AI99" s="618">
        <f>+IF(Tabla3[[#This Row],[Amortización k | cupón de intereses]]="Amortización de K",SUMIFS($AH$7:$AH$557,Tabla3[Código Emisión],Tabla3[[#This Row],[Código Emisión]],Tabla3[Fecha de operación],Tabla3[[#This Row],[Fecha de operación]]),0)-Tabla3[[#This Row],[Accrued]]*Tabla3[[#This Row],[Valor Nominal]]</f>
        <v>0</v>
      </c>
      <c r="AJ99" s="605">
        <f>+IF(Tabla3[[#This Row],[Amortización k | cupón de intereses]]="Amortización de K",IF(Tabla3[[#This Row],[Precio Clean]]&gt;1,Tabla3[[#This Row],[Valor Nominal]]*(Tabla3[[#This Row],[Precio Clean]]-1),0),0)</f>
        <v>0</v>
      </c>
      <c r="AK99" s="605">
        <f>+IF(Tabla3[[#This Row],[Amortización k | cupón de intereses]]="Amortización de K",IF(Tabla3[[#This Row],[Precio Clean]]&lt;1,Tabla3[[#This Row],[Valor Nominal]]*(Tabla3[[#This Row],[Precio Clean]]-1),0),0)</f>
        <v>0</v>
      </c>
    </row>
    <row r="100" spans="1:37">
      <c r="A100" s="502"/>
      <c r="B100" s="437" t="str">
        <f t="shared" si="69"/>
        <v>Sudameris Bank SAECA</v>
      </c>
      <c r="C100" s="437" t="str">
        <f t="shared" si="66"/>
        <v>SUD_6,50%_07082028_BN7267-75_100K</v>
      </c>
      <c r="D100" s="437" t="s">
        <v>453</v>
      </c>
      <c r="E100" s="437" t="str">
        <f t="shared" si="67"/>
        <v>AA+py</v>
      </c>
      <c r="F100" s="437" t="s">
        <v>297</v>
      </c>
      <c r="G100" s="437" t="s">
        <v>298</v>
      </c>
      <c r="H100" s="529">
        <v>5</v>
      </c>
      <c r="I100" s="492">
        <v>3241.0958904109584</v>
      </c>
      <c r="J100" s="451"/>
      <c r="K100" s="450"/>
      <c r="L100" s="451"/>
      <c r="M100" s="493"/>
      <c r="N100" s="493"/>
      <c r="O100" s="494">
        <f t="shared" si="68"/>
        <v>6.7037466168403628E-2</v>
      </c>
      <c r="P100" s="494">
        <f t="shared" si="68"/>
        <v>6.5950111854982563E-2</v>
      </c>
      <c r="Q100" s="450">
        <f t="shared" si="68"/>
        <v>45876</v>
      </c>
      <c r="R100" s="450">
        <v>46237</v>
      </c>
      <c r="S100" s="509" t="s">
        <v>146</v>
      </c>
      <c r="T100" s="510">
        <f>Tabla3[[#This Row],[Cantidad]]*Tabla3[[#This Row],[Cortes]]</f>
        <v>16205.479452054791</v>
      </c>
      <c r="U100" s="511">
        <f t="shared" si="43"/>
        <v>15849.344781363925</v>
      </c>
      <c r="V100" s="511">
        <f t="shared" si="44"/>
        <v>15846.527492233221</v>
      </c>
      <c r="W100" s="497">
        <f>IF(Tabla3[[#This Row],[Fecha de operación]]=$C$1,0,U100-V100)</f>
        <v>2.8172891307040118</v>
      </c>
      <c r="X100" s="512" t="str">
        <f t="shared" si="19"/>
        <v>Vigente</v>
      </c>
      <c r="Y100" s="498" t="str">
        <f t="shared" si="70"/>
        <v>Semestral</v>
      </c>
      <c r="Z100" s="469">
        <f t="shared" si="20"/>
        <v>125</v>
      </c>
      <c r="AA100" s="499">
        <f t="shared" si="71"/>
        <v>2.1970808872862282</v>
      </c>
      <c r="AB100" s="499">
        <f>+AB99</f>
        <v>2.1258258964786756</v>
      </c>
      <c r="AC100" s="469" t="s">
        <v>451</v>
      </c>
      <c r="AD100" s="469" t="s">
        <v>454</v>
      </c>
      <c r="AG100" s="605">
        <f>+IF(Tabla3[[#This Row],[Amortización k | cupón de intereses]]="Amortización de K",Tabla3[[#This Row],[Valor Nominal]],0)</f>
        <v>0</v>
      </c>
      <c r="AH100" s="605">
        <f>+IF(AND(Tabla3[[#This Row],[Amortización k | cupón de intereses]]="Cupón de interés",Tabla3[[#This Row],[Estado]]="Vigente"),Tabla3[[#This Row],[Valor Nominal]],0)</f>
        <v>16205.479452054791</v>
      </c>
      <c r="AI100" s="618">
        <f>+IF(Tabla3[[#This Row],[Amortización k | cupón de intereses]]="Amortización de K",SUMIFS($AH$7:$AH$557,Tabla3[Código Emisión],Tabla3[[#This Row],[Código Emisión]],Tabla3[Fecha de operación],Tabla3[[#This Row],[Fecha de operación]]),0)-Tabla3[[#This Row],[Accrued]]*Tabla3[[#This Row],[Valor Nominal]]</f>
        <v>0</v>
      </c>
      <c r="AJ100" s="605">
        <f>+IF(Tabla3[[#This Row],[Amortización k | cupón de intereses]]="Amortización de K",IF(Tabla3[[#This Row],[Precio Clean]]&gt;1,Tabla3[[#This Row],[Valor Nominal]]*(Tabla3[[#This Row],[Precio Clean]]-1),0),0)</f>
        <v>0</v>
      </c>
      <c r="AK100" s="605">
        <f>+IF(Tabla3[[#This Row],[Amortización k | cupón de intereses]]="Amortización de K",IF(Tabla3[[#This Row],[Precio Clean]]&lt;1,Tabla3[[#This Row],[Valor Nominal]]*(Tabla3[[#This Row],[Precio Clean]]-1),0),0)</f>
        <v>0</v>
      </c>
    </row>
    <row r="101" spans="1:37">
      <c r="A101" s="502"/>
      <c r="B101" s="437" t="str">
        <f t="shared" si="69"/>
        <v>Sudameris Bank SAECA</v>
      </c>
      <c r="C101" s="437" t="str">
        <f t="shared" si="66"/>
        <v>SUD_6,50%_07082028_BN7267-75_100K</v>
      </c>
      <c r="D101" s="437" t="s">
        <v>453</v>
      </c>
      <c r="E101" s="437" t="str">
        <f t="shared" si="67"/>
        <v>AA+py</v>
      </c>
      <c r="F101" s="437" t="s">
        <v>297</v>
      </c>
      <c r="G101" s="437" t="s">
        <v>298</v>
      </c>
      <c r="H101" s="529">
        <v>5</v>
      </c>
      <c r="I101" s="492">
        <v>3205.4794520547944</v>
      </c>
      <c r="J101" s="451"/>
      <c r="K101" s="450"/>
      <c r="L101" s="451"/>
      <c r="M101" s="493"/>
      <c r="N101" s="493"/>
      <c r="O101" s="494">
        <f t="shared" si="68"/>
        <v>6.7037466168403628E-2</v>
      </c>
      <c r="P101" s="494">
        <f t="shared" si="68"/>
        <v>6.5950111854982563E-2</v>
      </c>
      <c r="Q101" s="450">
        <f t="shared" si="68"/>
        <v>45876</v>
      </c>
      <c r="R101" s="450">
        <v>46055</v>
      </c>
      <c r="S101" s="509" t="s">
        <v>146</v>
      </c>
      <c r="T101" s="510">
        <f>Tabla3[[#This Row],[Cantidad]]*Tabla3[[#This Row],[Cortes]]</f>
        <v>16027.397260273972</v>
      </c>
      <c r="U101" s="511" t="b">
        <f t="shared" si="43"/>
        <v>0</v>
      </c>
      <c r="V101" s="511" t="b">
        <f t="shared" si="44"/>
        <v>0</v>
      </c>
      <c r="W101" s="497">
        <f>IF(Tabla3[[#This Row],[Fecha de operación]]=$C$1,0,U101-V101)</f>
        <v>0</v>
      </c>
      <c r="X101" s="512" t="str">
        <f t="shared" ref="X101:X164" si="72">IF(R101&lt;=$U$5,"Vencido","Vigente")</f>
        <v>Vencido</v>
      </c>
      <c r="Y101" s="498" t="str">
        <f t="shared" si="70"/>
        <v>Semestral</v>
      </c>
      <c r="Z101" s="469">
        <f t="shared" ref="Z101:Z164" si="73">+R101-$U$5</f>
        <v>-57</v>
      </c>
      <c r="AA101" s="499">
        <f t="shared" si="71"/>
        <v>2.1970808872862282</v>
      </c>
      <c r="AB101" s="499">
        <f>+AB100</f>
        <v>2.1258258964786756</v>
      </c>
      <c r="AC101" s="469" t="s">
        <v>451</v>
      </c>
      <c r="AD101" s="469" t="s">
        <v>454</v>
      </c>
      <c r="AG101" s="605">
        <f>+IF(Tabla3[[#This Row],[Amortización k | cupón de intereses]]="Amortización de K",Tabla3[[#This Row],[Valor Nominal]],0)</f>
        <v>0</v>
      </c>
      <c r="AH101" s="605">
        <f>+IF(AND(Tabla3[[#This Row],[Amortización k | cupón de intereses]]="Cupón de interés",Tabla3[[#This Row],[Estado]]="Vigente"),Tabla3[[#This Row],[Valor Nominal]],0)</f>
        <v>0</v>
      </c>
      <c r="AI101" s="618">
        <f>+IF(Tabla3[[#This Row],[Amortización k | cupón de intereses]]="Amortización de K",SUMIFS($AH$7:$AH$557,Tabla3[Código Emisión],Tabla3[[#This Row],[Código Emisión]],Tabla3[Fecha de operación],Tabla3[[#This Row],[Fecha de operación]]),0)-Tabla3[[#This Row],[Accrued]]*Tabla3[[#This Row],[Valor Nominal]]</f>
        <v>0</v>
      </c>
      <c r="AJ101" s="605">
        <f>+IF(Tabla3[[#This Row],[Amortización k | cupón de intereses]]="Amortización de K",IF(Tabla3[[#This Row],[Precio Clean]]&gt;1,Tabla3[[#This Row],[Valor Nominal]]*(Tabla3[[#This Row],[Precio Clean]]-1),0),0)</f>
        <v>0</v>
      </c>
      <c r="AK101" s="605">
        <f>+IF(Tabla3[[#This Row],[Amortización k | cupón de intereses]]="Amortización de K",IF(Tabla3[[#This Row],[Precio Clean]]&lt;1,Tabla3[[#This Row],[Valor Nominal]]*(Tabla3[[#This Row],[Precio Clean]]-1),0),0)</f>
        <v>0</v>
      </c>
    </row>
    <row r="102" spans="1:37" ht="15">
      <c r="A102" s="500">
        <f>+A95+1</f>
        <v>13</v>
      </c>
      <c r="B102" s="475" t="s">
        <v>505</v>
      </c>
      <c r="C102" s="475" t="s">
        <v>509</v>
      </c>
      <c r="D102" s="475" t="s">
        <v>453</v>
      </c>
      <c r="E102" s="475" t="s">
        <v>507</v>
      </c>
      <c r="F102" s="475" t="s">
        <v>297</v>
      </c>
      <c r="G102" s="475" t="s">
        <v>298</v>
      </c>
      <c r="H102" s="476">
        <v>3</v>
      </c>
      <c r="I102" s="477">
        <v>50000</v>
      </c>
      <c r="J102" s="478">
        <v>0.08</v>
      </c>
      <c r="K102" s="479">
        <f>_xlfn.MAXIFS(R:R,C:C,C102,AD:AD,"Cupón de interés",X:X,"Vencido")</f>
        <v>46076</v>
      </c>
      <c r="L102" s="478">
        <f>+Tabla3[[#This Row],[Tasa de Interés]]*($U$5-Tabla3[[#This Row],[Last coupon]])/365</f>
        <v>7.8904109589041094E-3</v>
      </c>
      <c r="M102" s="480">
        <f>+Tabla3[[#This Row],[Precio Dirty]]-Tabla3[[#This Row],[Accrued]]</f>
        <v>1.0199633566311403</v>
      </c>
      <c r="N102" s="481">
        <f>SUMIFS(U:U,C:C,C102,Q:Q,Q102)/SUMIFS(T:T,C:C,C102,Q:Q,Q102,AD:AD,"Amortización de K")</f>
        <v>1.0278537675900445</v>
      </c>
      <c r="O102" s="482">
        <v>6.6592928767204282E-2</v>
      </c>
      <c r="P102" s="482">
        <v>6.4991729712817303E-2</v>
      </c>
      <c r="Q102" s="484">
        <v>45876</v>
      </c>
      <c r="R102" s="484">
        <v>46625</v>
      </c>
      <c r="S102" s="504" t="s">
        <v>146</v>
      </c>
      <c r="T102" s="505">
        <f>Tabla3[[#This Row],[Cantidad]]*Tabla3[[#This Row],[Cortes]]</f>
        <v>150000</v>
      </c>
      <c r="U102" s="506">
        <f t="shared" si="43"/>
        <v>137006.02348610546</v>
      </c>
      <c r="V102" s="506">
        <f t="shared" si="44"/>
        <v>136981.82645958281</v>
      </c>
      <c r="W102" s="487">
        <f>IF(Tabla3[[#This Row],[Fecha de operación]]=$C$1,0,U102-V102)</f>
        <v>24.197026522655506</v>
      </c>
      <c r="X102" s="507" t="str">
        <f t="shared" si="72"/>
        <v>Vigente</v>
      </c>
      <c r="Y102" s="489" t="s">
        <v>450</v>
      </c>
      <c r="Z102" s="488">
        <f t="shared" si="73"/>
        <v>513</v>
      </c>
      <c r="AA102" s="508">
        <f t="shared" ref="AA102" si="74">IF(Y102="Mensual",DURATION($C$1,$C$1+Z102*12,J102/12,O102/12,1)/12,DURATION($C$1,R102,J102,O102,IF(Y102="Cupón cero",1,IF(Y102="Al vencimiento",1,IF(Y102="Anual",1,IF(Y102="Semestral",2,IF(Y102="Trimestral",4,"")))))))</f>
        <v>1.3319421321737928</v>
      </c>
      <c r="AB102" s="508">
        <f t="shared" ref="AB102" si="75">IF(Y102="Mensual",MDURATION($C$1,$C$1+Z102*12,J102/12,O102/12,1)/12,MDURATION($C$1,R102,J102,O102,IF(Y102="Cupón cero",1,IF(Y102="Al vencimiento",1,IF(Y102="Anual",1,IF(Y102="Semestral",2,IF(Y102="Trimestral",4,"")))))))</f>
        <v>1.3101307708982552</v>
      </c>
      <c r="AC102" s="488" t="s">
        <v>451</v>
      </c>
      <c r="AD102" s="488" t="s">
        <v>452</v>
      </c>
      <c r="AG102" s="605">
        <f>+IF(Tabla3[[#This Row],[Amortización k | cupón de intereses]]="Amortización de K",Tabla3[[#This Row],[Valor Nominal]],0)</f>
        <v>150000</v>
      </c>
      <c r="AH102" s="605">
        <f>+IF(AND(Tabla3[[#This Row],[Amortización k | cupón de intereses]]="Cupón de interés",Tabla3[[#This Row],[Estado]]="Vigente"),Tabla3[[#This Row],[Valor Nominal]],0)</f>
        <v>0</v>
      </c>
      <c r="AI102" s="618">
        <f>+IF(Tabla3[[#This Row],[Amortización k | cupón de intereses]]="Amortización de K",SUMIFS($AH$7:$AH$557,Tabla3[Código Emisión],Tabla3[[#This Row],[Código Emisión]],Tabla3[Fecha de operación],Tabla3[[#This Row],[Fecha de operación]]),0)-Tabla3[[#This Row],[Accrued]]*Tabla3[[#This Row],[Valor Nominal]]</f>
        <v>16865.753424657534</v>
      </c>
      <c r="AJ102" s="605">
        <f>+IF(Tabla3[[#This Row],[Amortización k | cupón de intereses]]="Amortización de K",IF(Tabla3[[#This Row],[Precio Clean]]&gt;1,Tabla3[[#This Row],[Valor Nominal]]*(Tabla3[[#This Row],[Precio Clean]]-1),0),0)</f>
        <v>2994.5034946710525</v>
      </c>
      <c r="AK102" s="605">
        <f>+IF(Tabla3[[#This Row],[Amortización k | cupón de intereses]]="Amortización de K",IF(Tabla3[[#This Row],[Precio Clean]]&lt;1,Tabla3[[#This Row],[Valor Nominal]]*(Tabla3[[#This Row],[Precio Clean]]-1),0),0)</f>
        <v>0</v>
      </c>
    </row>
    <row r="103" spans="1:37">
      <c r="A103" s="502"/>
      <c r="B103" s="437" t="s">
        <v>505</v>
      </c>
      <c r="C103" s="437" t="str">
        <f t="shared" si="66"/>
        <v>CDA RIO UH1947-48-49</v>
      </c>
      <c r="D103" s="437" t="s">
        <v>453</v>
      </c>
      <c r="E103" s="437" t="s">
        <v>507</v>
      </c>
      <c r="F103" s="437" t="s">
        <v>297</v>
      </c>
      <c r="G103" s="437" t="s">
        <v>298</v>
      </c>
      <c r="H103" s="529">
        <f>+H102</f>
        <v>3</v>
      </c>
      <c r="I103" s="492">
        <v>1030.1369863013699</v>
      </c>
      <c r="J103" s="451"/>
      <c r="K103" s="450"/>
      <c r="L103" s="451"/>
      <c r="M103" s="493"/>
      <c r="N103" s="493"/>
      <c r="O103" s="494">
        <f t="shared" ref="O103:Q110" si="76">+O102</f>
        <v>6.6592928767204282E-2</v>
      </c>
      <c r="P103" s="494">
        <f t="shared" si="76"/>
        <v>6.4991729712817303E-2</v>
      </c>
      <c r="Q103" s="450">
        <f t="shared" si="76"/>
        <v>45876</v>
      </c>
      <c r="R103" s="450">
        <v>46625</v>
      </c>
      <c r="S103" s="509" t="s">
        <v>146</v>
      </c>
      <c r="T103" s="510">
        <f>Tabla3[[#This Row],[Cantidad]]*Tabla3[[#This Row],[Cortes]]</f>
        <v>3090.41095890411</v>
      </c>
      <c r="U103" s="511">
        <f t="shared" si="43"/>
        <v>2822.6994427822278</v>
      </c>
      <c r="V103" s="511">
        <f t="shared" si="44"/>
        <v>2822.200917742638</v>
      </c>
      <c r="W103" s="497">
        <f>IF(Tabla3[[#This Row],[Fecha de operación]]=$C$1,0,U103-V103)</f>
        <v>0.49852503958982197</v>
      </c>
      <c r="X103" s="512" t="str">
        <f t="shared" si="72"/>
        <v>Vigente</v>
      </c>
      <c r="Y103" s="498" t="s">
        <v>450</v>
      </c>
      <c r="Z103" s="469">
        <f t="shared" si="73"/>
        <v>513</v>
      </c>
      <c r="AA103" s="499">
        <f>+AA102</f>
        <v>1.3319421321737928</v>
      </c>
      <c r="AB103" s="499">
        <f>+AB102</f>
        <v>1.3101307708982552</v>
      </c>
      <c r="AC103" s="469" t="s">
        <v>451</v>
      </c>
      <c r="AD103" s="469" t="s">
        <v>454</v>
      </c>
      <c r="AG103" s="605">
        <f>+IF(Tabla3[[#This Row],[Amortización k | cupón de intereses]]="Amortización de K",Tabla3[[#This Row],[Valor Nominal]],0)</f>
        <v>0</v>
      </c>
      <c r="AH103" s="605">
        <f>+IF(AND(Tabla3[[#This Row],[Amortización k | cupón de intereses]]="Cupón de interés",Tabla3[[#This Row],[Estado]]="Vigente"),Tabla3[[#This Row],[Valor Nominal]],0)</f>
        <v>3090.41095890411</v>
      </c>
      <c r="AI103" s="618">
        <f>+IF(Tabla3[[#This Row],[Amortización k | cupón de intereses]]="Amortización de K",SUMIFS($AH$7:$AH$557,Tabla3[Código Emisión],Tabla3[[#This Row],[Código Emisión]],Tabla3[Fecha de operación],Tabla3[[#This Row],[Fecha de operación]]),0)-Tabla3[[#This Row],[Accrued]]*Tabla3[[#This Row],[Valor Nominal]]</f>
        <v>0</v>
      </c>
      <c r="AJ103" s="605">
        <f>+IF(Tabla3[[#This Row],[Amortización k | cupón de intereses]]="Amortización de K",IF(Tabla3[[#This Row],[Precio Clean]]&gt;1,Tabla3[[#This Row],[Valor Nominal]]*(Tabla3[[#This Row],[Precio Clean]]-1),0),0)</f>
        <v>0</v>
      </c>
      <c r="AK103" s="605">
        <f>+IF(Tabla3[[#This Row],[Amortización k | cupón de intereses]]="Amortización de K",IF(Tabla3[[#This Row],[Precio Clean]]&lt;1,Tabla3[[#This Row],[Valor Nominal]]*(Tabla3[[#This Row],[Precio Clean]]-1),0),0)</f>
        <v>0</v>
      </c>
    </row>
    <row r="104" spans="1:37">
      <c r="A104" s="502"/>
      <c r="B104" s="437" t="s">
        <v>505</v>
      </c>
      <c r="C104" s="437" t="str">
        <f t="shared" si="66"/>
        <v>CDA RIO UH1947-48-49</v>
      </c>
      <c r="D104" s="437" t="s">
        <v>453</v>
      </c>
      <c r="E104" s="437" t="s">
        <v>507</v>
      </c>
      <c r="F104" s="437" t="s">
        <v>297</v>
      </c>
      <c r="G104" s="437" t="s">
        <v>298</v>
      </c>
      <c r="H104" s="529">
        <f t="shared" ref="H104:H110" si="77">+H103</f>
        <v>3</v>
      </c>
      <c r="I104" s="492">
        <v>997.2602739726027</v>
      </c>
      <c r="J104" s="451"/>
      <c r="K104" s="450"/>
      <c r="L104" s="451"/>
      <c r="M104" s="493"/>
      <c r="N104" s="493"/>
      <c r="O104" s="494">
        <f t="shared" si="76"/>
        <v>6.6592928767204282E-2</v>
      </c>
      <c r="P104" s="494">
        <f t="shared" si="76"/>
        <v>6.4991729712817303E-2</v>
      </c>
      <c r="Q104" s="450">
        <f t="shared" si="76"/>
        <v>45876</v>
      </c>
      <c r="R104" s="450">
        <v>46531</v>
      </c>
      <c r="S104" s="509" t="s">
        <v>146</v>
      </c>
      <c r="T104" s="510">
        <f>Tabla3[[#This Row],[Cantidad]]*Tabla3[[#This Row],[Cortes]]</f>
        <v>2991.7808219178082</v>
      </c>
      <c r="U104" s="511">
        <f t="shared" si="43"/>
        <v>2778.3618076411394</v>
      </c>
      <c r="V104" s="511">
        <f t="shared" si="44"/>
        <v>2777.8711131983814</v>
      </c>
      <c r="W104" s="497">
        <f>IF(Tabla3[[#This Row],[Fecha de operación]]=$C$1,0,U104-V104)</f>
        <v>0.49069444275801288</v>
      </c>
      <c r="X104" s="512" t="str">
        <f t="shared" si="72"/>
        <v>Vigente</v>
      </c>
      <c r="Y104" s="498" t="s">
        <v>450</v>
      </c>
      <c r="Z104" s="469">
        <f t="shared" si="73"/>
        <v>419</v>
      </c>
      <c r="AA104" s="499">
        <f t="shared" ref="AA104:AB110" si="78">+AA103</f>
        <v>1.3319421321737928</v>
      </c>
      <c r="AB104" s="499">
        <f t="shared" si="78"/>
        <v>1.3101307708982552</v>
      </c>
      <c r="AC104" s="469" t="s">
        <v>451</v>
      </c>
      <c r="AD104" s="469" t="s">
        <v>454</v>
      </c>
      <c r="AG104" s="605">
        <f>+IF(Tabla3[[#This Row],[Amortización k | cupón de intereses]]="Amortización de K",Tabla3[[#This Row],[Valor Nominal]],0)</f>
        <v>0</v>
      </c>
      <c r="AH104" s="605">
        <f>+IF(AND(Tabla3[[#This Row],[Amortización k | cupón de intereses]]="Cupón de interés",Tabla3[[#This Row],[Estado]]="Vigente"),Tabla3[[#This Row],[Valor Nominal]],0)</f>
        <v>2991.7808219178082</v>
      </c>
      <c r="AI104" s="618">
        <f>+IF(Tabla3[[#This Row],[Amortización k | cupón de intereses]]="Amortización de K",SUMIFS($AH$7:$AH$557,Tabla3[Código Emisión],Tabla3[[#This Row],[Código Emisión]],Tabla3[Fecha de operación],Tabla3[[#This Row],[Fecha de operación]]),0)-Tabla3[[#This Row],[Accrued]]*Tabla3[[#This Row],[Valor Nominal]]</f>
        <v>0</v>
      </c>
      <c r="AJ104" s="605">
        <f>+IF(Tabla3[[#This Row],[Amortización k | cupón de intereses]]="Amortización de K",IF(Tabla3[[#This Row],[Precio Clean]]&gt;1,Tabla3[[#This Row],[Valor Nominal]]*(Tabla3[[#This Row],[Precio Clean]]-1),0),0)</f>
        <v>0</v>
      </c>
      <c r="AK104" s="605">
        <f>+IF(Tabla3[[#This Row],[Amortización k | cupón de intereses]]="Amortización de K",IF(Tabla3[[#This Row],[Precio Clean]]&lt;1,Tabla3[[#This Row],[Valor Nominal]]*(Tabla3[[#This Row],[Precio Clean]]-1),0),0)</f>
        <v>0</v>
      </c>
    </row>
    <row r="105" spans="1:37">
      <c r="A105" s="502"/>
      <c r="B105" s="437" t="s">
        <v>505</v>
      </c>
      <c r="C105" s="437" t="str">
        <f t="shared" si="66"/>
        <v>CDA RIO UH1947-48-49</v>
      </c>
      <c r="D105" s="437" t="s">
        <v>453</v>
      </c>
      <c r="E105" s="437" t="s">
        <v>507</v>
      </c>
      <c r="F105" s="437" t="s">
        <v>297</v>
      </c>
      <c r="G105" s="437" t="s">
        <v>298</v>
      </c>
      <c r="H105" s="529">
        <f t="shared" si="77"/>
        <v>3</v>
      </c>
      <c r="I105" s="492">
        <v>997.2602739726027</v>
      </c>
      <c r="J105" s="451"/>
      <c r="K105" s="450"/>
      <c r="L105" s="451"/>
      <c r="M105" s="493"/>
      <c r="N105" s="493"/>
      <c r="O105" s="494">
        <f t="shared" si="76"/>
        <v>6.6592928767204282E-2</v>
      </c>
      <c r="P105" s="494">
        <f t="shared" si="76"/>
        <v>6.4991729712817303E-2</v>
      </c>
      <c r="Q105" s="450">
        <f t="shared" si="76"/>
        <v>45876</v>
      </c>
      <c r="R105" s="450">
        <v>46440</v>
      </c>
      <c r="S105" s="509" t="s">
        <v>146</v>
      </c>
      <c r="T105" s="510">
        <f>Tabla3[[#This Row],[Cantidad]]*Tabla3[[#This Row],[Cortes]]</f>
        <v>2991.7808219178082</v>
      </c>
      <c r="U105" s="511">
        <f t="shared" si="43"/>
        <v>2823.3797674920584</v>
      </c>
      <c r="V105" s="511">
        <f t="shared" si="44"/>
        <v>2822.8811222983713</v>
      </c>
      <c r="W105" s="497">
        <f>IF(Tabla3[[#This Row],[Fecha de operación]]=$C$1,0,U105-V105)</f>
        <v>0.49864519368702531</v>
      </c>
      <c r="X105" s="512" t="str">
        <f t="shared" si="72"/>
        <v>Vigente</v>
      </c>
      <c r="Y105" s="498" t="s">
        <v>450</v>
      </c>
      <c r="Z105" s="469">
        <f t="shared" si="73"/>
        <v>328</v>
      </c>
      <c r="AA105" s="499">
        <f t="shared" si="78"/>
        <v>1.3319421321737928</v>
      </c>
      <c r="AB105" s="499">
        <f t="shared" si="78"/>
        <v>1.3101307708982552</v>
      </c>
      <c r="AC105" s="469" t="s">
        <v>451</v>
      </c>
      <c r="AD105" s="469" t="s">
        <v>454</v>
      </c>
      <c r="AG105" s="605">
        <f>+IF(Tabla3[[#This Row],[Amortización k | cupón de intereses]]="Amortización de K",Tabla3[[#This Row],[Valor Nominal]],0)</f>
        <v>0</v>
      </c>
      <c r="AH105" s="605">
        <f>+IF(AND(Tabla3[[#This Row],[Amortización k | cupón de intereses]]="Cupón de interés",Tabla3[[#This Row],[Estado]]="Vigente"),Tabla3[[#This Row],[Valor Nominal]],0)</f>
        <v>2991.7808219178082</v>
      </c>
      <c r="AI105" s="618">
        <f>+IF(Tabla3[[#This Row],[Amortización k | cupón de intereses]]="Amortización de K",SUMIFS($AH$7:$AH$557,Tabla3[Código Emisión],Tabla3[[#This Row],[Código Emisión]],Tabla3[Fecha de operación],Tabla3[[#This Row],[Fecha de operación]]),0)-Tabla3[[#This Row],[Accrued]]*Tabla3[[#This Row],[Valor Nominal]]</f>
        <v>0</v>
      </c>
      <c r="AJ105" s="605">
        <f>+IF(Tabla3[[#This Row],[Amortización k | cupón de intereses]]="Amortización de K",IF(Tabla3[[#This Row],[Precio Clean]]&gt;1,Tabla3[[#This Row],[Valor Nominal]]*(Tabla3[[#This Row],[Precio Clean]]-1),0),0)</f>
        <v>0</v>
      </c>
      <c r="AK105" s="605">
        <f>+IF(Tabla3[[#This Row],[Amortización k | cupón de intereses]]="Amortización de K",IF(Tabla3[[#This Row],[Precio Clean]]&lt;1,Tabla3[[#This Row],[Valor Nominal]]*(Tabla3[[#This Row],[Precio Clean]]-1),0),0)</f>
        <v>0</v>
      </c>
    </row>
    <row r="106" spans="1:37">
      <c r="A106" s="502"/>
      <c r="B106" s="437" t="s">
        <v>505</v>
      </c>
      <c r="C106" s="437" t="str">
        <f t="shared" si="66"/>
        <v>CDA RIO UH1947-48-49</v>
      </c>
      <c r="D106" s="437" t="s">
        <v>453</v>
      </c>
      <c r="E106" s="437" t="s">
        <v>507</v>
      </c>
      <c r="F106" s="437" t="s">
        <v>297</v>
      </c>
      <c r="G106" s="437" t="s">
        <v>298</v>
      </c>
      <c r="H106" s="529">
        <f t="shared" si="77"/>
        <v>3</v>
      </c>
      <c r="I106" s="492">
        <v>997.2602739726027</v>
      </c>
      <c r="J106" s="451"/>
      <c r="K106" s="450"/>
      <c r="L106" s="451"/>
      <c r="M106" s="493"/>
      <c r="N106" s="493"/>
      <c r="O106" s="494">
        <f t="shared" si="76"/>
        <v>6.6592928767204282E-2</v>
      </c>
      <c r="P106" s="494">
        <f t="shared" si="76"/>
        <v>6.4991729712817303E-2</v>
      </c>
      <c r="Q106" s="450">
        <f t="shared" si="76"/>
        <v>45876</v>
      </c>
      <c r="R106" s="450">
        <v>46349</v>
      </c>
      <c r="S106" s="509" t="s">
        <v>146</v>
      </c>
      <c r="T106" s="510">
        <f>Tabla3[[#This Row],[Cantidad]]*Tabla3[[#This Row],[Cortes]]</f>
        <v>2991.7808219178082</v>
      </c>
      <c r="U106" s="511">
        <f t="shared" si="43"/>
        <v>2869.1271559953452</v>
      </c>
      <c r="V106" s="511">
        <f t="shared" si="44"/>
        <v>2868.6204312242444</v>
      </c>
      <c r="W106" s="497">
        <f>IF(Tabla3[[#This Row],[Fecha de operación]]=$C$1,0,U106-V106)</f>
        <v>0.50672477110083491</v>
      </c>
      <c r="X106" s="512" t="str">
        <f t="shared" si="72"/>
        <v>Vigente</v>
      </c>
      <c r="Y106" s="498" t="s">
        <v>450</v>
      </c>
      <c r="Z106" s="469">
        <f t="shared" si="73"/>
        <v>237</v>
      </c>
      <c r="AA106" s="499">
        <f t="shared" si="78"/>
        <v>1.3319421321737928</v>
      </c>
      <c r="AB106" s="499">
        <f t="shared" si="78"/>
        <v>1.3101307708982552</v>
      </c>
      <c r="AC106" s="469" t="s">
        <v>451</v>
      </c>
      <c r="AD106" s="469" t="s">
        <v>454</v>
      </c>
      <c r="AG106" s="605">
        <f>+IF(Tabla3[[#This Row],[Amortización k | cupón de intereses]]="Amortización de K",Tabla3[[#This Row],[Valor Nominal]],0)</f>
        <v>0</v>
      </c>
      <c r="AH106" s="605">
        <f>+IF(AND(Tabla3[[#This Row],[Amortización k | cupón de intereses]]="Cupón de interés",Tabla3[[#This Row],[Estado]]="Vigente"),Tabla3[[#This Row],[Valor Nominal]],0)</f>
        <v>2991.7808219178082</v>
      </c>
      <c r="AI106" s="618">
        <f>+IF(Tabla3[[#This Row],[Amortización k | cupón de intereses]]="Amortización de K",SUMIFS($AH$7:$AH$557,Tabla3[Código Emisión],Tabla3[[#This Row],[Código Emisión]],Tabla3[Fecha de operación],Tabla3[[#This Row],[Fecha de operación]]),0)-Tabla3[[#This Row],[Accrued]]*Tabla3[[#This Row],[Valor Nominal]]</f>
        <v>0</v>
      </c>
      <c r="AJ106" s="605">
        <f>+IF(Tabla3[[#This Row],[Amortización k | cupón de intereses]]="Amortización de K",IF(Tabla3[[#This Row],[Precio Clean]]&gt;1,Tabla3[[#This Row],[Valor Nominal]]*(Tabla3[[#This Row],[Precio Clean]]-1),0),0)</f>
        <v>0</v>
      </c>
      <c r="AK106" s="605">
        <f>+IF(Tabla3[[#This Row],[Amortización k | cupón de intereses]]="Amortización de K",IF(Tabla3[[#This Row],[Precio Clean]]&lt;1,Tabla3[[#This Row],[Valor Nominal]]*(Tabla3[[#This Row],[Precio Clean]]-1),0),0)</f>
        <v>0</v>
      </c>
    </row>
    <row r="107" spans="1:37">
      <c r="A107" s="502"/>
      <c r="B107" s="437" t="s">
        <v>505</v>
      </c>
      <c r="C107" s="437" t="str">
        <f t="shared" si="66"/>
        <v>CDA RIO UH1947-48-49</v>
      </c>
      <c r="D107" s="437" t="s">
        <v>453</v>
      </c>
      <c r="E107" s="437" t="s">
        <v>507</v>
      </c>
      <c r="F107" s="437" t="s">
        <v>297</v>
      </c>
      <c r="G107" s="437" t="s">
        <v>298</v>
      </c>
      <c r="H107" s="529">
        <f t="shared" si="77"/>
        <v>3</v>
      </c>
      <c r="I107" s="492">
        <v>997.2602739726027</v>
      </c>
      <c r="J107" s="451"/>
      <c r="K107" s="450"/>
      <c r="L107" s="451"/>
      <c r="M107" s="493"/>
      <c r="N107" s="493"/>
      <c r="O107" s="494">
        <f t="shared" si="76"/>
        <v>6.6592928767204282E-2</v>
      </c>
      <c r="P107" s="494">
        <f t="shared" si="76"/>
        <v>6.4991729712817303E-2</v>
      </c>
      <c r="Q107" s="450">
        <f t="shared" si="76"/>
        <v>45876</v>
      </c>
      <c r="R107" s="450">
        <v>46258</v>
      </c>
      <c r="S107" s="509" t="s">
        <v>146</v>
      </c>
      <c r="T107" s="510">
        <f>Tabla3[[#This Row],[Cantidad]]*Tabla3[[#This Row],[Cortes]]</f>
        <v>2991.7808219178082</v>
      </c>
      <c r="U107" s="511">
        <f t="shared" si="43"/>
        <v>2915.6157921263748</v>
      </c>
      <c r="V107" s="511">
        <f t="shared" si="44"/>
        <v>2915.1008568639913</v>
      </c>
      <c r="W107" s="497">
        <f>IF(Tabla3[[#This Row],[Fecha de operación]]=$C$1,0,U107-V107)</f>
        <v>0.51493526238346021</v>
      </c>
      <c r="X107" s="512" t="str">
        <f t="shared" si="72"/>
        <v>Vigente</v>
      </c>
      <c r="Y107" s="498" t="s">
        <v>450</v>
      </c>
      <c r="Z107" s="469">
        <f t="shared" si="73"/>
        <v>146</v>
      </c>
      <c r="AA107" s="499">
        <f t="shared" si="78"/>
        <v>1.3319421321737928</v>
      </c>
      <c r="AB107" s="499">
        <f t="shared" si="78"/>
        <v>1.3101307708982552</v>
      </c>
      <c r="AC107" s="469" t="s">
        <v>451</v>
      </c>
      <c r="AD107" s="469" t="s">
        <v>454</v>
      </c>
      <c r="AG107" s="605">
        <f>+IF(Tabla3[[#This Row],[Amortización k | cupón de intereses]]="Amortización de K",Tabla3[[#This Row],[Valor Nominal]],0)</f>
        <v>0</v>
      </c>
      <c r="AH107" s="605">
        <f>+IF(AND(Tabla3[[#This Row],[Amortización k | cupón de intereses]]="Cupón de interés",Tabla3[[#This Row],[Estado]]="Vigente"),Tabla3[[#This Row],[Valor Nominal]],0)</f>
        <v>2991.7808219178082</v>
      </c>
      <c r="AI107" s="618">
        <f>+IF(Tabla3[[#This Row],[Amortización k | cupón de intereses]]="Amortización de K",SUMIFS($AH$7:$AH$557,Tabla3[Código Emisión],Tabla3[[#This Row],[Código Emisión]],Tabla3[Fecha de operación],Tabla3[[#This Row],[Fecha de operación]]),0)-Tabla3[[#This Row],[Accrued]]*Tabla3[[#This Row],[Valor Nominal]]</f>
        <v>0</v>
      </c>
      <c r="AJ107" s="605">
        <f>+IF(Tabla3[[#This Row],[Amortización k | cupón de intereses]]="Amortización de K",IF(Tabla3[[#This Row],[Precio Clean]]&gt;1,Tabla3[[#This Row],[Valor Nominal]]*(Tabla3[[#This Row],[Precio Clean]]-1),0),0)</f>
        <v>0</v>
      </c>
      <c r="AK107" s="605">
        <f>+IF(Tabla3[[#This Row],[Amortización k | cupón de intereses]]="Amortización de K",IF(Tabla3[[#This Row],[Precio Clean]]&lt;1,Tabla3[[#This Row],[Valor Nominal]]*(Tabla3[[#This Row],[Precio Clean]]-1),0),0)</f>
        <v>0</v>
      </c>
    </row>
    <row r="108" spans="1:37">
      <c r="A108" s="502"/>
      <c r="B108" s="437" t="s">
        <v>505</v>
      </c>
      <c r="C108" s="437" t="str">
        <f t="shared" si="66"/>
        <v>CDA RIO UH1947-48-49</v>
      </c>
      <c r="D108" s="437" t="s">
        <v>453</v>
      </c>
      <c r="E108" s="437" t="s">
        <v>507</v>
      </c>
      <c r="F108" s="437" t="s">
        <v>297</v>
      </c>
      <c r="G108" s="437" t="s">
        <v>298</v>
      </c>
      <c r="H108" s="529">
        <f t="shared" si="77"/>
        <v>3</v>
      </c>
      <c r="I108" s="492">
        <v>997.2602739726027</v>
      </c>
      <c r="J108" s="451"/>
      <c r="K108" s="450"/>
      <c r="L108" s="451"/>
      <c r="M108" s="493"/>
      <c r="N108" s="493"/>
      <c r="O108" s="494">
        <f t="shared" si="76"/>
        <v>6.6592928767204282E-2</v>
      </c>
      <c r="P108" s="494">
        <f t="shared" si="76"/>
        <v>6.4991729712817303E-2</v>
      </c>
      <c r="Q108" s="450">
        <f t="shared" si="76"/>
        <v>45876</v>
      </c>
      <c r="R108" s="450">
        <v>46167</v>
      </c>
      <c r="S108" s="509" t="s">
        <v>146</v>
      </c>
      <c r="T108" s="510">
        <f>Tabla3[[#This Row],[Cantidad]]*Tabla3[[#This Row],[Cortes]]</f>
        <v>2991.7808219178082</v>
      </c>
      <c r="U108" s="511">
        <f t="shared" si="43"/>
        <v>2962.857686364076</v>
      </c>
      <c r="V108" s="511">
        <f t="shared" si="44"/>
        <v>2962.3344075753362</v>
      </c>
      <c r="W108" s="497">
        <f>IF(Tabla3[[#This Row],[Fecha de operación]]=$C$1,0,U108-V108)</f>
        <v>0.52327878873984446</v>
      </c>
      <c r="X108" s="512" t="str">
        <f t="shared" si="72"/>
        <v>Vigente</v>
      </c>
      <c r="Y108" s="498" t="s">
        <v>450</v>
      </c>
      <c r="Z108" s="469">
        <f t="shared" si="73"/>
        <v>55</v>
      </c>
      <c r="AA108" s="499">
        <f t="shared" si="78"/>
        <v>1.3319421321737928</v>
      </c>
      <c r="AB108" s="499">
        <f t="shared" si="78"/>
        <v>1.3101307708982552</v>
      </c>
      <c r="AC108" s="469" t="s">
        <v>451</v>
      </c>
      <c r="AD108" s="469" t="s">
        <v>454</v>
      </c>
      <c r="AG108" s="605">
        <f>+IF(Tabla3[[#This Row],[Amortización k | cupón de intereses]]="Amortización de K",Tabla3[[#This Row],[Valor Nominal]],0)</f>
        <v>0</v>
      </c>
      <c r="AH108" s="605">
        <f>+IF(AND(Tabla3[[#This Row],[Amortización k | cupón de intereses]]="Cupón de interés",Tabla3[[#This Row],[Estado]]="Vigente"),Tabla3[[#This Row],[Valor Nominal]],0)</f>
        <v>2991.7808219178082</v>
      </c>
      <c r="AI108" s="618">
        <f>+IF(Tabla3[[#This Row],[Amortización k | cupón de intereses]]="Amortización de K",SUMIFS($AH$7:$AH$557,Tabla3[Código Emisión],Tabla3[[#This Row],[Código Emisión]],Tabla3[Fecha de operación],Tabla3[[#This Row],[Fecha de operación]]),0)-Tabla3[[#This Row],[Accrued]]*Tabla3[[#This Row],[Valor Nominal]]</f>
        <v>0</v>
      </c>
      <c r="AJ108" s="605">
        <f>+IF(Tabla3[[#This Row],[Amortización k | cupón de intereses]]="Amortización de K",IF(Tabla3[[#This Row],[Precio Clean]]&gt;1,Tabla3[[#This Row],[Valor Nominal]]*(Tabla3[[#This Row],[Precio Clean]]-1),0),0)</f>
        <v>0</v>
      </c>
      <c r="AK108" s="605">
        <f>+IF(Tabla3[[#This Row],[Amortización k | cupón de intereses]]="Amortización de K",IF(Tabla3[[#This Row],[Precio Clean]]&lt;1,Tabla3[[#This Row],[Valor Nominal]]*(Tabla3[[#This Row],[Precio Clean]]-1),0),0)</f>
        <v>0</v>
      </c>
    </row>
    <row r="109" spans="1:37">
      <c r="A109" s="502"/>
      <c r="B109" s="437" t="s">
        <v>505</v>
      </c>
      <c r="C109" s="437" t="str">
        <f t="shared" si="66"/>
        <v>CDA RIO UH1947-48-49</v>
      </c>
      <c r="D109" s="437" t="s">
        <v>453</v>
      </c>
      <c r="E109" s="437" t="s">
        <v>507</v>
      </c>
      <c r="F109" s="437" t="s">
        <v>297</v>
      </c>
      <c r="G109" s="437" t="s">
        <v>298</v>
      </c>
      <c r="H109" s="529">
        <f t="shared" si="77"/>
        <v>3</v>
      </c>
      <c r="I109" s="492">
        <v>997.2602739726027</v>
      </c>
      <c r="J109" s="451"/>
      <c r="K109" s="450"/>
      <c r="L109" s="451"/>
      <c r="M109" s="493"/>
      <c r="N109" s="493"/>
      <c r="O109" s="494">
        <f t="shared" si="76"/>
        <v>6.6592928767204282E-2</v>
      </c>
      <c r="P109" s="494">
        <f t="shared" si="76"/>
        <v>6.4991729712817303E-2</v>
      </c>
      <c r="Q109" s="450">
        <f t="shared" si="76"/>
        <v>45876</v>
      </c>
      <c r="R109" s="450">
        <v>46076</v>
      </c>
      <c r="S109" s="509" t="s">
        <v>146</v>
      </c>
      <c r="T109" s="510">
        <f>Tabla3[[#This Row],[Cantidad]]*Tabla3[[#This Row],[Cortes]]</f>
        <v>2991.7808219178082</v>
      </c>
      <c r="U109" s="511" t="b">
        <f t="shared" si="43"/>
        <v>0</v>
      </c>
      <c r="V109" s="511" t="b">
        <f t="shared" si="44"/>
        <v>0</v>
      </c>
      <c r="W109" s="497">
        <f>IF(Tabla3[[#This Row],[Fecha de operación]]=$C$1,0,U109-V109)</f>
        <v>0</v>
      </c>
      <c r="X109" s="512" t="str">
        <f t="shared" si="72"/>
        <v>Vencido</v>
      </c>
      <c r="Y109" s="498" t="s">
        <v>450</v>
      </c>
      <c r="Z109" s="469">
        <f t="shared" si="73"/>
        <v>-36</v>
      </c>
      <c r="AA109" s="499">
        <f t="shared" si="78"/>
        <v>1.3319421321737928</v>
      </c>
      <c r="AB109" s="499">
        <f t="shared" si="78"/>
        <v>1.3101307708982552</v>
      </c>
      <c r="AC109" s="469" t="s">
        <v>451</v>
      </c>
      <c r="AD109" s="469" t="s">
        <v>454</v>
      </c>
      <c r="AG109" s="605">
        <f>+IF(Tabla3[[#This Row],[Amortización k | cupón de intereses]]="Amortización de K",Tabla3[[#This Row],[Valor Nominal]],0)</f>
        <v>0</v>
      </c>
      <c r="AH109" s="605">
        <f>+IF(AND(Tabla3[[#This Row],[Amortización k | cupón de intereses]]="Cupón de interés",Tabla3[[#This Row],[Estado]]="Vigente"),Tabla3[[#This Row],[Valor Nominal]],0)</f>
        <v>0</v>
      </c>
      <c r="AI109" s="618">
        <f>+IF(Tabla3[[#This Row],[Amortización k | cupón de intereses]]="Amortización de K",SUMIFS($AH$7:$AH$557,Tabla3[Código Emisión],Tabla3[[#This Row],[Código Emisión]],Tabla3[Fecha de operación],Tabla3[[#This Row],[Fecha de operación]]),0)-Tabla3[[#This Row],[Accrued]]*Tabla3[[#This Row],[Valor Nominal]]</f>
        <v>0</v>
      </c>
      <c r="AJ109" s="605">
        <f>+IF(Tabla3[[#This Row],[Amortización k | cupón de intereses]]="Amortización de K",IF(Tabla3[[#This Row],[Precio Clean]]&gt;1,Tabla3[[#This Row],[Valor Nominal]]*(Tabla3[[#This Row],[Precio Clean]]-1),0),0)</f>
        <v>0</v>
      </c>
      <c r="AK109" s="605">
        <f>+IF(Tabla3[[#This Row],[Amortización k | cupón de intereses]]="Amortización de K",IF(Tabla3[[#This Row],[Precio Clean]]&lt;1,Tabla3[[#This Row],[Valor Nominal]]*(Tabla3[[#This Row],[Precio Clean]]-1),0),0)</f>
        <v>0</v>
      </c>
    </row>
    <row r="110" spans="1:37">
      <c r="A110" s="502"/>
      <c r="B110" s="437" t="s">
        <v>505</v>
      </c>
      <c r="C110" s="437" t="str">
        <f t="shared" si="66"/>
        <v>CDA RIO UH1947-48-49</v>
      </c>
      <c r="D110" s="437" t="s">
        <v>453</v>
      </c>
      <c r="E110" s="437" t="s">
        <v>507</v>
      </c>
      <c r="F110" s="437" t="s">
        <v>297</v>
      </c>
      <c r="G110" s="437" t="s">
        <v>298</v>
      </c>
      <c r="H110" s="529">
        <f t="shared" si="77"/>
        <v>3</v>
      </c>
      <c r="I110" s="492">
        <v>997.2602739726027</v>
      </c>
      <c r="J110" s="451"/>
      <c r="K110" s="450"/>
      <c r="L110" s="451"/>
      <c r="M110" s="493"/>
      <c r="N110" s="493"/>
      <c r="O110" s="494">
        <f t="shared" si="76"/>
        <v>6.6592928767204282E-2</v>
      </c>
      <c r="P110" s="494">
        <f t="shared" si="76"/>
        <v>6.4991729712817303E-2</v>
      </c>
      <c r="Q110" s="450">
        <f t="shared" si="76"/>
        <v>45876</v>
      </c>
      <c r="R110" s="450">
        <v>45985</v>
      </c>
      <c r="S110" s="509" t="s">
        <v>146</v>
      </c>
      <c r="T110" s="510">
        <f>Tabla3[[#This Row],[Cantidad]]*Tabla3[[#This Row],[Cortes]]</f>
        <v>2991.7808219178082</v>
      </c>
      <c r="U110" s="511" t="b">
        <f t="shared" si="43"/>
        <v>0</v>
      </c>
      <c r="V110" s="511" t="b">
        <f t="shared" si="44"/>
        <v>0</v>
      </c>
      <c r="W110" s="497">
        <f>IF(Tabla3[[#This Row],[Fecha de operación]]=$C$1,0,U110-V110)</f>
        <v>0</v>
      </c>
      <c r="X110" s="512" t="str">
        <f t="shared" si="72"/>
        <v>Vencido</v>
      </c>
      <c r="Y110" s="498" t="s">
        <v>450</v>
      </c>
      <c r="Z110" s="469">
        <f t="shared" si="73"/>
        <v>-127</v>
      </c>
      <c r="AA110" s="499">
        <f t="shared" si="78"/>
        <v>1.3319421321737928</v>
      </c>
      <c r="AB110" s="499">
        <f t="shared" si="78"/>
        <v>1.3101307708982552</v>
      </c>
      <c r="AC110" s="469" t="s">
        <v>451</v>
      </c>
      <c r="AD110" s="469" t="s">
        <v>454</v>
      </c>
      <c r="AG110" s="605">
        <f>+IF(Tabla3[[#This Row],[Amortización k | cupón de intereses]]="Amortización de K",Tabla3[[#This Row],[Valor Nominal]],0)</f>
        <v>0</v>
      </c>
      <c r="AH110" s="605">
        <f>+IF(AND(Tabla3[[#This Row],[Amortización k | cupón de intereses]]="Cupón de interés",Tabla3[[#This Row],[Estado]]="Vigente"),Tabla3[[#This Row],[Valor Nominal]],0)</f>
        <v>0</v>
      </c>
      <c r="AI110" s="618">
        <f>+IF(Tabla3[[#This Row],[Amortización k | cupón de intereses]]="Amortización de K",SUMIFS($AH$7:$AH$557,Tabla3[Código Emisión],Tabla3[[#This Row],[Código Emisión]],Tabla3[Fecha de operación],Tabla3[[#This Row],[Fecha de operación]]),0)-Tabla3[[#This Row],[Accrued]]*Tabla3[[#This Row],[Valor Nominal]]</f>
        <v>0</v>
      </c>
      <c r="AJ110" s="605">
        <f>+IF(Tabla3[[#This Row],[Amortización k | cupón de intereses]]="Amortización de K",IF(Tabla3[[#This Row],[Precio Clean]]&gt;1,Tabla3[[#This Row],[Valor Nominal]]*(Tabla3[[#This Row],[Precio Clean]]-1),0),0)</f>
        <v>0</v>
      </c>
      <c r="AK110" s="605">
        <f>+IF(Tabla3[[#This Row],[Amortización k | cupón de intereses]]="Amortización de K",IF(Tabla3[[#This Row],[Precio Clean]]&lt;1,Tabla3[[#This Row],[Valor Nominal]]*(Tabla3[[#This Row],[Precio Clean]]-1),0),0)</f>
        <v>0</v>
      </c>
    </row>
    <row r="111" spans="1:37" ht="15">
      <c r="A111" s="500">
        <f>+A102+1</f>
        <v>14</v>
      </c>
      <c r="B111" s="475" t="s">
        <v>505</v>
      </c>
      <c r="C111" s="475" t="s">
        <v>510</v>
      </c>
      <c r="D111" s="475" t="s">
        <v>453</v>
      </c>
      <c r="E111" s="475" t="s">
        <v>507</v>
      </c>
      <c r="F111" s="475" t="s">
        <v>297</v>
      </c>
      <c r="G111" s="475" t="s">
        <v>298</v>
      </c>
      <c r="H111" s="476">
        <v>1</v>
      </c>
      <c r="I111" s="477">
        <v>54000</v>
      </c>
      <c r="J111" s="478">
        <v>0.08</v>
      </c>
      <c r="K111" s="479">
        <f>_xlfn.MAXIFS(R:R,C:C,C111,AD:AD,"Cupón de interés",X:X,"Vencido")</f>
        <v>46076</v>
      </c>
      <c r="L111" s="478">
        <f>+Tabla3[[#This Row],[Tasa de Interés]]*($U$5-Tabla3[[#This Row],[Last coupon]])/365</f>
        <v>7.8904109589041094E-3</v>
      </c>
      <c r="M111" s="480">
        <f>+Tabla3[[#This Row],[Precio Dirty]]-Tabla3[[#This Row],[Accrued]]</f>
        <v>1.0199636141814878</v>
      </c>
      <c r="N111" s="481">
        <f>SUMIFS(U:U,C:C,C111,Q:Q,Q111)/SUMIFS(T:T,C:C,C111,Q:Q,Q111,AD:AD,"Amortización de K")</f>
        <v>1.027854025140392</v>
      </c>
      <c r="O111" s="482">
        <v>6.6592887043952956E-2</v>
      </c>
      <c r="P111" s="482">
        <v>6.4991689958973531E-2</v>
      </c>
      <c r="Q111" s="484">
        <v>45876</v>
      </c>
      <c r="R111" s="484">
        <v>46625</v>
      </c>
      <c r="S111" s="504" t="s">
        <v>146</v>
      </c>
      <c r="T111" s="505">
        <f>Tabla3[[#This Row],[Cantidad]]*Tabla3[[#This Row],[Cortes]]</f>
        <v>54000</v>
      </c>
      <c r="U111" s="506">
        <f t="shared" si="43"/>
        <v>49322.171166725966</v>
      </c>
      <c r="V111" s="506">
        <f t="shared" si="44"/>
        <v>49313.460241983987</v>
      </c>
      <c r="W111" s="487">
        <f>IF(Tabla3[[#This Row],[Fecha de operación]]=$C$1,0,U111-V111)</f>
        <v>8.7109247419793974</v>
      </c>
      <c r="X111" s="507" t="str">
        <f t="shared" si="72"/>
        <v>Vigente</v>
      </c>
      <c r="Y111" s="489" t="s">
        <v>450</v>
      </c>
      <c r="Z111" s="488">
        <f t="shared" si="73"/>
        <v>513</v>
      </c>
      <c r="AA111" s="508">
        <f t="shared" ref="AA111" si="79">IF(Y111="Mensual",DURATION($C$1,$C$1+Z111*12,J111/12,O111/12,1)/12,DURATION($C$1,R111,J111,O111,IF(Y111="Cupón cero",1,IF(Y111="Al vencimiento",1,IF(Y111="Anual",1,IF(Y111="Semestral",2,IF(Y111="Trimestral",4,"")))))))</f>
        <v>1.3319421346512568</v>
      </c>
      <c r="AB111" s="508">
        <f t="shared" ref="AB111" si="80">IF(Y111="Mensual",MDURATION($C$1,$C$1+Z111*12,J111/12,O111/12,1)/12,MDURATION($C$1,R111,J111,O111,IF(Y111="Cupón cero",1,IF(Y111="Al vencimiento",1,IF(Y111="Anual",1,IF(Y111="Semestral",2,IF(Y111="Trimestral",4,"")))))))</f>
        <v>1.3101307867770937</v>
      </c>
      <c r="AC111" s="488" t="s">
        <v>451</v>
      </c>
      <c r="AD111" s="488" t="s">
        <v>452</v>
      </c>
      <c r="AG111" s="605">
        <f>+IF(Tabla3[[#This Row],[Amortización k | cupón de intereses]]="Amortización de K",Tabla3[[#This Row],[Valor Nominal]],0)</f>
        <v>54000</v>
      </c>
      <c r="AH111" s="605">
        <f>+IF(AND(Tabla3[[#This Row],[Amortización k | cupón de intereses]]="Cupón de interés",Tabla3[[#This Row],[Estado]]="Vigente"),Tabla3[[#This Row],[Valor Nominal]],0)</f>
        <v>0</v>
      </c>
      <c r="AI111" s="618">
        <f>+IF(Tabla3[[#This Row],[Amortización k | cupón de intereses]]="Amortización de K",SUMIFS($AH$7:$AH$557,Tabla3[Código Emisión],Tabla3[[#This Row],[Código Emisión]],Tabla3[Fecha de operación],Tabla3[[#This Row],[Fecha de operación]]),0)-Tabla3[[#This Row],[Accrued]]*Tabla3[[#This Row],[Valor Nominal]]</f>
        <v>6071.6832876712315</v>
      </c>
      <c r="AJ111" s="605">
        <f>+IF(Tabla3[[#This Row],[Amortización k | cupón de intereses]]="Amortización de K",IF(Tabla3[[#This Row],[Precio Clean]]&gt;1,Tabla3[[#This Row],[Valor Nominal]]*(Tabla3[[#This Row],[Precio Clean]]-1),0),0)</f>
        <v>1078.0351658003435</v>
      </c>
      <c r="AK111" s="605">
        <f>+IF(Tabla3[[#This Row],[Amortización k | cupón de intereses]]="Amortización de K",IF(Tabla3[[#This Row],[Precio Clean]]&lt;1,Tabla3[[#This Row],[Valor Nominal]]*(Tabla3[[#This Row],[Precio Clean]]-1),0),0)</f>
        <v>0</v>
      </c>
    </row>
    <row r="112" spans="1:37">
      <c r="A112" s="502"/>
      <c r="B112" s="437" t="s">
        <v>505</v>
      </c>
      <c r="C112" s="437" t="str">
        <f t="shared" si="66"/>
        <v>CDA RIO UH1950</v>
      </c>
      <c r="D112" s="437" t="s">
        <v>453</v>
      </c>
      <c r="E112" s="437" t="s">
        <v>507</v>
      </c>
      <c r="F112" s="437" t="s">
        <v>297</v>
      </c>
      <c r="G112" s="437" t="s">
        <v>298</v>
      </c>
      <c r="H112" s="529">
        <f>+H111</f>
        <v>1</v>
      </c>
      <c r="I112" s="492">
        <v>1112.56</v>
      </c>
      <c r="J112" s="451"/>
      <c r="K112" s="450"/>
      <c r="L112" s="451"/>
      <c r="M112" s="493"/>
      <c r="N112" s="493"/>
      <c r="O112" s="494">
        <f t="shared" ref="O112:Q119" si="81">+O111</f>
        <v>6.6592887043952956E-2</v>
      </c>
      <c r="P112" s="494">
        <f t="shared" si="81"/>
        <v>6.4991689958973531E-2</v>
      </c>
      <c r="Q112" s="450">
        <f t="shared" si="81"/>
        <v>45876</v>
      </c>
      <c r="R112" s="450">
        <v>46625</v>
      </c>
      <c r="S112" s="509" t="s">
        <v>146</v>
      </c>
      <c r="T112" s="510">
        <f>Tabla3[[#This Row],[Cantidad]]*Tabla3[[#This Row],[Cortes]]</f>
        <v>1112.56</v>
      </c>
      <c r="U112" s="511">
        <f t="shared" si="43"/>
        <v>1016.1828658009748</v>
      </c>
      <c r="V112" s="511">
        <f t="shared" si="44"/>
        <v>1016.0033949411426</v>
      </c>
      <c r="W112" s="497">
        <f>IF(Tabla3[[#This Row],[Fecha de operación]]=$C$1,0,U112-V112)</f>
        <v>0.17947085983223587</v>
      </c>
      <c r="X112" s="512" t="str">
        <f t="shared" si="72"/>
        <v>Vigente</v>
      </c>
      <c r="Y112" s="498" t="s">
        <v>450</v>
      </c>
      <c r="Z112" s="469">
        <f t="shared" si="73"/>
        <v>513</v>
      </c>
      <c r="AA112" s="499">
        <f>+AA111</f>
        <v>1.3319421346512568</v>
      </c>
      <c r="AB112" s="499">
        <f>+AB111</f>
        <v>1.3101307867770937</v>
      </c>
      <c r="AC112" s="469" t="s">
        <v>451</v>
      </c>
      <c r="AD112" s="469" t="s">
        <v>454</v>
      </c>
      <c r="AG112" s="605">
        <f>+IF(Tabla3[[#This Row],[Amortización k | cupón de intereses]]="Amortización de K",Tabla3[[#This Row],[Valor Nominal]],0)</f>
        <v>0</v>
      </c>
      <c r="AH112" s="605">
        <f>+IF(AND(Tabla3[[#This Row],[Amortización k | cupón de intereses]]="Cupón de interés",Tabla3[[#This Row],[Estado]]="Vigente"),Tabla3[[#This Row],[Valor Nominal]],0)</f>
        <v>1112.56</v>
      </c>
      <c r="AI112" s="618">
        <f>+IF(Tabla3[[#This Row],[Amortización k | cupón de intereses]]="Amortización de K",SUMIFS($AH$7:$AH$557,Tabla3[Código Emisión],Tabla3[[#This Row],[Código Emisión]],Tabla3[Fecha de operación],Tabla3[[#This Row],[Fecha de operación]]),0)-Tabla3[[#This Row],[Accrued]]*Tabla3[[#This Row],[Valor Nominal]]</f>
        <v>0</v>
      </c>
      <c r="AJ112" s="605">
        <f>+IF(Tabla3[[#This Row],[Amortización k | cupón de intereses]]="Amortización de K",IF(Tabla3[[#This Row],[Precio Clean]]&gt;1,Tabla3[[#This Row],[Valor Nominal]]*(Tabla3[[#This Row],[Precio Clean]]-1),0),0)</f>
        <v>0</v>
      </c>
      <c r="AK112" s="605">
        <f>+IF(Tabla3[[#This Row],[Amortización k | cupón de intereses]]="Amortización de K",IF(Tabla3[[#This Row],[Precio Clean]]&lt;1,Tabla3[[#This Row],[Valor Nominal]]*(Tabla3[[#This Row],[Precio Clean]]-1),0),0)</f>
        <v>0</v>
      </c>
    </row>
    <row r="113" spans="1:37">
      <c r="A113" s="502"/>
      <c r="B113" s="437" t="s">
        <v>505</v>
      </c>
      <c r="C113" s="437" t="str">
        <f t="shared" si="66"/>
        <v>CDA RIO UH1950</v>
      </c>
      <c r="D113" s="437" t="s">
        <v>453</v>
      </c>
      <c r="E113" s="437" t="s">
        <v>507</v>
      </c>
      <c r="F113" s="437" t="s">
        <v>297</v>
      </c>
      <c r="G113" s="437" t="s">
        <v>298</v>
      </c>
      <c r="H113" s="529">
        <f t="shared" ref="H113:H119" si="82">+H112</f>
        <v>1</v>
      </c>
      <c r="I113" s="492">
        <v>1077.0410958904108</v>
      </c>
      <c r="J113" s="451"/>
      <c r="K113" s="450"/>
      <c r="L113" s="451"/>
      <c r="M113" s="493"/>
      <c r="N113" s="493"/>
      <c r="O113" s="494">
        <f t="shared" si="81"/>
        <v>6.6592887043952956E-2</v>
      </c>
      <c r="P113" s="494">
        <f t="shared" si="81"/>
        <v>6.4991689958973531E-2</v>
      </c>
      <c r="Q113" s="450">
        <f t="shared" si="81"/>
        <v>45876</v>
      </c>
      <c r="R113" s="450">
        <v>46531</v>
      </c>
      <c r="S113" s="509" t="s">
        <v>146</v>
      </c>
      <c r="T113" s="510">
        <f>Tabla3[[#This Row],[Cantidad]]*Tabla3[[#This Row],[Cortes]]</f>
        <v>1077.0410958904108</v>
      </c>
      <c r="U113" s="511">
        <f t="shared" si="43"/>
        <v>1000.2102956658637</v>
      </c>
      <c r="V113" s="511">
        <f t="shared" si="44"/>
        <v>1000.0336457657151</v>
      </c>
      <c r="W113" s="497">
        <f>IF(Tabla3[[#This Row],[Fecha de operación]]=$C$1,0,U113-V113)</f>
        <v>0.17664990014861814</v>
      </c>
      <c r="X113" s="512" t="str">
        <f t="shared" si="72"/>
        <v>Vigente</v>
      </c>
      <c r="Y113" s="498" t="s">
        <v>450</v>
      </c>
      <c r="Z113" s="469">
        <f t="shared" si="73"/>
        <v>419</v>
      </c>
      <c r="AA113" s="499">
        <f t="shared" ref="AA113:AB119" si="83">+AA112</f>
        <v>1.3319421346512568</v>
      </c>
      <c r="AB113" s="499">
        <f t="shared" si="83"/>
        <v>1.3101307867770937</v>
      </c>
      <c r="AC113" s="469" t="s">
        <v>451</v>
      </c>
      <c r="AD113" s="469" t="s">
        <v>454</v>
      </c>
      <c r="AG113" s="605">
        <f>+IF(Tabla3[[#This Row],[Amortización k | cupón de intereses]]="Amortización de K",Tabla3[[#This Row],[Valor Nominal]],0)</f>
        <v>0</v>
      </c>
      <c r="AH113" s="605">
        <f>+IF(AND(Tabla3[[#This Row],[Amortización k | cupón de intereses]]="Cupón de interés",Tabla3[[#This Row],[Estado]]="Vigente"),Tabla3[[#This Row],[Valor Nominal]],0)</f>
        <v>1077.0410958904108</v>
      </c>
      <c r="AI113" s="618">
        <f>+IF(Tabla3[[#This Row],[Amortización k | cupón de intereses]]="Amortización de K",SUMIFS($AH$7:$AH$557,Tabla3[Código Emisión],Tabla3[[#This Row],[Código Emisión]],Tabla3[Fecha de operación],Tabla3[[#This Row],[Fecha de operación]]),0)-Tabla3[[#This Row],[Accrued]]*Tabla3[[#This Row],[Valor Nominal]]</f>
        <v>0</v>
      </c>
      <c r="AJ113" s="605">
        <f>+IF(Tabla3[[#This Row],[Amortización k | cupón de intereses]]="Amortización de K",IF(Tabla3[[#This Row],[Precio Clean]]&gt;1,Tabla3[[#This Row],[Valor Nominal]]*(Tabla3[[#This Row],[Precio Clean]]-1),0),0)</f>
        <v>0</v>
      </c>
      <c r="AK113" s="605">
        <f>+IF(Tabla3[[#This Row],[Amortización k | cupón de intereses]]="Amortización de K",IF(Tabla3[[#This Row],[Precio Clean]]&lt;1,Tabla3[[#This Row],[Valor Nominal]]*(Tabla3[[#This Row],[Precio Clean]]-1),0),0)</f>
        <v>0</v>
      </c>
    </row>
    <row r="114" spans="1:37">
      <c r="A114" s="502"/>
      <c r="B114" s="437" t="s">
        <v>505</v>
      </c>
      <c r="C114" s="437" t="str">
        <f t="shared" si="66"/>
        <v>CDA RIO UH1950</v>
      </c>
      <c r="D114" s="437" t="s">
        <v>453</v>
      </c>
      <c r="E114" s="437" t="s">
        <v>507</v>
      </c>
      <c r="F114" s="437" t="s">
        <v>297</v>
      </c>
      <c r="G114" s="437" t="s">
        <v>298</v>
      </c>
      <c r="H114" s="529">
        <f t="shared" si="82"/>
        <v>1</v>
      </c>
      <c r="I114" s="492">
        <v>1077.0410958904108</v>
      </c>
      <c r="J114" s="451"/>
      <c r="K114" s="450"/>
      <c r="L114" s="451"/>
      <c r="M114" s="493"/>
      <c r="N114" s="493"/>
      <c r="O114" s="494">
        <f t="shared" si="81"/>
        <v>6.6592887043952956E-2</v>
      </c>
      <c r="P114" s="494">
        <f t="shared" si="81"/>
        <v>6.4991689958973531E-2</v>
      </c>
      <c r="Q114" s="450">
        <f t="shared" si="81"/>
        <v>45876</v>
      </c>
      <c r="R114" s="450">
        <v>46440</v>
      </c>
      <c r="S114" s="509" t="s">
        <v>146</v>
      </c>
      <c r="T114" s="510">
        <f>Tabla3[[#This Row],[Cantidad]]*Tabla3[[#This Row],[Cortes]]</f>
        <v>1077.0410958904108</v>
      </c>
      <c r="U114" s="511">
        <f t="shared" si="43"/>
        <v>1016.4167520270769</v>
      </c>
      <c r="V114" s="511">
        <f t="shared" si="44"/>
        <v>1016.2372398599526</v>
      </c>
      <c r="W114" s="497">
        <f>IF(Tabla3[[#This Row],[Fecha de operación]]=$C$1,0,U114-V114)</f>
        <v>0.17951216712424412</v>
      </c>
      <c r="X114" s="512" t="str">
        <f t="shared" si="72"/>
        <v>Vigente</v>
      </c>
      <c r="Y114" s="498" t="s">
        <v>450</v>
      </c>
      <c r="Z114" s="469">
        <f t="shared" si="73"/>
        <v>328</v>
      </c>
      <c r="AA114" s="499">
        <f t="shared" si="83"/>
        <v>1.3319421346512568</v>
      </c>
      <c r="AB114" s="499">
        <f t="shared" si="83"/>
        <v>1.3101307867770937</v>
      </c>
      <c r="AC114" s="469" t="s">
        <v>451</v>
      </c>
      <c r="AD114" s="469" t="s">
        <v>454</v>
      </c>
      <c r="AG114" s="605">
        <f>+IF(Tabla3[[#This Row],[Amortización k | cupón de intereses]]="Amortización de K",Tabla3[[#This Row],[Valor Nominal]],0)</f>
        <v>0</v>
      </c>
      <c r="AH114" s="605">
        <f>+IF(AND(Tabla3[[#This Row],[Amortización k | cupón de intereses]]="Cupón de interés",Tabla3[[#This Row],[Estado]]="Vigente"),Tabla3[[#This Row],[Valor Nominal]],0)</f>
        <v>1077.0410958904108</v>
      </c>
      <c r="AI114" s="618">
        <f>+IF(Tabla3[[#This Row],[Amortización k | cupón de intereses]]="Amortización de K",SUMIFS($AH$7:$AH$557,Tabla3[Código Emisión],Tabla3[[#This Row],[Código Emisión]],Tabla3[Fecha de operación],Tabla3[[#This Row],[Fecha de operación]]),0)-Tabla3[[#This Row],[Accrued]]*Tabla3[[#This Row],[Valor Nominal]]</f>
        <v>0</v>
      </c>
      <c r="AJ114" s="605">
        <f>+IF(Tabla3[[#This Row],[Amortización k | cupón de intereses]]="Amortización de K",IF(Tabla3[[#This Row],[Precio Clean]]&gt;1,Tabla3[[#This Row],[Valor Nominal]]*(Tabla3[[#This Row],[Precio Clean]]-1),0),0)</f>
        <v>0</v>
      </c>
      <c r="AK114" s="605">
        <f>+IF(Tabla3[[#This Row],[Amortización k | cupón de intereses]]="Amortización de K",IF(Tabla3[[#This Row],[Precio Clean]]&lt;1,Tabla3[[#This Row],[Valor Nominal]]*(Tabla3[[#This Row],[Precio Clean]]-1),0),0)</f>
        <v>0</v>
      </c>
    </row>
    <row r="115" spans="1:37">
      <c r="A115" s="502"/>
      <c r="B115" s="437" t="s">
        <v>505</v>
      </c>
      <c r="C115" s="437" t="str">
        <f t="shared" si="66"/>
        <v>CDA RIO UH1950</v>
      </c>
      <c r="D115" s="437" t="s">
        <v>453</v>
      </c>
      <c r="E115" s="437" t="s">
        <v>507</v>
      </c>
      <c r="F115" s="437" t="s">
        <v>297</v>
      </c>
      <c r="G115" s="437" t="s">
        <v>298</v>
      </c>
      <c r="H115" s="529">
        <f t="shared" si="82"/>
        <v>1</v>
      </c>
      <c r="I115" s="492">
        <v>1077.0410958904108</v>
      </c>
      <c r="J115" s="451"/>
      <c r="K115" s="450"/>
      <c r="L115" s="451"/>
      <c r="M115" s="493"/>
      <c r="N115" s="493"/>
      <c r="O115" s="494">
        <f t="shared" si="81"/>
        <v>6.6592887043952956E-2</v>
      </c>
      <c r="P115" s="494">
        <f t="shared" si="81"/>
        <v>6.4991689958973531E-2</v>
      </c>
      <c r="Q115" s="450">
        <f t="shared" si="81"/>
        <v>45876</v>
      </c>
      <c r="R115" s="450">
        <v>46349</v>
      </c>
      <c r="S115" s="509" t="s">
        <v>146</v>
      </c>
      <c r="T115" s="510">
        <f>Tabla3[[#This Row],[Cantidad]]*Tabla3[[#This Row],[Cortes]]</f>
        <v>1077.0410958904108</v>
      </c>
      <c r="U115" s="511">
        <f t="shared" si="43"/>
        <v>1032.8858023936966</v>
      </c>
      <c r="V115" s="511">
        <f t="shared" si="44"/>
        <v>1032.7033815821451</v>
      </c>
      <c r="W115" s="497">
        <f>IF(Tabla3[[#This Row],[Fecha de operación]]=$C$1,0,U115-V115)</f>
        <v>0.18242081155153755</v>
      </c>
      <c r="X115" s="512" t="str">
        <f t="shared" si="72"/>
        <v>Vigente</v>
      </c>
      <c r="Y115" s="498" t="s">
        <v>450</v>
      </c>
      <c r="Z115" s="469">
        <f t="shared" si="73"/>
        <v>237</v>
      </c>
      <c r="AA115" s="499">
        <f t="shared" si="83"/>
        <v>1.3319421346512568</v>
      </c>
      <c r="AB115" s="499">
        <f t="shared" si="83"/>
        <v>1.3101307867770937</v>
      </c>
      <c r="AC115" s="469" t="s">
        <v>451</v>
      </c>
      <c r="AD115" s="469" t="s">
        <v>454</v>
      </c>
      <c r="AG115" s="605">
        <f>+IF(Tabla3[[#This Row],[Amortización k | cupón de intereses]]="Amortización de K",Tabla3[[#This Row],[Valor Nominal]],0)</f>
        <v>0</v>
      </c>
      <c r="AH115" s="605">
        <f>+IF(AND(Tabla3[[#This Row],[Amortización k | cupón de intereses]]="Cupón de interés",Tabla3[[#This Row],[Estado]]="Vigente"),Tabla3[[#This Row],[Valor Nominal]],0)</f>
        <v>1077.0410958904108</v>
      </c>
      <c r="AI115" s="618">
        <f>+IF(Tabla3[[#This Row],[Amortización k | cupón de intereses]]="Amortización de K",SUMIFS($AH$7:$AH$557,Tabla3[Código Emisión],Tabla3[[#This Row],[Código Emisión]],Tabla3[Fecha de operación],Tabla3[[#This Row],[Fecha de operación]]),0)-Tabla3[[#This Row],[Accrued]]*Tabla3[[#This Row],[Valor Nominal]]</f>
        <v>0</v>
      </c>
      <c r="AJ115" s="605">
        <f>+IF(Tabla3[[#This Row],[Amortización k | cupón de intereses]]="Amortización de K",IF(Tabla3[[#This Row],[Precio Clean]]&gt;1,Tabla3[[#This Row],[Valor Nominal]]*(Tabla3[[#This Row],[Precio Clean]]-1),0),0)</f>
        <v>0</v>
      </c>
      <c r="AK115" s="605">
        <f>+IF(Tabla3[[#This Row],[Amortización k | cupón de intereses]]="Amortización de K",IF(Tabla3[[#This Row],[Precio Clean]]&lt;1,Tabla3[[#This Row],[Valor Nominal]]*(Tabla3[[#This Row],[Precio Clean]]-1),0),0)</f>
        <v>0</v>
      </c>
    </row>
    <row r="116" spans="1:37">
      <c r="A116" s="502"/>
      <c r="B116" s="437" t="s">
        <v>505</v>
      </c>
      <c r="C116" s="437" t="str">
        <f t="shared" si="66"/>
        <v>CDA RIO UH1950</v>
      </c>
      <c r="D116" s="437" t="s">
        <v>453</v>
      </c>
      <c r="E116" s="437" t="s">
        <v>507</v>
      </c>
      <c r="F116" s="437" t="s">
        <v>297</v>
      </c>
      <c r="G116" s="437" t="s">
        <v>298</v>
      </c>
      <c r="H116" s="529">
        <f t="shared" si="82"/>
        <v>1</v>
      </c>
      <c r="I116" s="492">
        <v>1077.0410958904108</v>
      </c>
      <c r="J116" s="451"/>
      <c r="K116" s="450"/>
      <c r="L116" s="451"/>
      <c r="M116" s="493"/>
      <c r="N116" s="493"/>
      <c r="O116" s="494">
        <f t="shared" si="81"/>
        <v>6.6592887043952956E-2</v>
      </c>
      <c r="P116" s="494">
        <f t="shared" si="81"/>
        <v>6.4991689958973531E-2</v>
      </c>
      <c r="Q116" s="450">
        <f t="shared" si="81"/>
        <v>45876</v>
      </c>
      <c r="R116" s="450">
        <v>46258</v>
      </c>
      <c r="S116" s="509" t="s">
        <v>146</v>
      </c>
      <c r="T116" s="510">
        <f>Tabla3[[#This Row],[Cantidad]]*Tabla3[[#This Row],[Cortes]]</f>
        <v>1077.0410958904108</v>
      </c>
      <c r="U116" s="511">
        <f t="shared" si="43"/>
        <v>1049.6217015892416</v>
      </c>
      <c r="V116" s="511">
        <f t="shared" si="44"/>
        <v>1049.4363250043546</v>
      </c>
      <c r="W116" s="497">
        <f>IF(Tabla3[[#This Row],[Fecha de operación]]=$C$1,0,U116-V116)</f>
        <v>0.18537658488708075</v>
      </c>
      <c r="X116" s="512" t="str">
        <f t="shared" si="72"/>
        <v>Vigente</v>
      </c>
      <c r="Y116" s="498" t="s">
        <v>450</v>
      </c>
      <c r="Z116" s="469">
        <f t="shared" si="73"/>
        <v>146</v>
      </c>
      <c r="AA116" s="499">
        <f t="shared" si="83"/>
        <v>1.3319421346512568</v>
      </c>
      <c r="AB116" s="499">
        <f t="shared" si="83"/>
        <v>1.3101307867770937</v>
      </c>
      <c r="AC116" s="469" t="s">
        <v>451</v>
      </c>
      <c r="AD116" s="469" t="s">
        <v>454</v>
      </c>
      <c r="AG116" s="605">
        <f>+IF(Tabla3[[#This Row],[Amortización k | cupón de intereses]]="Amortización de K",Tabla3[[#This Row],[Valor Nominal]],0)</f>
        <v>0</v>
      </c>
      <c r="AH116" s="605">
        <f>+IF(AND(Tabla3[[#This Row],[Amortización k | cupón de intereses]]="Cupón de interés",Tabla3[[#This Row],[Estado]]="Vigente"),Tabla3[[#This Row],[Valor Nominal]],0)</f>
        <v>1077.0410958904108</v>
      </c>
      <c r="AI116" s="618">
        <f>+IF(Tabla3[[#This Row],[Amortización k | cupón de intereses]]="Amortización de K",SUMIFS($AH$7:$AH$557,Tabla3[Código Emisión],Tabla3[[#This Row],[Código Emisión]],Tabla3[Fecha de operación],Tabla3[[#This Row],[Fecha de operación]]),0)-Tabla3[[#This Row],[Accrued]]*Tabla3[[#This Row],[Valor Nominal]]</f>
        <v>0</v>
      </c>
      <c r="AJ116" s="605">
        <f>+IF(Tabla3[[#This Row],[Amortización k | cupón de intereses]]="Amortización de K",IF(Tabla3[[#This Row],[Precio Clean]]&gt;1,Tabla3[[#This Row],[Valor Nominal]]*(Tabla3[[#This Row],[Precio Clean]]-1),0),0)</f>
        <v>0</v>
      </c>
      <c r="AK116" s="605">
        <f>+IF(Tabla3[[#This Row],[Amortización k | cupón de intereses]]="Amortización de K",IF(Tabla3[[#This Row],[Precio Clean]]&lt;1,Tabla3[[#This Row],[Valor Nominal]]*(Tabla3[[#This Row],[Precio Clean]]-1),0),0)</f>
        <v>0</v>
      </c>
    </row>
    <row r="117" spans="1:37">
      <c r="A117" s="502"/>
      <c r="B117" s="437" t="s">
        <v>505</v>
      </c>
      <c r="C117" s="437" t="str">
        <f t="shared" si="66"/>
        <v>CDA RIO UH1950</v>
      </c>
      <c r="D117" s="437" t="s">
        <v>453</v>
      </c>
      <c r="E117" s="437" t="s">
        <v>507</v>
      </c>
      <c r="F117" s="437" t="s">
        <v>297</v>
      </c>
      <c r="G117" s="437" t="s">
        <v>298</v>
      </c>
      <c r="H117" s="529">
        <f t="shared" si="82"/>
        <v>1</v>
      </c>
      <c r="I117" s="492">
        <v>1077.0410958904108</v>
      </c>
      <c r="J117" s="451"/>
      <c r="K117" s="450"/>
      <c r="L117" s="451"/>
      <c r="M117" s="493"/>
      <c r="N117" s="493"/>
      <c r="O117" s="494">
        <f t="shared" si="81"/>
        <v>6.6592887043952956E-2</v>
      </c>
      <c r="P117" s="494">
        <f t="shared" si="81"/>
        <v>6.4991689958973531E-2</v>
      </c>
      <c r="Q117" s="450">
        <f t="shared" si="81"/>
        <v>45876</v>
      </c>
      <c r="R117" s="450">
        <v>46167</v>
      </c>
      <c r="S117" s="509" t="s">
        <v>146</v>
      </c>
      <c r="T117" s="510">
        <f>Tabla3[[#This Row],[Cantidad]]*Tabla3[[#This Row],[Cortes]]</f>
        <v>1077.0410958904108</v>
      </c>
      <c r="U117" s="511">
        <f t="shared" si="43"/>
        <v>1066.6287733783438</v>
      </c>
      <c r="V117" s="511">
        <f t="shared" si="44"/>
        <v>1066.4403931275813</v>
      </c>
      <c r="W117" s="497">
        <f>IF(Tabla3[[#This Row],[Fecha de operación]]=$C$1,0,U117-V117)</f>
        <v>0.18838025076252052</v>
      </c>
      <c r="X117" s="512" t="str">
        <f t="shared" si="72"/>
        <v>Vigente</v>
      </c>
      <c r="Y117" s="498" t="s">
        <v>450</v>
      </c>
      <c r="Z117" s="469">
        <f t="shared" si="73"/>
        <v>55</v>
      </c>
      <c r="AA117" s="499">
        <f t="shared" si="83"/>
        <v>1.3319421346512568</v>
      </c>
      <c r="AB117" s="499">
        <f t="shared" si="83"/>
        <v>1.3101307867770937</v>
      </c>
      <c r="AC117" s="469" t="s">
        <v>451</v>
      </c>
      <c r="AD117" s="469" t="s">
        <v>454</v>
      </c>
      <c r="AG117" s="605">
        <f>+IF(Tabla3[[#This Row],[Amortización k | cupón de intereses]]="Amortización de K",Tabla3[[#This Row],[Valor Nominal]],0)</f>
        <v>0</v>
      </c>
      <c r="AH117" s="605">
        <f>+IF(AND(Tabla3[[#This Row],[Amortización k | cupón de intereses]]="Cupón de interés",Tabla3[[#This Row],[Estado]]="Vigente"),Tabla3[[#This Row],[Valor Nominal]],0)</f>
        <v>1077.0410958904108</v>
      </c>
      <c r="AI117" s="618">
        <f>+IF(Tabla3[[#This Row],[Amortización k | cupón de intereses]]="Amortización de K",SUMIFS($AH$7:$AH$557,Tabla3[Código Emisión],Tabla3[[#This Row],[Código Emisión]],Tabla3[Fecha de operación],Tabla3[[#This Row],[Fecha de operación]]),0)-Tabla3[[#This Row],[Accrued]]*Tabla3[[#This Row],[Valor Nominal]]</f>
        <v>0</v>
      </c>
      <c r="AJ117" s="605">
        <f>+IF(Tabla3[[#This Row],[Amortización k | cupón de intereses]]="Amortización de K",IF(Tabla3[[#This Row],[Precio Clean]]&gt;1,Tabla3[[#This Row],[Valor Nominal]]*(Tabla3[[#This Row],[Precio Clean]]-1),0),0)</f>
        <v>0</v>
      </c>
      <c r="AK117" s="605">
        <f>+IF(Tabla3[[#This Row],[Amortización k | cupón de intereses]]="Amortización de K",IF(Tabla3[[#This Row],[Precio Clean]]&lt;1,Tabla3[[#This Row],[Valor Nominal]]*(Tabla3[[#This Row],[Precio Clean]]-1),0),0)</f>
        <v>0</v>
      </c>
    </row>
    <row r="118" spans="1:37">
      <c r="A118" s="502"/>
      <c r="B118" s="437" t="s">
        <v>505</v>
      </c>
      <c r="C118" s="437" t="str">
        <f t="shared" si="66"/>
        <v>CDA RIO UH1950</v>
      </c>
      <c r="D118" s="437" t="s">
        <v>453</v>
      </c>
      <c r="E118" s="437" t="s">
        <v>507</v>
      </c>
      <c r="F118" s="437" t="s">
        <v>297</v>
      </c>
      <c r="G118" s="437" t="s">
        <v>298</v>
      </c>
      <c r="H118" s="529">
        <f t="shared" si="82"/>
        <v>1</v>
      </c>
      <c r="I118" s="492">
        <v>1077.0410958904108</v>
      </c>
      <c r="J118" s="451"/>
      <c r="K118" s="450"/>
      <c r="L118" s="451"/>
      <c r="M118" s="493"/>
      <c r="N118" s="493"/>
      <c r="O118" s="494">
        <f t="shared" si="81"/>
        <v>6.6592887043952956E-2</v>
      </c>
      <c r="P118" s="494">
        <f t="shared" si="81"/>
        <v>6.4991689958973531E-2</v>
      </c>
      <c r="Q118" s="450">
        <f t="shared" si="81"/>
        <v>45876</v>
      </c>
      <c r="R118" s="450">
        <v>46076</v>
      </c>
      <c r="S118" s="509" t="s">
        <v>146</v>
      </c>
      <c r="T118" s="510">
        <f>Tabla3[[#This Row],[Cantidad]]*Tabla3[[#This Row],[Cortes]]</f>
        <v>1077.0410958904108</v>
      </c>
      <c r="U118" s="511" t="b">
        <f t="shared" si="43"/>
        <v>0</v>
      </c>
      <c r="V118" s="511" t="b">
        <f t="shared" si="44"/>
        <v>0</v>
      </c>
      <c r="W118" s="497">
        <f>IF(Tabla3[[#This Row],[Fecha de operación]]=$C$1,0,U118-V118)</f>
        <v>0</v>
      </c>
      <c r="X118" s="512" t="str">
        <f t="shared" si="72"/>
        <v>Vencido</v>
      </c>
      <c r="Y118" s="498" t="s">
        <v>450</v>
      </c>
      <c r="Z118" s="469">
        <f t="shared" si="73"/>
        <v>-36</v>
      </c>
      <c r="AA118" s="499">
        <f t="shared" si="83"/>
        <v>1.3319421346512568</v>
      </c>
      <c r="AB118" s="499">
        <f t="shared" si="83"/>
        <v>1.3101307867770937</v>
      </c>
      <c r="AC118" s="469" t="s">
        <v>451</v>
      </c>
      <c r="AD118" s="469" t="s">
        <v>454</v>
      </c>
      <c r="AG118" s="605">
        <f>+IF(Tabla3[[#This Row],[Amortización k | cupón de intereses]]="Amortización de K",Tabla3[[#This Row],[Valor Nominal]],0)</f>
        <v>0</v>
      </c>
      <c r="AH118" s="605">
        <f>+IF(AND(Tabla3[[#This Row],[Amortización k | cupón de intereses]]="Cupón de interés",Tabla3[[#This Row],[Estado]]="Vigente"),Tabla3[[#This Row],[Valor Nominal]],0)</f>
        <v>0</v>
      </c>
      <c r="AI118" s="618">
        <f>+IF(Tabla3[[#This Row],[Amortización k | cupón de intereses]]="Amortización de K",SUMIFS($AH$7:$AH$557,Tabla3[Código Emisión],Tabla3[[#This Row],[Código Emisión]],Tabla3[Fecha de operación],Tabla3[[#This Row],[Fecha de operación]]),0)-Tabla3[[#This Row],[Accrued]]*Tabla3[[#This Row],[Valor Nominal]]</f>
        <v>0</v>
      </c>
      <c r="AJ118" s="605">
        <f>+IF(Tabla3[[#This Row],[Amortización k | cupón de intereses]]="Amortización de K",IF(Tabla3[[#This Row],[Precio Clean]]&gt;1,Tabla3[[#This Row],[Valor Nominal]]*(Tabla3[[#This Row],[Precio Clean]]-1),0),0)</f>
        <v>0</v>
      </c>
      <c r="AK118" s="605">
        <f>+IF(Tabla3[[#This Row],[Amortización k | cupón de intereses]]="Amortización de K",IF(Tabla3[[#This Row],[Precio Clean]]&lt;1,Tabla3[[#This Row],[Valor Nominal]]*(Tabla3[[#This Row],[Precio Clean]]-1),0),0)</f>
        <v>0</v>
      </c>
    </row>
    <row r="119" spans="1:37">
      <c r="A119" s="502"/>
      <c r="B119" s="437" t="s">
        <v>505</v>
      </c>
      <c r="C119" s="437" t="str">
        <f t="shared" si="66"/>
        <v>CDA RIO UH1950</v>
      </c>
      <c r="D119" s="437" t="s">
        <v>453</v>
      </c>
      <c r="E119" s="437" t="s">
        <v>507</v>
      </c>
      <c r="F119" s="437" t="s">
        <v>297</v>
      </c>
      <c r="G119" s="437" t="s">
        <v>298</v>
      </c>
      <c r="H119" s="529">
        <f t="shared" si="82"/>
        <v>1</v>
      </c>
      <c r="I119" s="492">
        <v>1077.0410958904108</v>
      </c>
      <c r="J119" s="451"/>
      <c r="K119" s="450"/>
      <c r="L119" s="451"/>
      <c r="M119" s="493"/>
      <c r="N119" s="493"/>
      <c r="O119" s="494">
        <f t="shared" si="81"/>
        <v>6.6592887043952956E-2</v>
      </c>
      <c r="P119" s="494">
        <f t="shared" si="81"/>
        <v>6.4991689958973531E-2</v>
      </c>
      <c r="Q119" s="450">
        <f t="shared" si="81"/>
        <v>45876</v>
      </c>
      <c r="R119" s="450">
        <v>45985</v>
      </c>
      <c r="S119" s="509" t="s">
        <v>146</v>
      </c>
      <c r="T119" s="510">
        <f>Tabla3[[#This Row],[Cantidad]]*Tabla3[[#This Row],[Cortes]]</f>
        <v>1077.0410958904108</v>
      </c>
      <c r="U119" s="511" t="b">
        <f t="shared" si="43"/>
        <v>0</v>
      </c>
      <c r="V119" s="511" t="b">
        <f t="shared" si="44"/>
        <v>0</v>
      </c>
      <c r="W119" s="497">
        <f>IF(Tabla3[[#This Row],[Fecha de operación]]=$C$1,0,U119-V119)</f>
        <v>0</v>
      </c>
      <c r="X119" s="512" t="str">
        <f t="shared" si="72"/>
        <v>Vencido</v>
      </c>
      <c r="Y119" s="498" t="s">
        <v>450</v>
      </c>
      <c r="Z119" s="469">
        <f t="shared" si="73"/>
        <v>-127</v>
      </c>
      <c r="AA119" s="499">
        <f t="shared" si="83"/>
        <v>1.3319421346512568</v>
      </c>
      <c r="AB119" s="499">
        <f t="shared" si="83"/>
        <v>1.3101307867770937</v>
      </c>
      <c r="AC119" s="469" t="s">
        <v>451</v>
      </c>
      <c r="AD119" s="469" t="s">
        <v>454</v>
      </c>
      <c r="AG119" s="605">
        <f>+IF(Tabla3[[#This Row],[Amortización k | cupón de intereses]]="Amortización de K",Tabla3[[#This Row],[Valor Nominal]],0)</f>
        <v>0</v>
      </c>
      <c r="AH119" s="605">
        <f>+IF(AND(Tabla3[[#This Row],[Amortización k | cupón de intereses]]="Cupón de interés",Tabla3[[#This Row],[Estado]]="Vigente"),Tabla3[[#This Row],[Valor Nominal]],0)</f>
        <v>0</v>
      </c>
      <c r="AI119" s="618">
        <f>+IF(Tabla3[[#This Row],[Amortización k | cupón de intereses]]="Amortización de K",SUMIFS($AH$7:$AH$557,Tabla3[Código Emisión],Tabla3[[#This Row],[Código Emisión]],Tabla3[Fecha de operación],Tabla3[[#This Row],[Fecha de operación]]),0)-Tabla3[[#This Row],[Accrued]]*Tabla3[[#This Row],[Valor Nominal]]</f>
        <v>0</v>
      </c>
      <c r="AJ119" s="605">
        <f>+IF(Tabla3[[#This Row],[Amortización k | cupón de intereses]]="Amortización de K",IF(Tabla3[[#This Row],[Precio Clean]]&gt;1,Tabla3[[#This Row],[Valor Nominal]]*(Tabla3[[#This Row],[Precio Clean]]-1),0),0)</f>
        <v>0</v>
      </c>
      <c r="AK119" s="605">
        <f>+IF(Tabla3[[#This Row],[Amortización k | cupón de intereses]]="Amortización de K",IF(Tabla3[[#This Row],[Precio Clean]]&lt;1,Tabla3[[#This Row],[Valor Nominal]]*(Tabla3[[#This Row],[Precio Clean]]-1),0),0)</f>
        <v>0</v>
      </c>
    </row>
    <row r="120" spans="1:37" ht="15">
      <c r="A120" s="500">
        <f>+A111+1</f>
        <v>15</v>
      </c>
      <c r="B120" s="475" t="s">
        <v>511</v>
      </c>
      <c r="C120" s="475" t="s">
        <v>512</v>
      </c>
      <c r="D120" s="475" t="s">
        <v>359</v>
      </c>
      <c r="E120" s="475" t="s">
        <v>449</v>
      </c>
      <c r="F120" s="475" t="s">
        <v>513</v>
      </c>
      <c r="G120" s="475" t="s">
        <v>298</v>
      </c>
      <c r="H120" s="476">
        <v>200</v>
      </c>
      <c r="I120" s="477">
        <v>1000</v>
      </c>
      <c r="J120" s="478">
        <v>0.06</v>
      </c>
      <c r="K120" s="479">
        <f>_xlfn.MAXIFS(R:R,C:C,C120,AD:AD,"Cupón de interés",X:X,"Vencido")</f>
        <v>46045</v>
      </c>
      <c r="L120" s="478">
        <f>+Tabla3[[#This Row],[Tasa de Interés]]*($U$5-Tabla3[[#This Row],[Last coupon]])/365</f>
        <v>1.1013698630136985E-2</v>
      </c>
      <c r="M120" s="480">
        <f>+Tabla3[[#This Row],[Precio Dirty]]-Tabla3[[#This Row],[Accrued]]</f>
        <v>0.98125124204465142</v>
      </c>
      <c r="N120" s="481">
        <f>SUMIFS(U:U,C:C,C120,Q:Q,Q120)/SUMIFS(T:T,C:C,C120,Q:Q,Q120,AD:AD,"Amortización de K")</f>
        <v>0.99226494067478843</v>
      </c>
      <c r="O120" s="482">
        <v>7.1688202023506162E-2</v>
      </c>
      <c r="P120" s="482">
        <v>6.9837824599981779E-2</v>
      </c>
      <c r="Q120" s="484">
        <v>45888</v>
      </c>
      <c r="R120" s="484">
        <v>46864</v>
      </c>
      <c r="S120" s="504" t="s">
        <v>146</v>
      </c>
      <c r="T120" s="505">
        <f>Tabla3[[#This Row],[Cantidad]]*Tabla3[[#This Row],[Cortes]]</f>
        <v>200000</v>
      </c>
      <c r="U120" s="506">
        <f t="shared" si="43"/>
        <v>173412.64058924414</v>
      </c>
      <c r="V120" s="506">
        <f t="shared" si="44"/>
        <v>173379.74986600823</v>
      </c>
      <c r="W120" s="487">
        <f>IF(Tabla3[[#This Row],[Fecha de operación]]=$C$1,0,U120-V120)</f>
        <v>32.89072323590517</v>
      </c>
      <c r="X120" s="507" t="str">
        <f t="shared" si="72"/>
        <v>Vigente</v>
      </c>
      <c r="Y120" s="489" t="s">
        <v>450</v>
      </c>
      <c r="Z120" s="488">
        <f t="shared" si="73"/>
        <v>752</v>
      </c>
      <c r="AA120" s="508">
        <f t="shared" ref="AA120" si="84">IF(Y120="Mensual",DURATION($C$1,$C$1+Z120*12,J120/12,O120/12,1)/12,DURATION($C$1,R120,J120,O120,IF(Y120="Cupón cero",1,IF(Y120="Al vencimiento",1,IF(Y120="Anual",1,IF(Y120="Semestral",2,IF(Y120="Trimestral",4,"")))))))</f>
        <v>1.9250968623984728</v>
      </c>
      <c r="AB120" s="508">
        <f t="shared" ref="AB120" si="85">IF(Y120="Mensual",MDURATION($C$1,$C$1+Z120*12,J120/12,O120/12,1)/12,MDURATION($C$1,R120,J120,O120,IF(Y120="Cupón cero",1,IF(Y120="Al vencimiento",1,IF(Y120="Anual",1,IF(Y120="Semestral",2,IF(Y120="Trimestral",4,"")))))))</f>
        <v>1.8912026332878413</v>
      </c>
      <c r="AC120" s="488" t="s">
        <v>451</v>
      </c>
      <c r="AD120" s="488" t="s">
        <v>452</v>
      </c>
      <c r="AG120" s="605">
        <f>+IF(Tabla3[[#This Row],[Amortización k | cupón de intereses]]="Amortización de K",Tabla3[[#This Row],[Valor Nominal]],0)</f>
        <v>200000</v>
      </c>
      <c r="AH120" s="605">
        <f>+IF(AND(Tabla3[[#This Row],[Amortización k | cupón de intereses]]="Cupón de interés",Tabla3[[#This Row],[Estado]]="Vigente"),Tabla3[[#This Row],[Valor Nominal]],0)</f>
        <v>0</v>
      </c>
      <c r="AI120" s="618">
        <f>+IF(Tabla3[[#This Row],[Amortización k | cupón de intereses]]="Amortización de K",SUMIFS($AH$7:$AH$557,Tabla3[Código Emisión],Tabla3[[#This Row],[Código Emisión]],Tabla3[Fecha de operación],Tabla3[[#This Row],[Fecha de operación]]),0)-Tabla3[[#This Row],[Accrued]]*Tabla3[[#This Row],[Valor Nominal]]</f>
        <v>24723.287473972603</v>
      </c>
      <c r="AJ120" s="605">
        <f>+IF(Tabla3[[#This Row],[Amortización k | cupón de intereses]]="Amortización de K",IF(Tabla3[[#This Row],[Precio Clean]]&gt;1,Tabla3[[#This Row],[Valor Nominal]]*(Tabla3[[#This Row],[Precio Clean]]-1),0),0)</f>
        <v>0</v>
      </c>
      <c r="AK120" s="605">
        <f>+IF(Tabla3[[#This Row],[Amortización k | cupón de intereses]]="Amortización de K",IF(Tabla3[[#This Row],[Precio Clean]]&lt;1,Tabla3[[#This Row],[Valor Nominal]]*(Tabla3[[#This Row],[Precio Clean]]-1),0),0)</f>
        <v>-3749.7515910697166</v>
      </c>
    </row>
    <row r="121" spans="1:37">
      <c r="A121" s="502"/>
      <c r="B121" s="437" t="str">
        <f>+B120</f>
        <v>CECON SAE</v>
      </c>
      <c r="C121" s="437" t="str">
        <f t="shared" ref="C121:F131" si="86">+C120</f>
        <v>PYCEC01F3409</v>
      </c>
      <c r="D121" s="437" t="str">
        <f>+D120</f>
        <v>Bonos Corporativos</v>
      </c>
      <c r="E121" s="437" t="str">
        <f>+E120</f>
        <v>AA-py</v>
      </c>
      <c r="F121" s="437" t="str">
        <f>+F120</f>
        <v>Corporativo</v>
      </c>
      <c r="G121" s="437" t="s">
        <v>298</v>
      </c>
      <c r="H121" s="529">
        <f>+H120</f>
        <v>200</v>
      </c>
      <c r="I121" s="492">
        <v>14.958904</v>
      </c>
      <c r="J121" s="451"/>
      <c r="K121" s="450"/>
      <c r="L121" s="451"/>
      <c r="M121" s="493"/>
      <c r="N121" s="493"/>
      <c r="O121" s="494">
        <f t="shared" ref="O121:Q131" si="87">+O120</f>
        <v>7.1688202023506162E-2</v>
      </c>
      <c r="P121" s="494">
        <f t="shared" si="87"/>
        <v>6.9837824599981779E-2</v>
      </c>
      <c r="Q121" s="450">
        <f t="shared" si="87"/>
        <v>45888</v>
      </c>
      <c r="R121" s="450">
        <v>46864</v>
      </c>
      <c r="S121" s="509" t="s">
        <v>146</v>
      </c>
      <c r="T121" s="510">
        <f>Tabla3[[#This Row],[Cantidad]]*Tabla3[[#This Row],[Cortes]]</f>
        <v>2991.7808</v>
      </c>
      <c r="U121" s="511">
        <f t="shared" si="43"/>
        <v>2594.0630429610064</v>
      </c>
      <c r="V121" s="511">
        <f t="shared" si="44"/>
        <v>2593.5710337896303</v>
      </c>
      <c r="W121" s="497">
        <f>IF(Tabla3[[#This Row],[Fecha de operación]]=$C$1,0,U121-V121)</f>
        <v>0.49200917137613942</v>
      </c>
      <c r="X121" s="512" t="str">
        <f t="shared" si="72"/>
        <v>Vigente</v>
      </c>
      <c r="Y121" s="498" t="s">
        <v>450</v>
      </c>
      <c r="Z121" s="469">
        <f t="shared" si="73"/>
        <v>752</v>
      </c>
      <c r="AA121" s="499">
        <f>+AA120</f>
        <v>1.9250968623984728</v>
      </c>
      <c r="AB121" s="499">
        <f>+AB120</f>
        <v>1.8912026332878413</v>
      </c>
      <c r="AC121" s="469" t="s">
        <v>451</v>
      </c>
      <c r="AD121" s="469" t="s">
        <v>454</v>
      </c>
      <c r="AG121" s="605">
        <f>+IF(Tabla3[[#This Row],[Amortización k | cupón de intereses]]="Amortización de K",Tabla3[[#This Row],[Valor Nominal]],0)</f>
        <v>0</v>
      </c>
      <c r="AH121" s="605">
        <f>+IF(AND(Tabla3[[#This Row],[Amortización k | cupón de intereses]]="Cupón de interés",Tabla3[[#This Row],[Estado]]="Vigente"),Tabla3[[#This Row],[Valor Nominal]],0)</f>
        <v>2991.7808</v>
      </c>
      <c r="AI121" s="618">
        <f>+IF(Tabla3[[#This Row],[Amortización k | cupón de intereses]]="Amortización de K",SUMIFS($AH$7:$AH$557,Tabla3[Código Emisión],Tabla3[[#This Row],[Código Emisión]],Tabla3[Fecha de operación],Tabla3[[#This Row],[Fecha de operación]]),0)-Tabla3[[#This Row],[Accrued]]*Tabla3[[#This Row],[Valor Nominal]]</f>
        <v>0</v>
      </c>
      <c r="AJ121" s="605">
        <f>+IF(Tabla3[[#This Row],[Amortización k | cupón de intereses]]="Amortización de K",IF(Tabla3[[#This Row],[Precio Clean]]&gt;1,Tabla3[[#This Row],[Valor Nominal]]*(Tabla3[[#This Row],[Precio Clean]]-1),0),0)</f>
        <v>0</v>
      </c>
      <c r="AK121" s="605">
        <f>+IF(Tabla3[[#This Row],[Amortización k | cupón de intereses]]="Amortización de K",IF(Tabla3[[#This Row],[Precio Clean]]&lt;1,Tabla3[[#This Row],[Valor Nominal]]*(Tabla3[[#This Row],[Precio Clean]]-1),0),0)</f>
        <v>0</v>
      </c>
    </row>
    <row r="122" spans="1:37">
      <c r="A122" s="502"/>
      <c r="B122" s="437" t="str">
        <f t="shared" ref="B122:B131" si="88">+B121</f>
        <v>CECON SAE</v>
      </c>
      <c r="C122" s="437" t="str">
        <f t="shared" si="86"/>
        <v>PYCEC01F3409</v>
      </c>
      <c r="D122" s="437" t="str">
        <f t="shared" si="86"/>
        <v>Bonos Corporativos</v>
      </c>
      <c r="E122" s="437" t="str">
        <f t="shared" si="86"/>
        <v>AA-py</v>
      </c>
      <c r="F122" s="437" t="str">
        <f t="shared" si="86"/>
        <v>Corporativo</v>
      </c>
      <c r="G122" s="437" t="s">
        <v>298</v>
      </c>
      <c r="H122" s="529">
        <f t="shared" ref="H122:H131" si="89">+H121</f>
        <v>200</v>
      </c>
      <c r="I122" s="492">
        <v>14.958904</v>
      </c>
      <c r="J122" s="451"/>
      <c r="K122" s="450"/>
      <c r="L122" s="451"/>
      <c r="M122" s="493"/>
      <c r="N122" s="493"/>
      <c r="O122" s="494">
        <f t="shared" si="87"/>
        <v>7.1688202023506162E-2</v>
      </c>
      <c r="P122" s="494">
        <f t="shared" si="87"/>
        <v>6.9837824599981779E-2</v>
      </c>
      <c r="Q122" s="450">
        <f t="shared" si="87"/>
        <v>45888</v>
      </c>
      <c r="R122" s="450">
        <v>46773</v>
      </c>
      <c r="S122" s="509" t="s">
        <v>146</v>
      </c>
      <c r="T122" s="510">
        <f>Tabla3[[#This Row],[Cantidad]]*Tabla3[[#This Row],[Cortes]]</f>
        <v>2991.7808</v>
      </c>
      <c r="U122" s="511">
        <f t="shared" si="43"/>
        <v>2639.2288141616232</v>
      </c>
      <c r="V122" s="511">
        <f t="shared" si="44"/>
        <v>2638.728238516228</v>
      </c>
      <c r="W122" s="497">
        <f>IF(Tabla3[[#This Row],[Fecha de operación]]=$C$1,0,U122-V122)</f>
        <v>0.50057564539520172</v>
      </c>
      <c r="X122" s="512" t="str">
        <f t="shared" si="72"/>
        <v>Vigente</v>
      </c>
      <c r="Y122" s="498" t="s">
        <v>450</v>
      </c>
      <c r="Z122" s="469">
        <f t="shared" si="73"/>
        <v>661</v>
      </c>
      <c r="AA122" s="499">
        <f t="shared" ref="AA122:AB131" si="90">+AA121</f>
        <v>1.9250968623984728</v>
      </c>
      <c r="AB122" s="499">
        <f t="shared" si="90"/>
        <v>1.8912026332878413</v>
      </c>
      <c r="AC122" s="469" t="s">
        <v>451</v>
      </c>
      <c r="AD122" s="469" t="s">
        <v>454</v>
      </c>
      <c r="AG122" s="605">
        <f>+IF(Tabla3[[#This Row],[Amortización k | cupón de intereses]]="Amortización de K",Tabla3[[#This Row],[Valor Nominal]],0)</f>
        <v>0</v>
      </c>
      <c r="AH122" s="605">
        <f>+IF(AND(Tabla3[[#This Row],[Amortización k | cupón de intereses]]="Cupón de interés",Tabla3[[#This Row],[Estado]]="Vigente"),Tabla3[[#This Row],[Valor Nominal]],0)</f>
        <v>2991.7808</v>
      </c>
      <c r="AI122" s="618">
        <f>+IF(Tabla3[[#This Row],[Amortización k | cupón de intereses]]="Amortización de K",SUMIFS($AH$7:$AH$557,Tabla3[Código Emisión],Tabla3[[#This Row],[Código Emisión]],Tabla3[Fecha de operación],Tabla3[[#This Row],[Fecha de operación]]),0)-Tabla3[[#This Row],[Accrued]]*Tabla3[[#This Row],[Valor Nominal]]</f>
        <v>0</v>
      </c>
      <c r="AJ122" s="605">
        <f>+IF(Tabla3[[#This Row],[Amortización k | cupón de intereses]]="Amortización de K",IF(Tabla3[[#This Row],[Precio Clean]]&gt;1,Tabla3[[#This Row],[Valor Nominal]]*(Tabla3[[#This Row],[Precio Clean]]-1),0),0)</f>
        <v>0</v>
      </c>
      <c r="AK122" s="605">
        <f>+IF(Tabla3[[#This Row],[Amortización k | cupón de intereses]]="Amortización de K",IF(Tabla3[[#This Row],[Precio Clean]]&lt;1,Tabla3[[#This Row],[Valor Nominal]]*(Tabla3[[#This Row],[Precio Clean]]-1),0),0)</f>
        <v>0</v>
      </c>
    </row>
    <row r="123" spans="1:37">
      <c r="A123" s="502"/>
      <c r="B123" s="437" t="str">
        <f t="shared" si="88"/>
        <v>CECON SAE</v>
      </c>
      <c r="C123" s="437" t="str">
        <f t="shared" si="86"/>
        <v>PYCEC01F3409</v>
      </c>
      <c r="D123" s="437" t="str">
        <f t="shared" si="86"/>
        <v>Bonos Corporativos</v>
      </c>
      <c r="E123" s="437" t="str">
        <f t="shared" si="86"/>
        <v>AA-py</v>
      </c>
      <c r="F123" s="437" t="str">
        <f t="shared" si="86"/>
        <v>Corporativo</v>
      </c>
      <c r="G123" s="437" t="s">
        <v>298</v>
      </c>
      <c r="H123" s="529">
        <f t="shared" si="89"/>
        <v>200</v>
      </c>
      <c r="I123" s="492">
        <v>14.958904</v>
      </c>
      <c r="J123" s="451"/>
      <c r="K123" s="450"/>
      <c r="L123" s="451"/>
      <c r="M123" s="493"/>
      <c r="N123" s="493"/>
      <c r="O123" s="494">
        <f t="shared" si="87"/>
        <v>7.1688202023506162E-2</v>
      </c>
      <c r="P123" s="494">
        <f t="shared" si="87"/>
        <v>6.9837824599981779E-2</v>
      </c>
      <c r="Q123" s="450">
        <f t="shared" si="87"/>
        <v>45888</v>
      </c>
      <c r="R123" s="450">
        <v>46682</v>
      </c>
      <c r="S123" s="509" t="s">
        <v>146</v>
      </c>
      <c r="T123" s="510">
        <f>Tabla3[[#This Row],[Cantidad]]*Tabla3[[#This Row],[Cortes]]</f>
        <v>2991.7808</v>
      </c>
      <c r="U123" s="511">
        <f t="shared" si="43"/>
        <v>2685.1809759989997</v>
      </c>
      <c r="V123" s="511">
        <f t="shared" si="44"/>
        <v>2684.6716847269231</v>
      </c>
      <c r="W123" s="497">
        <f>IF(Tabla3[[#This Row],[Fecha de operación]]=$C$1,0,U123-V123)</f>
        <v>0.50929127207655256</v>
      </c>
      <c r="X123" s="512" t="str">
        <f t="shared" si="72"/>
        <v>Vigente</v>
      </c>
      <c r="Y123" s="498" t="s">
        <v>450</v>
      </c>
      <c r="Z123" s="469">
        <f t="shared" si="73"/>
        <v>570</v>
      </c>
      <c r="AA123" s="499">
        <f t="shared" si="90"/>
        <v>1.9250968623984728</v>
      </c>
      <c r="AB123" s="499">
        <f t="shared" si="90"/>
        <v>1.8912026332878413</v>
      </c>
      <c r="AC123" s="469" t="s">
        <v>451</v>
      </c>
      <c r="AD123" s="469" t="s">
        <v>454</v>
      </c>
      <c r="AG123" s="605">
        <f>+IF(Tabla3[[#This Row],[Amortización k | cupón de intereses]]="Amortización de K",Tabla3[[#This Row],[Valor Nominal]],0)</f>
        <v>0</v>
      </c>
      <c r="AH123" s="605">
        <f>+IF(AND(Tabla3[[#This Row],[Amortización k | cupón de intereses]]="Cupón de interés",Tabla3[[#This Row],[Estado]]="Vigente"),Tabla3[[#This Row],[Valor Nominal]],0)</f>
        <v>2991.7808</v>
      </c>
      <c r="AI123" s="618">
        <f>+IF(Tabla3[[#This Row],[Amortización k | cupón de intereses]]="Amortización de K",SUMIFS($AH$7:$AH$557,Tabla3[Código Emisión],Tabla3[[#This Row],[Código Emisión]],Tabla3[Fecha de operación],Tabla3[[#This Row],[Fecha de operación]]),0)-Tabla3[[#This Row],[Accrued]]*Tabla3[[#This Row],[Valor Nominal]]</f>
        <v>0</v>
      </c>
      <c r="AJ123" s="605">
        <f>+IF(Tabla3[[#This Row],[Amortización k | cupón de intereses]]="Amortización de K",IF(Tabla3[[#This Row],[Precio Clean]]&gt;1,Tabla3[[#This Row],[Valor Nominal]]*(Tabla3[[#This Row],[Precio Clean]]-1),0),0)</f>
        <v>0</v>
      </c>
      <c r="AK123" s="605">
        <f>+IF(Tabla3[[#This Row],[Amortización k | cupón de intereses]]="Amortización de K",IF(Tabla3[[#This Row],[Precio Clean]]&lt;1,Tabla3[[#This Row],[Valor Nominal]]*(Tabla3[[#This Row],[Precio Clean]]-1),0),0)</f>
        <v>0</v>
      </c>
    </row>
    <row r="124" spans="1:37">
      <c r="A124" s="502"/>
      <c r="B124" s="437" t="str">
        <f t="shared" si="88"/>
        <v>CECON SAE</v>
      </c>
      <c r="C124" s="437" t="str">
        <f t="shared" si="86"/>
        <v>PYCEC01F3409</v>
      </c>
      <c r="D124" s="437" t="str">
        <f t="shared" si="86"/>
        <v>Bonos Corporativos</v>
      </c>
      <c r="E124" s="437" t="str">
        <f t="shared" si="86"/>
        <v>AA-py</v>
      </c>
      <c r="F124" s="437" t="str">
        <f t="shared" si="86"/>
        <v>Corporativo</v>
      </c>
      <c r="G124" s="437" t="s">
        <v>298</v>
      </c>
      <c r="H124" s="529">
        <f t="shared" si="89"/>
        <v>200</v>
      </c>
      <c r="I124" s="492">
        <v>14.958904</v>
      </c>
      <c r="J124" s="451"/>
      <c r="K124" s="450"/>
      <c r="L124" s="451"/>
      <c r="M124" s="493"/>
      <c r="N124" s="493"/>
      <c r="O124" s="494">
        <f t="shared" si="87"/>
        <v>7.1688202023506162E-2</v>
      </c>
      <c r="P124" s="494">
        <f t="shared" si="87"/>
        <v>6.9837824599981779E-2</v>
      </c>
      <c r="Q124" s="450">
        <f t="shared" si="87"/>
        <v>45888</v>
      </c>
      <c r="R124" s="450">
        <v>46591</v>
      </c>
      <c r="S124" s="509" t="s">
        <v>146</v>
      </c>
      <c r="T124" s="510">
        <f>Tabla3[[#This Row],[Cantidad]]*Tabla3[[#This Row],[Cortes]]</f>
        <v>2991.7808</v>
      </c>
      <c r="U124" s="511">
        <f t="shared" si="43"/>
        <v>2731.9332204840789</v>
      </c>
      <c r="V124" s="511">
        <f t="shared" si="44"/>
        <v>2731.4150618357326</v>
      </c>
      <c r="W124" s="497">
        <f>IF(Tabla3[[#This Row],[Fecha de operación]]=$C$1,0,U124-V124)</f>
        <v>0.5181586483463434</v>
      </c>
      <c r="X124" s="512" t="str">
        <f t="shared" si="72"/>
        <v>Vigente</v>
      </c>
      <c r="Y124" s="498" t="s">
        <v>450</v>
      </c>
      <c r="Z124" s="469">
        <f t="shared" si="73"/>
        <v>479</v>
      </c>
      <c r="AA124" s="499">
        <f t="shared" si="90"/>
        <v>1.9250968623984728</v>
      </c>
      <c r="AB124" s="499">
        <f t="shared" si="90"/>
        <v>1.8912026332878413</v>
      </c>
      <c r="AC124" s="469" t="s">
        <v>451</v>
      </c>
      <c r="AD124" s="469" t="s">
        <v>454</v>
      </c>
      <c r="AG124" s="605">
        <f>+IF(Tabla3[[#This Row],[Amortización k | cupón de intereses]]="Amortización de K",Tabla3[[#This Row],[Valor Nominal]],0)</f>
        <v>0</v>
      </c>
      <c r="AH124" s="605">
        <f>+IF(AND(Tabla3[[#This Row],[Amortización k | cupón de intereses]]="Cupón de interés",Tabla3[[#This Row],[Estado]]="Vigente"),Tabla3[[#This Row],[Valor Nominal]],0)</f>
        <v>2991.7808</v>
      </c>
      <c r="AI124" s="618">
        <f>+IF(Tabla3[[#This Row],[Amortización k | cupón de intereses]]="Amortización de K",SUMIFS($AH$7:$AH$557,Tabla3[Código Emisión],Tabla3[[#This Row],[Código Emisión]],Tabla3[Fecha de operación],Tabla3[[#This Row],[Fecha de operación]]),0)-Tabla3[[#This Row],[Accrued]]*Tabla3[[#This Row],[Valor Nominal]]</f>
        <v>0</v>
      </c>
      <c r="AJ124" s="605">
        <f>+IF(Tabla3[[#This Row],[Amortización k | cupón de intereses]]="Amortización de K",IF(Tabla3[[#This Row],[Precio Clean]]&gt;1,Tabla3[[#This Row],[Valor Nominal]]*(Tabla3[[#This Row],[Precio Clean]]-1),0),0)</f>
        <v>0</v>
      </c>
      <c r="AK124" s="605">
        <f>+IF(Tabla3[[#This Row],[Amortización k | cupón de intereses]]="Amortización de K",IF(Tabla3[[#This Row],[Precio Clean]]&lt;1,Tabla3[[#This Row],[Valor Nominal]]*(Tabla3[[#This Row],[Precio Clean]]-1),0),0)</f>
        <v>0</v>
      </c>
    </row>
    <row r="125" spans="1:37">
      <c r="A125" s="502"/>
      <c r="B125" s="437" t="str">
        <f t="shared" si="88"/>
        <v>CECON SAE</v>
      </c>
      <c r="C125" s="437" t="str">
        <f t="shared" si="86"/>
        <v>PYCEC01F3409</v>
      </c>
      <c r="D125" s="437" t="str">
        <f t="shared" si="86"/>
        <v>Bonos Corporativos</v>
      </c>
      <c r="E125" s="437" t="str">
        <f t="shared" si="86"/>
        <v>AA-py</v>
      </c>
      <c r="F125" s="437" t="str">
        <f t="shared" si="86"/>
        <v>Corporativo</v>
      </c>
      <c r="G125" s="437" t="s">
        <v>298</v>
      </c>
      <c r="H125" s="529">
        <f t="shared" si="89"/>
        <v>200</v>
      </c>
      <c r="I125" s="492">
        <v>14.958904</v>
      </c>
      <c r="J125" s="451"/>
      <c r="K125" s="450"/>
      <c r="L125" s="451"/>
      <c r="M125" s="493"/>
      <c r="N125" s="493"/>
      <c r="O125" s="494">
        <f t="shared" si="87"/>
        <v>7.1688202023506162E-2</v>
      </c>
      <c r="P125" s="494">
        <f t="shared" si="87"/>
        <v>6.9837824599981779E-2</v>
      </c>
      <c r="Q125" s="450">
        <f t="shared" si="87"/>
        <v>45888</v>
      </c>
      <c r="R125" s="450">
        <v>46500</v>
      </c>
      <c r="S125" s="509" t="s">
        <v>146</v>
      </c>
      <c r="T125" s="510">
        <f>Tabla3[[#This Row],[Cantidad]]*Tabla3[[#This Row],[Cortes]]</f>
        <v>2991.7808</v>
      </c>
      <c r="U125" s="511">
        <f t="shared" si="43"/>
        <v>2779.4994780222551</v>
      </c>
      <c r="V125" s="511">
        <f t="shared" si="44"/>
        <v>2778.972297605907</v>
      </c>
      <c r="W125" s="497">
        <f>IF(Tabla3[[#This Row],[Fecha de operación]]=$C$1,0,U125-V125)</f>
        <v>0.52718041634807378</v>
      </c>
      <c r="X125" s="512" t="str">
        <f t="shared" si="72"/>
        <v>Vigente</v>
      </c>
      <c r="Y125" s="498" t="s">
        <v>450</v>
      </c>
      <c r="Z125" s="469">
        <f t="shared" si="73"/>
        <v>388</v>
      </c>
      <c r="AA125" s="499">
        <f t="shared" si="90"/>
        <v>1.9250968623984728</v>
      </c>
      <c r="AB125" s="499">
        <f t="shared" si="90"/>
        <v>1.8912026332878413</v>
      </c>
      <c r="AC125" s="469" t="s">
        <v>451</v>
      </c>
      <c r="AD125" s="469" t="s">
        <v>454</v>
      </c>
      <c r="AG125" s="605">
        <f>+IF(Tabla3[[#This Row],[Amortización k | cupón de intereses]]="Amortización de K",Tabla3[[#This Row],[Valor Nominal]],0)</f>
        <v>0</v>
      </c>
      <c r="AH125" s="605">
        <f>+IF(AND(Tabla3[[#This Row],[Amortización k | cupón de intereses]]="Cupón de interés",Tabla3[[#This Row],[Estado]]="Vigente"),Tabla3[[#This Row],[Valor Nominal]],0)</f>
        <v>2991.7808</v>
      </c>
      <c r="AI125" s="618">
        <f>+IF(Tabla3[[#This Row],[Amortización k | cupón de intereses]]="Amortización de K",SUMIFS($AH$7:$AH$557,Tabla3[Código Emisión],Tabla3[[#This Row],[Código Emisión]],Tabla3[Fecha de operación],Tabla3[[#This Row],[Fecha de operación]]),0)-Tabla3[[#This Row],[Accrued]]*Tabla3[[#This Row],[Valor Nominal]]</f>
        <v>0</v>
      </c>
      <c r="AJ125" s="605">
        <f>+IF(Tabla3[[#This Row],[Amortización k | cupón de intereses]]="Amortización de K",IF(Tabla3[[#This Row],[Precio Clean]]&gt;1,Tabla3[[#This Row],[Valor Nominal]]*(Tabla3[[#This Row],[Precio Clean]]-1),0),0)</f>
        <v>0</v>
      </c>
      <c r="AK125" s="605">
        <f>+IF(Tabla3[[#This Row],[Amortización k | cupón de intereses]]="Amortización de K",IF(Tabla3[[#This Row],[Precio Clean]]&lt;1,Tabla3[[#This Row],[Valor Nominal]]*(Tabla3[[#This Row],[Precio Clean]]-1),0),0)</f>
        <v>0</v>
      </c>
    </row>
    <row r="126" spans="1:37">
      <c r="A126" s="502"/>
      <c r="B126" s="437" t="str">
        <f t="shared" si="88"/>
        <v>CECON SAE</v>
      </c>
      <c r="C126" s="437" t="str">
        <f t="shared" si="86"/>
        <v>PYCEC01F3409</v>
      </c>
      <c r="D126" s="437" t="str">
        <f t="shared" si="86"/>
        <v>Bonos Corporativos</v>
      </c>
      <c r="E126" s="437" t="str">
        <f t="shared" si="86"/>
        <v>AA-py</v>
      </c>
      <c r="F126" s="437" t="str">
        <f t="shared" si="86"/>
        <v>Corporativo</v>
      </c>
      <c r="G126" s="437" t="s">
        <v>298</v>
      </c>
      <c r="H126" s="529">
        <f t="shared" si="89"/>
        <v>200</v>
      </c>
      <c r="I126" s="492">
        <v>14.958904</v>
      </c>
      <c r="J126" s="451"/>
      <c r="K126" s="450"/>
      <c r="L126" s="451"/>
      <c r="M126" s="493"/>
      <c r="N126" s="493"/>
      <c r="O126" s="494">
        <f t="shared" si="87"/>
        <v>7.1688202023506162E-2</v>
      </c>
      <c r="P126" s="494">
        <f t="shared" si="87"/>
        <v>6.9837824599981779E-2</v>
      </c>
      <c r="Q126" s="450">
        <f t="shared" si="87"/>
        <v>45888</v>
      </c>
      <c r="R126" s="450">
        <v>46409</v>
      </c>
      <c r="S126" s="509" t="s">
        <v>146</v>
      </c>
      <c r="T126" s="510">
        <f>Tabla3[[#This Row],[Cantidad]]*Tabla3[[#This Row],[Cortes]]</f>
        <v>2991.7808</v>
      </c>
      <c r="U126" s="511">
        <f t="shared" si="43"/>
        <v>2827.8939215641094</v>
      </c>
      <c r="V126" s="511">
        <f t="shared" si="44"/>
        <v>2827.3575622998801</v>
      </c>
      <c r="W126" s="497">
        <f>IF(Tabla3[[#This Row],[Fecha de operación]]=$C$1,0,U126-V126)</f>
        <v>0.53635926422930424</v>
      </c>
      <c r="X126" s="512" t="str">
        <f t="shared" si="72"/>
        <v>Vigente</v>
      </c>
      <c r="Y126" s="498" t="s">
        <v>450</v>
      </c>
      <c r="Z126" s="469">
        <f t="shared" si="73"/>
        <v>297</v>
      </c>
      <c r="AA126" s="499">
        <f t="shared" si="90"/>
        <v>1.9250968623984728</v>
      </c>
      <c r="AB126" s="499">
        <f t="shared" si="90"/>
        <v>1.8912026332878413</v>
      </c>
      <c r="AC126" s="469" t="s">
        <v>451</v>
      </c>
      <c r="AD126" s="469" t="s">
        <v>454</v>
      </c>
      <c r="AG126" s="605">
        <f>+IF(Tabla3[[#This Row],[Amortización k | cupón de intereses]]="Amortización de K",Tabla3[[#This Row],[Valor Nominal]],0)</f>
        <v>0</v>
      </c>
      <c r="AH126" s="605">
        <f>+IF(AND(Tabla3[[#This Row],[Amortización k | cupón de intereses]]="Cupón de interés",Tabla3[[#This Row],[Estado]]="Vigente"),Tabla3[[#This Row],[Valor Nominal]],0)</f>
        <v>2991.7808</v>
      </c>
      <c r="AI126" s="618">
        <f>+IF(Tabla3[[#This Row],[Amortización k | cupón de intereses]]="Amortización de K",SUMIFS($AH$7:$AH$557,Tabla3[Código Emisión],Tabla3[[#This Row],[Código Emisión]],Tabla3[Fecha de operación],Tabla3[[#This Row],[Fecha de operación]]),0)-Tabla3[[#This Row],[Accrued]]*Tabla3[[#This Row],[Valor Nominal]]</f>
        <v>0</v>
      </c>
      <c r="AJ126" s="605">
        <f>+IF(Tabla3[[#This Row],[Amortización k | cupón de intereses]]="Amortización de K",IF(Tabla3[[#This Row],[Precio Clean]]&gt;1,Tabla3[[#This Row],[Valor Nominal]]*(Tabla3[[#This Row],[Precio Clean]]-1),0),0)</f>
        <v>0</v>
      </c>
      <c r="AK126" s="605">
        <f>+IF(Tabla3[[#This Row],[Amortización k | cupón de intereses]]="Amortización de K",IF(Tabla3[[#This Row],[Precio Clean]]&lt;1,Tabla3[[#This Row],[Valor Nominal]]*(Tabla3[[#This Row],[Precio Clean]]-1),0),0)</f>
        <v>0</v>
      </c>
    </row>
    <row r="127" spans="1:37">
      <c r="A127" s="502"/>
      <c r="B127" s="437" t="str">
        <f t="shared" si="88"/>
        <v>CECON SAE</v>
      </c>
      <c r="C127" s="437" t="str">
        <f t="shared" si="86"/>
        <v>PYCEC01F3409</v>
      </c>
      <c r="D127" s="437" t="str">
        <f t="shared" si="86"/>
        <v>Bonos Corporativos</v>
      </c>
      <c r="E127" s="437" t="str">
        <f t="shared" si="86"/>
        <v>AA-py</v>
      </c>
      <c r="F127" s="437" t="str">
        <f t="shared" si="86"/>
        <v>Corporativo</v>
      </c>
      <c r="G127" s="437" t="s">
        <v>298</v>
      </c>
      <c r="H127" s="529">
        <f t="shared" si="89"/>
        <v>200</v>
      </c>
      <c r="I127" s="492">
        <v>14.958904</v>
      </c>
      <c r="J127" s="451"/>
      <c r="K127" s="450"/>
      <c r="L127" s="451"/>
      <c r="M127" s="493"/>
      <c r="N127" s="493"/>
      <c r="O127" s="494">
        <f t="shared" si="87"/>
        <v>7.1688202023506162E-2</v>
      </c>
      <c r="P127" s="494">
        <f t="shared" si="87"/>
        <v>6.9837824599981779E-2</v>
      </c>
      <c r="Q127" s="450">
        <f t="shared" si="87"/>
        <v>45888</v>
      </c>
      <c r="R127" s="450">
        <v>46318</v>
      </c>
      <c r="S127" s="509" t="s">
        <v>146</v>
      </c>
      <c r="T127" s="510">
        <f>Tabla3[[#This Row],[Cantidad]]*Tabla3[[#This Row],[Cortes]]</f>
        <v>2991.7808</v>
      </c>
      <c r="U127" s="511">
        <f t="shared" si="43"/>
        <v>2877.1309708284134</v>
      </c>
      <c r="V127" s="511">
        <f t="shared" si="44"/>
        <v>2876.5852729014728</v>
      </c>
      <c r="W127" s="497">
        <f>IF(Tabla3[[#This Row],[Fecha de operación]]=$C$1,0,U127-V127)</f>
        <v>0.54569792694064745</v>
      </c>
      <c r="X127" s="512" t="str">
        <f t="shared" si="72"/>
        <v>Vigente</v>
      </c>
      <c r="Y127" s="498" t="s">
        <v>450</v>
      </c>
      <c r="Z127" s="469">
        <f t="shared" si="73"/>
        <v>206</v>
      </c>
      <c r="AA127" s="499">
        <f t="shared" si="90"/>
        <v>1.9250968623984728</v>
      </c>
      <c r="AB127" s="499">
        <f t="shared" si="90"/>
        <v>1.8912026332878413</v>
      </c>
      <c r="AC127" s="469" t="s">
        <v>451</v>
      </c>
      <c r="AD127" s="469" t="s">
        <v>454</v>
      </c>
      <c r="AG127" s="605">
        <f>+IF(Tabla3[[#This Row],[Amortización k | cupón de intereses]]="Amortización de K",Tabla3[[#This Row],[Valor Nominal]],0)</f>
        <v>0</v>
      </c>
      <c r="AH127" s="605">
        <f>+IF(AND(Tabla3[[#This Row],[Amortización k | cupón de intereses]]="Cupón de interés",Tabla3[[#This Row],[Estado]]="Vigente"),Tabla3[[#This Row],[Valor Nominal]],0)</f>
        <v>2991.7808</v>
      </c>
      <c r="AI127" s="618">
        <f>+IF(Tabla3[[#This Row],[Amortización k | cupón de intereses]]="Amortización de K",SUMIFS($AH$7:$AH$557,Tabla3[Código Emisión],Tabla3[[#This Row],[Código Emisión]],Tabla3[Fecha de operación],Tabla3[[#This Row],[Fecha de operación]]),0)-Tabla3[[#This Row],[Accrued]]*Tabla3[[#This Row],[Valor Nominal]]</f>
        <v>0</v>
      </c>
      <c r="AJ127" s="605">
        <f>+IF(Tabla3[[#This Row],[Amortización k | cupón de intereses]]="Amortización de K",IF(Tabla3[[#This Row],[Precio Clean]]&gt;1,Tabla3[[#This Row],[Valor Nominal]]*(Tabla3[[#This Row],[Precio Clean]]-1),0),0)</f>
        <v>0</v>
      </c>
      <c r="AK127" s="605">
        <f>+IF(Tabla3[[#This Row],[Amortización k | cupón de intereses]]="Amortización de K",IF(Tabla3[[#This Row],[Precio Clean]]&lt;1,Tabla3[[#This Row],[Valor Nominal]]*(Tabla3[[#This Row],[Precio Clean]]-1),0),0)</f>
        <v>0</v>
      </c>
    </row>
    <row r="128" spans="1:37">
      <c r="A128" s="502"/>
      <c r="B128" s="437" t="str">
        <f t="shared" si="88"/>
        <v>CECON SAE</v>
      </c>
      <c r="C128" s="437" t="str">
        <f t="shared" si="86"/>
        <v>PYCEC01F3409</v>
      </c>
      <c r="D128" s="437" t="str">
        <f t="shared" si="86"/>
        <v>Bonos Corporativos</v>
      </c>
      <c r="E128" s="437" t="str">
        <f t="shared" si="86"/>
        <v>AA-py</v>
      </c>
      <c r="F128" s="437" t="str">
        <f t="shared" si="86"/>
        <v>Corporativo</v>
      </c>
      <c r="G128" s="437" t="s">
        <v>298</v>
      </c>
      <c r="H128" s="529">
        <f t="shared" si="89"/>
        <v>200</v>
      </c>
      <c r="I128" s="492">
        <v>14.958904</v>
      </c>
      <c r="J128" s="451"/>
      <c r="K128" s="450"/>
      <c r="L128" s="451"/>
      <c r="M128" s="493"/>
      <c r="N128" s="493"/>
      <c r="O128" s="494">
        <f t="shared" si="87"/>
        <v>7.1688202023506162E-2</v>
      </c>
      <c r="P128" s="494">
        <f t="shared" si="87"/>
        <v>6.9837824599981779E-2</v>
      </c>
      <c r="Q128" s="450">
        <f t="shared" si="87"/>
        <v>45888</v>
      </c>
      <c r="R128" s="450">
        <v>46227</v>
      </c>
      <c r="S128" s="509" t="s">
        <v>146</v>
      </c>
      <c r="T128" s="510">
        <f>Tabla3[[#This Row],[Cantidad]]*Tabla3[[#This Row],[Cortes]]</f>
        <v>2991.7808</v>
      </c>
      <c r="U128" s="511">
        <f t="shared" si="43"/>
        <v>2927.2252965986595</v>
      </c>
      <c r="V128" s="511">
        <f t="shared" si="44"/>
        <v>2926.6700974116093</v>
      </c>
      <c r="W128" s="497">
        <f>IF(Tabla3[[#This Row],[Fecha de operación]]=$C$1,0,U128-V128)</f>
        <v>0.55519918705022064</v>
      </c>
      <c r="X128" s="512" t="str">
        <f t="shared" si="72"/>
        <v>Vigente</v>
      </c>
      <c r="Y128" s="498" t="s">
        <v>450</v>
      </c>
      <c r="Z128" s="469">
        <f t="shared" si="73"/>
        <v>115</v>
      </c>
      <c r="AA128" s="499">
        <f t="shared" si="90"/>
        <v>1.9250968623984728</v>
      </c>
      <c r="AB128" s="499">
        <f t="shared" si="90"/>
        <v>1.8912026332878413</v>
      </c>
      <c r="AC128" s="469" t="s">
        <v>451</v>
      </c>
      <c r="AD128" s="469" t="s">
        <v>454</v>
      </c>
      <c r="AG128" s="605">
        <f>+IF(Tabla3[[#This Row],[Amortización k | cupón de intereses]]="Amortización de K",Tabla3[[#This Row],[Valor Nominal]],0)</f>
        <v>0</v>
      </c>
      <c r="AH128" s="605">
        <f>+IF(AND(Tabla3[[#This Row],[Amortización k | cupón de intereses]]="Cupón de interés",Tabla3[[#This Row],[Estado]]="Vigente"),Tabla3[[#This Row],[Valor Nominal]],0)</f>
        <v>2991.7808</v>
      </c>
      <c r="AI128" s="618">
        <f>+IF(Tabla3[[#This Row],[Amortización k | cupón de intereses]]="Amortización de K",SUMIFS($AH$7:$AH$557,Tabla3[Código Emisión],Tabla3[[#This Row],[Código Emisión]],Tabla3[Fecha de operación],Tabla3[[#This Row],[Fecha de operación]]),0)-Tabla3[[#This Row],[Accrued]]*Tabla3[[#This Row],[Valor Nominal]]</f>
        <v>0</v>
      </c>
      <c r="AJ128" s="605">
        <f>+IF(Tabla3[[#This Row],[Amortización k | cupón de intereses]]="Amortización de K",IF(Tabla3[[#This Row],[Precio Clean]]&gt;1,Tabla3[[#This Row],[Valor Nominal]]*(Tabla3[[#This Row],[Precio Clean]]-1),0),0)</f>
        <v>0</v>
      </c>
      <c r="AK128" s="605">
        <f>+IF(Tabla3[[#This Row],[Amortización k | cupón de intereses]]="Amortización de K",IF(Tabla3[[#This Row],[Precio Clean]]&lt;1,Tabla3[[#This Row],[Valor Nominal]]*(Tabla3[[#This Row],[Precio Clean]]-1),0),0)</f>
        <v>0</v>
      </c>
    </row>
    <row r="129" spans="1:37">
      <c r="A129" s="502"/>
      <c r="B129" s="437" t="str">
        <f t="shared" si="88"/>
        <v>CECON SAE</v>
      </c>
      <c r="C129" s="437" t="str">
        <f t="shared" si="86"/>
        <v>PYCEC01F3409</v>
      </c>
      <c r="D129" s="437" t="str">
        <f t="shared" si="86"/>
        <v>Bonos Corporativos</v>
      </c>
      <c r="E129" s="437" t="str">
        <f t="shared" si="86"/>
        <v>AA-py</v>
      </c>
      <c r="F129" s="437" t="str">
        <f t="shared" si="86"/>
        <v>Corporativo</v>
      </c>
      <c r="G129" s="437" t="s">
        <v>298</v>
      </c>
      <c r="H129" s="529">
        <f t="shared" si="89"/>
        <v>200</v>
      </c>
      <c r="I129" s="492">
        <v>14.958904</v>
      </c>
      <c r="J129" s="451"/>
      <c r="K129" s="450"/>
      <c r="L129" s="451"/>
      <c r="M129" s="493"/>
      <c r="N129" s="493"/>
      <c r="O129" s="494">
        <f t="shared" si="87"/>
        <v>7.1688202023506162E-2</v>
      </c>
      <c r="P129" s="494">
        <f t="shared" si="87"/>
        <v>6.9837824599981779E-2</v>
      </c>
      <c r="Q129" s="450">
        <f t="shared" si="87"/>
        <v>45888</v>
      </c>
      <c r="R129" s="450">
        <v>46136</v>
      </c>
      <c r="S129" s="509" t="s">
        <v>146</v>
      </c>
      <c r="T129" s="510">
        <f>Tabla3[[#This Row],[Cantidad]]*Tabla3[[#This Row],[Cortes]]</f>
        <v>2991.7808</v>
      </c>
      <c r="U129" s="511">
        <f t="shared" si="43"/>
        <v>2978.1918250944063</v>
      </c>
      <c r="V129" s="511">
        <f t="shared" si="44"/>
        <v>2977.6269592188296</v>
      </c>
      <c r="W129" s="497">
        <f>IF(Tabla3[[#This Row],[Fecha de operación]]=$C$1,0,U129-V129)</f>
        <v>0.56486587557674284</v>
      </c>
      <c r="X129" s="512" t="str">
        <f t="shared" si="72"/>
        <v>Vigente</v>
      </c>
      <c r="Y129" s="498" t="s">
        <v>450</v>
      </c>
      <c r="Z129" s="469">
        <f t="shared" si="73"/>
        <v>24</v>
      </c>
      <c r="AA129" s="499">
        <f t="shared" si="90"/>
        <v>1.9250968623984728</v>
      </c>
      <c r="AB129" s="499">
        <f t="shared" si="90"/>
        <v>1.8912026332878413</v>
      </c>
      <c r="AC129" s="469" t="s">
        <v>451</v>
      </c>
      <c r="AD129" s="469" t="s">
        <v>454</v>
      </c>
      <c r="AG129" s="605">
        <f>+IF(Tabla3[[#This Row],[Amortización k | cupón de intereses]]="Amortización de K",Tabla3[[#This Row],[Valor Nominal]],0)</f>
        <v>0</v>
      </c>
      <c r="AH129" s="605">
        <f>+IF(AND(Tabla3[[#This Row],[Amortización k | cupón de intereses]]="Cupón de interés",Tabla3[[#This Row],[Estado]]="Vigente"),Tabla3[[#This Row],[Valor Nominal]],0)</f>
        <v>2991.7808</v>
      </c>
      <c r="AI129" s="618">
        <f>+IF(Tabla3[[#This Row],[Amortización k | cupón de intereses]]="Amortización de K",SUMIFS($AH$7:$AH$557,Tabla3[Código Emisión],Tabla3[[#This Row],[Código Emisión]],Tabla3[Fecha de operación],Tabla3[[#This Row],[Fecha de operación]]),0)-Tabla3[[#This Row],[Accrued]]*Tabla3[[#This Row],[Valor Nominal]]</f>
        <v>0</v>
      </c>
      <c r="AJ129" s="605">
        <f>+IF(Tabla3[[#This Row],[Amortización k | cupón de intereses]]="Amortización de K",IF(Tabla3[[#This Row],[Precio Clean]]&gt;1,Tabla3[[#This Row],[Valor Nominal]]*(Tabla3[[#This Row],[Precio Clean]]-1),0),0)</f>
        <v>0</v>
      </c>
      <c r="AK129" s="605">
        <f>+IF(Tabla3[[#This Row],[Amortización k | cupón de intereses]]="Amortización de K",IF(Tabla3[[#This Row],[Precio Clean]]&lt;1,Tabla3[[#This Row],[Valor Nominal]]*(Tabla3[[#This Row],[Precio Clean]]-1),0),0)</f>
        <v>0</v>
      </c>
    </row>
    <row r="130" spans="1:37">
      <c r="A130" s="502"/>
      <c r="B130" s="437" t="str">
        <f t="shared" si="88"/>
        <v>CECON SAE</v>
      </c>
      <c r="C130" s="437" t="str">
        <f t="shared" si="86"/>
        <v>PYCEC01F3409</v>
      </c>
      <c r="D130" s="437" t="str">
        <f t="shared" si="86"/>
        <v>Bonos Corporativos</v>
      </c>
      <c r="E130" s="437" t="str">
        <f t="shared" si="86"/>
        <v>AA-py</v>
      </c>
      <c r="F130" s="437" t="str">
        <f t="shared" si="86"/>
        <v>Corporativo</v>
      </c>
      <c r="G130" s="437" t="s">
        <v>298</v>
      </c>
      <c r="H130" s="529">
        <f t="shared" si="89"/>
        <v>200</v>
      </c>
      <c r="I130" s="492">
        <v>14.958904</v>
      </c>
      <c r="J130" s="451"/>
      <c r="K130" s="450"/>
      <c r="L130" s="451"/>
      <c r="M130" s="493"/>
      <c r="N130" s="493"/>
      <c r="O130" s="494">
        <f t="shared" si="87"/>
        <v>7.1688202023506162E-2</v>
      </c>
      <c r="P130" s="494">
        <f t="shared" si="87"/>
        <v>6.9837824599981779E-2</v>
      </c>
      <c r="Q130" s="450">
        <f t="shared" si="87"/>
        <v>45888</v>
      </c>
      <c r="R130" s="450">
        <v>46045</v>
      </c>
      <c r="S130" s="509" t="s">
        <v>146</v>
      </c>
      <c r="T130" s="510">
        <f>Tabla3[[#This Row],[Cantidad]]*Tabla3[[#This Row],[Cortes]]</f>
        <v>2991.7808</v>
      </c>
      <c r="U130" s="511" t="b">
        <f t="shared" si="43"/>
        <v>0</v>
      </c>
      <c r="V130" s="511" t="b">
        <f t="shared" si="44"/>
        <v>0</v>
      </c>
      <c r="W130" s="497">
        <f>IF(Tabla3[[#This Row],[Fecha de operación]]=$C$1,0,U130-V130)</f>
        <v>0</v>
      </c>
      <c r="X130" s="512" t="str">
        <f t="shared" si="72"/>
        <v>Vencido</v>
      </c>
      <c r="Y130" s="498" t="s">
        <v>450</v>
      </c>
      <c r="Z130" s="469">
        <f t="shared" si="73"/>
        <v>-67</v>
      </c>
      <c r="AA130" s="499">
        <f t="shared" si="90"/>
        <v>1.9250968623984728</v>
      </c>
      <c r="AB130" s="499">
        <f t="shared" si="90"/>
        <v>1.8912026332878413</v>
      </c>
      <c r="AC130" s="469" t="s">
        <v>451</v>
      </c>
      <c r="AD130" s="469" t="s">
        <v>454</v>
      </c>
      <c r="AG130" s="605">
        <f>+IF(Tabla3[[#This Row],[Amortización k | cupón de intereses]]="Amortización de K",Tabla3[[#This Row],[Valor Nominal]],0)</f>
        <v>0</v>
      </c>
      <c r="AH130" s="605">
        <f>+IF(AND(Tabla3[[#This Row],[Amortización k | cupón de intereses]]="Cupón de interés",Tabla3[[#This Row],[Estado]]="Vigente"),Tabla3[[#This Row],[Valor Nominal]],0)</f>
        <v>0</v>
      </c>
      <c r="AI130" s="618">
        <f>+IF(Tabla3[[#This Row],[Amortización k | cupón de intereses]]="Amortización de K",SUMIFS($AH$7:$AH$557,Tabla3[Código Emisión],Tabla3[[#This Row],[Código Emisión]],Tabla3[Fecha de operación],Tabla3[[#This Row],[Fecha de operación]]),0)-Tabla3[[#This Row],[Accrued]]*Tabla3[[#This Row],[Valor Nominal]]</f>
        <v>0</v>
      </c>
      <c r="AJ130" s="605">
        <f>+IF(Tabla3[[#This Row],[Amortización k | cupón de intereses]]="Amortización de K",IF(Tabla3[[#This Row],[Precio Clean]]&gt;1,Tabla3[[#This Row],[Valor Nominal]]*(Tabla3[[#This Row],[Precio Clean]]-1),0),0)</f>
        <v>0</v>
      </c>
      <c r="AK130" s="605">
        <f>+IF(Tabla3[[#This Row],[Amortización k | cupón de intereses]]="Amortización de K",IF(Tabla3[[#This Row],[Precio Clean]]&lt;1,Tabla3[[#This Row],[Valor Nominal]]*(Tabla3[[#This Row],[Precio Clean]]-1),0),0)</f>
        <v>0</v>
      </c>
    </row>
    <row r="131" spans="1:37">
      <c r="A131" s="502"/>
      <c r="B131" s="437" t="str">
        <f t="shared" si="88"/>
        <v>CECON SAE</v>
      </c>
      <c r="C131" s="437" t="str">
        <f t="shared" si="86"/>
        <v>PYCEC01F3409</v>
      </c>
      <c r="D131" s="437" t="str">
        <f t="shared" si="86"/>
        <v>Bonos Corporativos</v>
      </c>
      <c r="E131" s="437" t="str">
        <f t="shared" si="86"/>
        <v>AA-py</v>
      </c>
      <c r="F131" s="437" t="str">
        <f t="shared" si="86"/>
        <v>Corporativo</v>
      </c>
      <c r="G131" s="437" t="s">
        <v>298</v>
      </c>
      <c r="H131" s="529">
        <f t="shared" si="89"/>
        <v>200</v>
      </c>
      <c r="I131" s="492">
        <v>14.958904</v>
      </c>
      <c r="J131" s="451"/>
      <c r="K131" s="450"/>
      <c r="L131" s="451"/>
      <c r="M131" s="493"/>
      <c r="N131" s="493"/>
      <c r="O131" s="494">
        <f t="shared" si="87"/>
        <v>7.1688202023506162E-2</v>
      </c>
      <c r="P131" s="494">
        <f t="shared" si="87"/>
        <v>6.9837824599981779E-2</v>
      </c>
      <c r="Q131" s="450">
        <f t="shared" si="87"/>
        <v>45888</v>
      </c>
      <c r="R131" s="450">
        <v>45954</v>
      </c>
      <c r="S131" s="509" t="s">
        <v>146</v>
      </c>
      <c r="T131" s="510">
        <f>Tabla3[[#This Row],[Cantidad]]*Tabla3[[#This Row],[Cortes]]</f>
        <v>2991.7808</v>
      </c>
      <c r="U131" s="511" t="b">
        <f t="shared" si="43"/>
        <v>0</v>
      </c>
      <c r="V131" s="511" t="b">
        <f t="shared" si="44"/>
        <v>0</v>
      </c>
      <c r="W131" s="497">
        <f>IF(Tabla3[[#This Row],[Fecha de operación]]=$C$1,0,U131-V131)</f>
        <v>0</v>
      </c>
      <c r="X131" s="512" t="str">
        <f t="shared" si="72"/>
        <v>Vencido</v>
      </c>
      <c r="Y131" s="498" t="s">
        <v>450</v>
      </c>
      <c r="Z131" s="469">
        <f t="shared" si="73"/>
        <v>-158</v>
      </c>
      <c r="AA131" s="499">
        <f t="shared" si="90"/>
        <v>1.9250968623984728</v>
      </c>
      <c r="AB131" s="499">
        <f t="shared" si="90"/>
        <v>1.8912026332878413</v>
      </c>
      <c r="AC131" s="469" t="s">
        <v>451</v>
      </c>
      <c r="AD131" s="469" t="s">
        <v>454</v>
      </c>
      <c r="AG131" s="605">
        <f>+IF(Tabla3[[#This Row],[Amortización k | cupón de intereses]]="Amortización de K",Tabla3[[#This Row],[Valor Nominal]],0)</f>
        <v>0</v>
      </c>
      <c r="AH131" s="605">
        <f>+IF(AND(Tabla3[[#This Row],[Amortización k | cupón de intereses]]="Cupón de interés",Tabla3[[#This Row],[Estado]]="Vigente"),Tabla3[[#This Row],[Valor Nominal]],0)</f>
        <v>0</v>
      </c>
      <c r="AI131" s="618">
        <f>+IF(Tabla3[[#This Row],[Amortización k | cupón de intereses]]="Amortización de K",SUMIFS($AH$7:$AH$557,Tabla3[Código Emisión],Tabla3[[#This Row],[Código Emisión]],Tabla3[Fecha de operación],Tabla3[[#This Row],[Fecha de operación]]),0)-Tabla3[[#This Row],[Accrued]]*Tabla3[[#This Row],[Valor Nominal]]</f>
        <v>0</v>
      </c>
      <c r="AJ131" s="605">
        <f>+IF(Tabla3[[#This Row],[Amortización k | cupón de intereses]]="Amortización de K",IF(Tabla3[[#This Row],[Precio Clean]]&gt;1,Tabla3[[#This Row],[Valor Nominal]]*(Tabla3[[#This Row],[Precio Clean]]-1),0),0)</f>
        <v>0</v>
      </c>
      <c r="AK131" s="605">
        <f>+IF(Tabla3[[#This Row],[Amortización k | cupón de intereses]]="Amortización de K",IF(Tabla3[[#This Row],[Precio Clean]]&lt;1,Tabla3[[#This Row],[Valor Nominal]]*(Tabla3[[#This Row],[Precio Clean]]-1),0),0)</f>
        <v>0</v>
      </c>
    </row>
    <row r="132" spans="1:37" ht="15">
      <c r="A132" s="500">
        <f>+A120+1</f>
        <v>16</v>
      </c>
      <c r="B132" s="475" t="s">
        <v>485</v>
      </c>
      <c r="C132" s="475" t="s">
        <v>503</v>
      </c>
      <c r="D132" s="475" t="s">
        <v>453</v>
      </c>
      <c r="E132" s="475" t="s">
        <v>487</v>
      </c>
      <c r="F132" s="475" t="s">
        <v>297</v>
      </c>
      <c r="G132" s="475" t="s">
        <v>298</v>
      </c>
      <c r="H132" s="475">
        <v>1</v>
      </c>
      <c r="I132" s="477">
        <v>200000</v>
      </c>
      <c r="J132" s="478">
        <v>6.4500000000000002E-2</v>
      </c>
      <c r="K132" s="479">
        <f>_xlfn.MAXIFS(R:R,C:C,C132,AD:AD,"Cupón de interés",X:X,"Vencido")</f>
        <v>46101</v>
      </c>
      <c r="L132" s="478">
        <f>+Tabla3[[#This Row],[Tasa de Interés]]*($U$5-Tabla3[[#This Row],[Last coupon]])/365</f>
        <v>1.9438356164383562E-3</v>
      </c>
      <c r="M132" s="480">
        <f>+Tabla3[[#This Row],[Precio Dirty]]-Tabla3[[#This Row],[Accrued]]</f>
        <v>1.0012963615419077</v>
      </c>
      <c r="N132" s="481">
        <f>SUMIFS(U:U,C:C,C132,Q:Q,Q132)/SUMIFS(T:T,C:C,C132,Q:Q,Q132,AD:AD,"Amortización de K")</f>
        <v>1.003240197158346</v>
      </c>
      <c r="O132" s="482">
        <v>6.4554068446159352E-2</v>
      </c>
      <c r="P132" s="482">
        <v>6.3544578171482513E-2</v>
      </c>
      <c r="Q132" s="484">
        <v>45889</v>
      </c>
      <c r="R132" s="484">
        <v>46651</v>
      </c>
      <c r="S132" s="504" t="s">
        <v>146</v>
      </c>
      <c r="T132" s="505">
        <f>Tabla3[[#This Row],[Cantidad]]*Tabla3[[#This Row],[Cortes]]</f>
        <v>200000</v>
      </c>
      <c r="U132" s="506">
        <f t="shared" si="43"/>
        <v>182352.23164370123</v>
      </c>
      <c r="V132" s="506">
        <f t="shared" si="44"/>
        <v>182320.98164895779</v>
      </c>
      <c r="W132" s="487">
        <f>IF(Tabla3[[#This Row],[Fecha de operación]]=$C$1,0,U132-V132)</f>
        <v>31.249994743440766</v>
      </c>
      <c r="X132" s="507" t="str">
        <f t="shared" si="72"/>
        <v>Vigente</v>
      </c>
      <c r="Y132" s="489" t="s">
        <v>488</v>
      </c>
      <c r="Z132" s="488">
        <f t="shared" si="73"/>
        <v>539</v>
      </c>
      <c r="AA132" s="508">
        <f t="shared" ref="AA132" si="91">IF(Y132="Mensual",DURATION($C$1,$C$1+Z132*12,J132/12,O132/12,1)/12,DURATION($C$1,R132,J132,O132,IF(Y132="Cupón cero",1,IF(Y132="Al vencimiento",1,IF(Y132="Anual",1,IF(Y132="Semestral",2,IF(Y132="Trimestral",4,"")))))))</f>
        <v>1.4258446994656608</v>
      </c>
      <c r="AB132" s="508">
        <f t="shared" ref="AB132" si="92">IF(Y132="Mensual",MDURATION($C$1,$C$1+Z132*12,J132/12,O132/12,1)/12,MDURATION($C$1,R132,J132,O132,IF(Y132="Cupón cero",1,IF(Y132="Al vencimiento",1,IF(Y132="Anual",1,IF(Y132="Semestral",2,IF(Y132="Trimestral",4,"")))))))</f>
        <v>1.3812616692948043</v>
      </c>
      <c r="AC132" s="488" t="s">
        <v>451</v>
      </c>
      <c r="AD132" s="488" t="s">
        <v>452</v>
      </c>
      <c r="AG132" s="605">
        <f>+IF(Tabla3[[#This Row],[Amortización k | cupón de intereses]]="Amortización de K",Tabla3[[#This Row],[Valor Nominal]],0)</f>
        <v>200000</v>
      </c>
      <c r="AH132" s="605">
        <f>+IF(AND(Tabla3[[#This Row],[Amortización k | cupón de intereses]]="Cupón de interés",Tabla3[[#This Row],[Estado]]="Vigente"),Tabla3[[#This Row],[Valor Nominal]],0)</f>
        <v>0</v>
      </c>
      <c r="AI132" s="618">
        <f>+IF(Tabla3[[#This Row],[Amortización k | cupón de intereses]]="Amortización de K",SUMIFS($AH$7:$AH$557,Tabla3[Código Emisión],Tabla3[[#This Row],[Código Emisión]],Tabla3[Fecha de operación],Tabla3[[#This Row],[Fecha de operación]]),0)-Tabla3[[#This Row],[Accrued]]*Tabla3[[#This Row],[Valor Nominal]]</f>
        <v>19049.562876712331</v>
      </c>
      <c r="AJ132" s="605">
        <f>+IF(Tabla3[[#This Row],[Amortización k | cupón de intereses]]="Amortización de K",IF(Tabla3[[#This Row],[Precio Clean]]&gt;1,Tabla3[[#This Row],[Valor Nominal]]*(Tabla3[[#This Row],[Precio Clean]]-1),0),0)</f>
        <v>259.27230838154179</v>
      </c>
      <c r="AK132" s="605">
        <f>+IF(Tabla3[[#This Row],[Amortización k | cupón de intereses]]="Amortización de K",IF(Tabla3[[#This Row],[Precio Clean]]&lt;1,Tabla3[[#This Row],[Valor Nominal]]*(Tabla3[[#This Row],[Precio Clean]]-1),0),0)</f>
        <v>0</v>
      </c>
    </row>
    <row r="133" spans="1:37">
      <c r="A133" s="502"/>
      <c r="B133" s="437" t="str">
        <f>+B132</f>
        <v>Banco Nacional de Fomento</v>
      </c>
      <c r="C133" s="437" t="str">
        <f t="shared" ref="C133:C138" si="93">+C132</f>
        <v>BNF_6,45%_210927_200K_BB1814-1820-2</v>
      </c>
      <c r="D133" s="437" t="s">
        <v>453</v>
      </c>
      <c r="E133" s="437" t="s">
        <v>487</v>
      </c>
      <c r="F133" s="437" t="s">
        <v>297</v>
      </c>
      <c r="G133" s="437" t="s">
        <v>298</v>
      </c>
      <c r="H133" s="437">
        <f>+H132</f>
        <v>1</v>
      </c>
      <c r="I133" s="492">
        <v>35.340000000000003</v>
      </c>
      <c r="J133" s="451"/>
      <c r="K133" s="450"/>
      <c r="L133" s="451"/>
      <c r="M133" s="493"/>
      <c r="N133" s="493"/>
      <c r="O133" s="494">
        <f t="shared" ref="O133:Q138" si="94">+O132</f>
        <v>6.4554068446159352E-2</v>
      </c>
      <c r="P133" s="494">
        <f t="shared" si="94"/>
        <v>6.3544578171482513E-2</v>
      </c>
      <c r="Q133" s="450">
        <f t="shared" si="94"/>
        <v>45889</v>
      </c>
      <c r="R133" s="450">
        <v>46651</v>
      </c>
      <c r="S133" s="509" t="s">
        <v>146</v>
      </c>
      <c r="T133" s="510">
        <f>Tabla3[[#This Row],[Cantidad]]*Tabla3[[#This Row],[Cortes]]</f>
        <v>35.340000000000003</v>
      </c>
      <c r="U133" s="511">
        <f t="shared" si="43"/>
        <v>32.221639331442006</v>
      </c>
      <c r="V133" s="511">
        <f t="shared" si="44"/>
        <v>32.216117457370849</v>
      </c>
      <c r="W133" s="497">
        <f>IF(Tabla3[[#This Row],[Fecha de operación]]=$C$1,0,U133-V133)</f>
        <v>5.5218740711566738E-3</v>
      </c>
      <c r="X133" s="512" t="str">
        <f t="shared" si="72"/>
        <v>Vigente</v>
      </c>
      <c r="Y133" s="498" t="s">
        <v>450</v>
      </c>
      <c r="Z133" s="469">
        <f t="shared" si="73"/>
        <v>539</v>
      </c>
      <c r="AA133" s="499">
        <f>+AA132</f>
        <v>1.4258446994656608</v>
      </c>
      <c r="AB133" s="499">
        <f>+AB132</f>
        <v>1.3812616692948043</v>
      </c>
      <c r="AC133" s="469" t="s">
        <v>451</v>
      </c>
      <c r="AD133" s="469" t="s">
        <v>454</v>
      </c>
      <c r="AG133" s="605">
        <f>+IF(Tabla3[[#This Row],[Amortización k | cupón de intereses]]="Amortización de K",Tabla3[[#This Row],[Valor Nominal]],0)</f>
        <v>0</v>
      </c>
      <c r="AH133" s="605">
        <f>+IF(AND(Tabla3[[#This Row],[Amortización k | cupón de intereses]]="Cupón de interés",Tabla3[[#This Row],[Estado]]="Vigente"),Tabla3[[#This Row],[Valor Nominal]],0)</f>
        <v>35.340000000000003</v>
      </c>
      <c r="AI133" s="618">
        <f>+IF(Tabla3[[#This Row],[Amortización k | cupón de intereses]]="Amortización de K",SUMIFS($AH$7:$AH$557,Tabla3[Código Emisión],Tabla3[[#This Row],[Código Emisión]],Tabla3[Fecha de operación],Tabla3[[#This Row],[Fecha de operación]]),0)-Tabla3[[#This Row],[Accrued]]*Tabla3[[#This Row],[Valor Nominal]]</f>
        <v>0</v>
      </c>
      <c r="AJ133" s="605">
        <f>+IF(Tabla3[[#This Row],[Amortización k | cupón de intereses]]="Amortización de K",IF(Tabla3[[#This Row],[Precio Clean]]&gt;1,Tabla3[[#This Row],[Valor Nominal]]*(Tabla3[[#This Row],[Precio Clean]]-1),0),0)</f>
        <v>0</v>
      </c>
      <c r="AK133" s="605">
        <f>+IF(Tabla3[[#This Row],[Amortización k | cupón de intereses]]="Amortización de K",IF(Tabla3[[#This Row],[Precio Clean]]&lt;1,Tabla3[[#This Row],[Valor Nominal]]*(Tabla3[[#This Row],[Precio Clean]]-1),0),0)</f>
        <v>0</v>
      </c>
    </row>
    <row r="134" spans="1:37">
      <c r="A134" s="502"/>
      <c r="B134" s="437" t="str">
        <f t="shared" ref="B134:B138" si="95">+B133</f>
        <v>Banco Nacional de Fomento</v>
      </c>
      <c r="C134" s="437" t="str">
        <f t="shared" si="93"/>
        <v>BNF_6,45%_210927_200K_BB1814-1820-2</v>
      </c>
      <c r="D134" s="437" t="s">
        <v>453</v>
      </c>
      <c r="E134" s="437" t="s">
        <v>487</v>
      </c>
      <c r="F134" s="437" t="s">
        <v>297</v>
      </c>
      <c r="G134" s="437" t="s">
        <v>298</v>
      </c>
      <c r="H134" s="437">
        <f t="shared" ref="H134:H138" si="96">+H133</f>
        <v>1</v>
      </c>
      <c r="I134" s="492">
        <v>6432.32</v>
      </c>
      <c r="J134" s="451"/>
      <c r="K134" s="450"/>
      <c r="L134" s="451"/>
      <c r="M134" s="493"/>
      <c r="N134" s="493"/>
      <c r="O134" s="494">
        <f t="shared" si="94"/>
        <v>6.4554068446159352E-2</v>
      </c>
      <c r="P134" s="494">
        <f t="shared" si="94"/>
        <v>6.3544578171482513E-2</v>
      </c>
      <c r="Q134" s="450">
        <f t="shared" si="94"/>
        <v>45889</v>
      </c>
      <c r="R134" s="450">
        <v>46650</v>
      </c>
      <c r="S134" s="509" t="s">
        <v>146</v>
      </c>
      <c r="T134" s="510">
        <f>Tabla3[[#This Row],[Cantidad]]*Tabla3[[#This Row],[Cortes]]</f>
        <v>6432.32</v>
      </c>
      <c r="U134" s="511">
        <f t="shared" si="43"/>
        <v>5865.744755329526</v>
      </c>
      <c r="V134" s="511">
        <f t="shared" si="44"/>
        <v>5864.7395332320611</v>
      </c>
      <c r="W134" s="497">
        <f>IF(Tabla3[[#This Row],[Fecha de operación]]=$C$1,0,U134-V134)</f>
        <v>1.0052220974648662</v>
      </c>
      <c r="X134" s="512" t="str">
        <f t="shared" si="72"/>
        <v>Vigente</v>
      </c>
      <c r="Y134" s="498" t="s">
        <v>450</v>
      </c>
      <c r="Z134" s="469">
        <f t="shared" si="73"/>
        <v>538</v>
      </c>
      <c r="AA134" s="499">
        <f t="shared" ref="AA134:AA138" si="97">+AA133</f>
        <v>1.4258446994656608</v>
      </c>
      <c r="AB134" s="499">
        <f>+AB133</f>
        <v>1.3812616692948043</v>
      </c>
      <c r="AC134" s="469" t="s">
        <v>451</v>
      </c>
      <c r="AD134" s="469" t="s">
        <v>454</v>
      </c>
      <c r="AG134" s="605">
        <f>+IF(Tabla3[[#This Row],[Amortización k | cupón de intereses]]="Amortización de K",Tabla3[[#This Row],[Valor Nominal]],0)</f>
        <v>0</v>
      </c>
      <c r="AH134" s="605">
        <f>+IF(AND(Tabla3[[#This Row],[Amortización k | cupón de intereses]]="Cupón de interés",Tabla3[[#This Row],[Estado]]="Vigente"),Tabla3[[#This Row],[Valor Nominal]],0)</f>
        <v>6432.32</v>
      </c>
      <c r="AI134" s="618">
        <f>+IF(Tabla3[[#This Row],[Amortización k | cupón de intereses]]="Amortización de K",SUMIFS($AH$7:$AH$557,Tabla3[Código Emisión],Tabla3[[#This Row],[Código Emisión]],Tabla3[Fecha de operación],Tabla3[[#This Row],[Fecha de operación]]),0)-Tabla3[[#This Row],[Accrued]]*Tabla3[[#This Row],[Valor Nominal]]</f>
        <v>0</v>
      </c>
      <c r="AJ134" s="605">
        <f>+IF(Tabla3[[#This Row],[Amortización k | cupón de intereses]]="Amortización de K",IF(Tabla3[[#This Row],[Precio Clean]]&gt;1,Tabla3[[#This Row],[Valor Nominal]]*(Tabla3[[#This Row],[Precio Clean]]-1),0),0)</f>
        <v>0</v>
      </c>
      <c r="AK134" s="605">
        <f>+IF(Tabla3[[#This Row],[Amortización k | cupón de intereses]]="Amortización de K",IF(Tabla3[[#This Row],[Precio Clean]]&lt;1,Tabla3[[#This Row],[Valor Nominal]]*(Tabla3[[#This Row],[Precio Clean]]-1),0),0)</f>
        <v>0</v>
      </c>
    </row>
    <row r="135" spans="1:37">
      <c r="A135" s="502"/>
      <c r="B135" s="437" t="str">
        <f t="shared" si="95"/>
        <v>Banco Nacional de Fomento</v>
      </c>
      <c r="C135" s="437" t="str">
        <f t="shared" si="93"/>
        <v>BNF_6,45%_210927_200K_BB1814-1820-2</v>
      </c>
      <c r="D135" s="437" t="s">
        <v>453</v>
      </c>
      <c r="E135" s="437" t="s">
        <v>487</v>
      </c>
      <c r="F135" s="437" t="s">
        <v>297</v>
      </c>
      <c r="G135" s="437" t="s">
        <v>298</v>
      </c>
      <c r="H135" s="437">
        <f t="shared" si="96"/>
        <v>1</v>
      </c>
      <c r="I135" s="492">
        <v>6432.32</v>
      </c>
      <c r="J135" s="451"/>
      <c r="K135" s="450"/>
      <c r="L135" s="451"/>
      <c r="M135" s="493"/>
      <c r="N135" s="493"/>
      <c r="O135" s="494">
        <f t="shared" si="94"/>
        <v>6.4554068446159352E-2</v>
      </c>
      <c r="P135" s="494">
        <f t="shared" si="94"/>
        <v>6.3544578171482513E-2</v>
      </c>
      <c r="Q135" s="450">
        <f t="shared" si="94"/>
        <v>45889</v>
      </c>
      <c r="R135" s="450">
        <v>46468</v>
      </c>
      <c r="S135" s="509" t="s">
        <v>146</v>
      </c>
      <c r="T135" s="510">
        <f>Tabla3[[#This Row],[Cantidad]]*Tabla3[[#This Row],[Cortes]]</f>
        <v>6432.32</v>
      </c>
      <c r="U135" s="511">
        <f t="shared" si="43"/>
        <v>6051.5943249103993</v>
      </c>
      <c r="V135" s="511">
        <f t="shared" si="44"/>
        <v>6050.557253473773</v>
      </c>
      <c r="W135" s="497">
        <f>IF(Tabla3[[#This Row],[Fecha de operación]]=$C$1,0,U135-V135)</f>
        <v>1.0370714366263201</v>
      </c>
      <c r="X135" s="512" t="str">
        <f t="shared" si="72"/>
        <v>Vigente</v>
      </c>
      <c r="Y135" s="498" t="s">
        <v>450</v>
      </c>
      <c r="Z135" s="469">
        <f t="shared" si="73"/>
        <v>356</v>
      </c>
      <c r="AA135" s="499">
        <f t="shared" si="97"/>
        <v>1.4258446994656608</v>
      </c>
      <c r="AB135" s="499">
        <f>+AB134</f>
        <v>1.3812616692948043</v>
      </c>
      <c r="AC135" s="469" t="s">
        <v>451</v>
      </c>
      <c r="AD135" s="469" t="s">
        <v>454</v>
      </c>
      <c r="AG135" s="605">
        <f>+IF(Tabla3[[#This Row],[Amortización k | cupón de intereses]]="Amortización de K",Tabla3[[#This Row],[Valor Nominal]],0)</f>
        <v>0</v>
      </c>
      <c r="AH135" s="605">
        <f>+IF(AND(Tabla3[[#This Row],[Amortización k | cupón de intereses]]="Cupón de interés",Tabla3[[#This Row],[Estado]]="Vigente"),Tabla3[[#This Row],[Valor Nominal]],0)</f>
        <v>6432.32</v>
      </c>
      <c r="AI135" s="618">
        <f>+IF(Tabla3[[#This Row],[Amortización k | cupón de intereses]]="Amortización de K",SUMIFS($AH$7:$AH$557,Tabla3[Código Emisión],Tabla3[[#This Row],[Código Emisión]],Tabla3[Fecha de operación],Tabla3[[#This Row],[Fecha de operación]]),0)-Tabla3[[#This Row],[Accrued]]*Tabla3[[#This Row],[Valor Nominal]]</f>
        <v>0</v>
      </c>
      <c r="AJ135" s="605">
        <f>+IF(Tabla3[[#This Row],[Amortización k | cupón de intereses]]="Amortización de K",IF(Tabla3[[#This Row],[Precio Clean]]&gt;1,Tabla3[[#This Row],[Valor Nominal]]*(Tabla3[[#This Row],[Precio Clean]]-1),0),0)</f>
        <v>0</v>
      </c>
      <c r="AK135" s="605">
        <f>+IF(Tabla3[[#This Row],[Amortización k | cupón de intereses]]="Amortización de K",IF(Tabla3[[#This Row],[Precio Clean]]&lt;1,Tabla3[[#This Row],[Valor Nominal]]*(Tabla3[[#This Row],[Precio Clean]]-1),0),0)</f>
        <v>0</v>
      </c>
    </row>
    <row r="136" spans="1:37">
      <c r="A136" s="502"/>
      <c r="B136" s="437" t="str">
        <f t="shared" si="95"/>
        <v>Banco Nacional de Fomento</v>
      </c>
      <c r="C136" s="437" t="str">
        <f t="shared" si="93"/>
        <v>BNF_6,45%_210927_200K_BB1814-1820-2</v>
      </c>
      <c r="D136" s="437" t="s">
        <v>453</v>
      </c>
      <c r="E136" s="437" t="s">
        <v>487</v>
      </c>
      <c r="F136" s="437" t="s">
        <v>297</v>
      </c>
      <c r="G136" s="437" t="s">
        <v>298</v>
      </c>
      <c r="H136" s="437">
        <f t="shared" si="96"/>
        <v>1</v>
      </c>
      <c r="I136" s="492">
        <v>6538.35</v>
      </c>
      <c r="J136" s="451"/>
      <c r="K136" s="450"/>
      <c r="L136" s="451"/>
      <c r="M136" s="493"/>
      <c r="N136" s="493"/>
      <c r="O136" s="494">
        <f t="shared" si="94"/>
        <v>6.4554068446159352E-2</v>
      </c>
      <c r="P136" s="494">
        <f t="shared" si="94"/>
        <v>6.3544578171482513E-2</v>
      </c>
      <c r="Q136" s="450">
        <f t="shared" si="94"/>
        <v>45889</v>
      </c>
      <c r="R136" s="450">
        <v>46286</v>
      </c>
      <c r="S136" s="509" t="s">
        <v>146</v>
      </c>
      <c r="T136" s="510">
        <f>Tabla3[[#This Row],[Cantidad]]*Tabla3[[#This Row],[Cortes]]</f>
        <v>6538.35</v>
      </c>
      <c r="U136" s="511">
        <f t="shared" si="43"/>
        <v>6346.2470683965994</v>
      </c>
      <c r="V136" s="511">
        <f t="shared" si="44"/>
        <v>6345.1595018461912</v>
      </c>
      <c r="W136" s="497">
        <f>IF(Tabla3[[#This Row],[Fecha de operación]]=$C$1,0,U136-V136)</f>
        <v>1.0875665504081553</v>
      </c>
      <c r="X136" s="512" t="str">
        <f t="shared" si="72"/>
        <v>Vigente</v>
      </c>
      <c r="Y136" s="498" t="s">
        <v>450</v>
      </c>
      <c r="Z136" s="469">
        <f t="shared" si="73"/>
        <v>174</v>
      </c>
      <c r="AA136" s="499">
        <f t="shared" si="97"/>
        <v>1.4258446994656608</v>
      </c>
      <c r="AB136" s="499">
        <f>+AB135</f>
        <v>1.3812616692948043</v>
      </c>
      <c r="AC136" s="469" t="s">
        <v>451</v>
      </c>
      <c r="AD136" s="469" t="s">
        <v>454</v>
      </c>
      <c r="AG136" s="605">
        <f>+IF(Tabla3[[#This Row],[Amortización k | cupón de intereses]]="Amortización de K",Tabla3[[#This Row],[Valor Nominal]],0)</f>
        <v>0</v>
      </c>
      <c r="AH136" s="605">
        <f>+IF(AND(Tabla3[[#This Row],[Amortización k | cupón de intereses]]="Cupón de interés",Tabla3[[#This Row],[Estado]]="Vigente"),Tabla3[[#This Row],[Valor Nominal]],0)</f>
        <v>6538.35</v>
      </c>
      <c r="AI136" s="618">
        <f>+IF(Tabla3[[#This Row],[Amortización k | cupón de intereses]]="Amortización de K",SUMIFS($AH$7:$AH$557,Tabla3[Código Emisión],Tabla3[[#This Row],[Código Emisión]],Tabla3[Fecha de operación],Tabla3[[#This Row],[Fecha de operación]]),0)-Tabla3[[#This Row],[Accrued]]*Tabla3[[#This Row],[Valor Nominal]]</f>
        <v>0</v>
      </c>
      <c r="AJ136" s="605">
        <f>+IF(Tabla3[[#This Row],[Amortización k | cupón de intereses]]="Amortización de K",IF(Tabla3[[#This Row],[Precio Clean]]&gt;1,Tabla3[[#This Row],[Valor Nominal]]*(Tabla3[[#This Row],[Precio Clean]]-1),0),0)</f>
        <v>0</v>
      </c>
      <c r="AK136" s="605">
        <f>+IF(Tabla3[[#This Row],[Amortización k | cupón de intereses]]="Amortización de K",IF(Tabla3[[#This Row],[Precio Clean]]&lt;1,Tabla3[[#This Row],[Valor Nominal]]*(Tabla3[[#This Row],[Precio Clean]]-1),0),0)</f>
        <v>0</v>
      </c>
    </row>
    <row r="137" spans="1:37">
      <c r="A137" s="502"/>
      <c r="B137" s="437" t="str">
        <f t="shared" si="95"/>
        <v>Banco Nacional de Fomento</v>
      </c>
      <c r="C137" s="437" t="str">
        <f t="shared" si="93"/>
        <v>BNF_6,45%_210927_200K_BB1814-1820-2</v>
      </c>
      <c r="D137" s="437" t="s">
        <v>453</v>
      </c>
      <c r="E137" s="437" t="s">
        <v>487</v>
      </c>
      <c r="F137" s="437" t="s">
        <v>297</v>
      </c>
      <c r="G137" s="437" t="s">
        <v>298</v>
      </c>
      <c r="H137" s="437">
        <f t="shared" si="96"/>
        <v>1</v>
      </c>
      <c r="I137" s="492">
        <v>6326.3</v>
      </c>
      <c r="J137" s="451"/>
      <c r="K137" s="450"/>
      <c r="L137" s="451"/>
      <c r="M137" s="493"/>
      <c r="N137" s="493"/>
      <c r="O137" s="494">
        <f t="shared" si="94"/>
        <v>6.4554068446159352E-2</v>
      </c>
      <c r="P137" s="494">
        <f t="shared" si="94"/>
        <v>6.3544578171482513E-2</v>
      </c>
      <c r="Q137" s="450">
        <f t="shared" si="94"/>
        <v>45889</v>
      </c>
      <c r="R137" s="450">
        <v>46101</v>
      </c>
      <c r="S137" s="509" t="s">
        <v>146</v>
      </c>
      <c r="T137" s="510">
        <f>Tabla3[[#This Row],[Cantidad]]*Tabla3[[#This Row],[Cortes]]</f>
        <v>6326.3</v>
      </c>
      <c r="U137" s="511" t="b">
        <f t="shared" si="43"/>
        <v>0</v>
      </c>
      <c r="V137" s="511" t="b">
        <f t="shared" si="44"/>
        <v>0</v>
      </c>
      <c r="W137" s="497">
        <f>IF(Tabla3[[#This Row],[Fecha de operación]]=$C$1,0,U137-V137)</f>
        <v>0</v>
      </c>
      <c r="X137" s="512" t="str">
        <f t="shared" si="72"/>
        <v>Vencido</v>
      </c>
      <c r="Y137" s="498" t="s">
        <v>450</v>
      </c>
      <c r="Z137" s="469">
        <f t="shared" si="73"/>
        <v>-11</v>
      </c>
      <c r="AA137" s="499">
        <f t="shared" si="97"/>
        <v>1.4258446994656608</v>
      </c>
      <c r="AB137" s="499">
        <f>+AB136</f>
        <v>1.3812616692948043</v>
      </c>
      <c r="AC137" s="469" t="s">
        <v>451</v>
      </c>
      <c r="AD137" s="469" t="s">
        <v>454</v>
      </c>
      <c r="AG137" s="605">
        <f>+IF(Tabla3[[#This Row],[Amortización k | cupón de intereses]]="Amortización de K",Tabla3[[#This Row],[Valor Nominal]],0)</f>
        <v>0</v>
      </c>
      <c r="AH137" s="605">
        <f>+IF(AND(Tabla3[[#This Row],[Amortización k | cupón de intereses]]="Cupón de interés",Tabla3[[#This Row],[Estado]]="Vigente"),Tabla3[[#This Row],[Valor Nominal]],0)</f>
        <v>0</v>
      </c>
      <c r="AI137" s="618">
        <f>+IF(Tabla3[[#This Row],[Amortización k | cupón de intereses]]="Amortización de K",SUMIFS($AH$7:$AH$557,Tabla3[Código Emisión],Tabla3[[#This Row],[Código Emisión]],Tabla3[Fecha de operación],Tabla3[[#This Row],[Fecha de operación]]),0)-Tabla3[[#This Row],[Accrued]]*Tabla3[[#This Row],[Valor Nominal]]</f>
        <v>0</v>
      </c>
      <c r="AJ137" s="605">
        <f>+IF(Tabla3[[#This Row],[Amortización k | cupón de intereses]]="Amortización de K",IF(Tabla3[[#This Row],[Precio Clean]]&gt;1,Tabla3[[#This Row],[Valor Nominal]]*(Tabla3[[#This Row],[Precio Clean]]-1),0),0)</f>
        <v>0</v>
      </c>
      <c r="AK137" s="605">
        <f>+IF(Tabla3[[#This Row],[Amortización k | cupón de intereses]]="Amortización de K",IF(Tabla3[[#This Row],[Precio Clean]]&lt;1,Tabla3[[#This Row],[Valor Nominal]]*(Tabla3[[#This Row],[Precio Clean]]-1),0),0)</f>
        <v>0</v>
      </c>
    </row>
    <row r="138" spans="1:37">
      <c r="A138" s="502"/>
      <c r="B138" s="437" t="str">
        <f t="shared" si="95"/>
        <v>Banco Nacional de Fomento</v>
      </c>
      <c r="C138" s="437" t="str">
        <f t="shared" si="93"/>
        <v>BNF_6,45%_210927_200K_BB1814-1820-2</v>
      </c>
      <c r="D138" s="437" t="s">
        <v>453</v>
      </c>
      <c r="E138" s="437" t="s">
        <v>487</v>
      </c>
      <c r="F138" s="437" t="s">
        <v>297</v>
      </c>
      <c r="G138" s="437" t="s">
        <v>298</v>
      </c>
      <c r="H138" s="437">
        <f t="shared" si="96"/>
        <v>1</v>
      </c>
      <c r="I138" s="492">
        <v>6573.69</v>
      </c>
      <c r="J138" s="451"/>
      <c r="K138" s="450"/>
      <c r="L138" s="451"/>
      <c r="M138" s="493"/>
      <c r="N138" s="493"/>
      <c r="O138" s="494">
        <f t="shared" si="94"/>
        <v>6.4554068446159352E-2</v>
      </c>
      <c r="P138" s="494">
        <f t="shared" si="94"/>
        <v>6.3544578171482513E-2</v>
      </c>
      <c r="Q138" s="450">
        <f t="shared" si="94"/>
        <v>45889</v>
      </c>
      <c r="R138" s="450">
        <v>45922</v>
      </c>
      <c r="S138" s="509" t="s">
        <v>146</v>
      </c>
      <c r="T138" s="510">
        <f>Tabla3[[#This Row],[Cantidad]]*Tabla3[[#This Row],[Cortes]]</f>
        <v>6573.69</v>
      </c>
      <c r="U138" s="511" t="b">
        <f t="shared" ref="U138:U201" si="98">IF(X138="VIgente",(T138/(1+O138)^((R138-$U$5)/365)))</f>
        <v>0</v>
      </c>
      <c r="V138" s="511" t="b">
        <f t="shared" ref="V138:V201" si="99">IF(X138="VIgente",(T138/(1+O138)^((R138-$V$5)/365)))</f>
        <v>0</v>
      </c>
      <c r="W138" s="497">
        <f>IF(Tabla3[[#This Row],[Fecha de operación]]=$C$1,0,U138-V138)</f>
        <v>0</v>
      </c>
      <c r="X138" s="512" t="str">
        <f t="shared" si="72"/>
        <v>Vencido</v>
      </c>
      <c r="Y138" s="498" t="s">
        <v>450</v>
      </c>
      <c r="Z138" s="469">
        <f t="shared" si="73"/>
        <v>-190</v>
      </c>
      <c r="AA138" s="499">
        <f t="shared" si="97"/>
        <v>1.4258446994656608</v>
      </c>
      <c r="AB138" s="499">
        <f>+AB137</f>
        <v>1.3812616692948043</v>
      </c>
      <c r="AC138" s="469" t="s">
        <v>451</v>
      </c>
      <c r="AD138" s="469" t="s">
        <v>454</v>
      </c>
      <c r="AG138" s="605">
        <f>+IF(Tabla3[[#This Row],[Amortización k | cupón de intereses]]="Amortización de K",Tabla3[[#This Row],[Valor Nominal]],0)</f>
        <v>0</v>
      </c>
      <c r="AH138" s="605">
        <f>+IF(AND(Tabla3[[#This Row],[Amortización k | cupón de intereses]]="Cupón de interés",Tabla3[[#This Row],[Estado]]="Vigente"),Tabla3[[#This Row],[Valor Nominal]],0)</f>
        <v>0</v>
      </c>
      <c r="AI138" s="618">
        <f>+IF(Tabla3[[#This Row],[Amortización k | cupón de intereses]]="Amortización de K",SUMIFS($AH$7:$AH$557,Tabla3[Código Emisión],Tabla3[[#This Row],[Código Emisión]],Tabla3[Fecha de operación],Tabla3[[#This Row],[Fecha de operación]]),0)-Tabla3[[#This Row],[Accrued]]*Tabla3[[#This Row],[Valor Nominal]]</f>
        <v>0</v>
      </c>
      <c r="AJ138" s="605">
        <f>+IF(Tabla3[[#This Row],[Amortización k | cupón de intereses]]="Amortización de K",IF(Tabla3[[#This Row],[Precio Clean]]&gt;1,Tabla3[[#This Row],[Valor Nominal]]*(Tabla3[[#This Row],[Precio Clean]]-1),0),0)</f>
        <v>0</v>
      </c>
      <c r="AK138" s="605">
        <f>+IF(Tabla3[[#This Row],[Amortización k | cupón de intereses]]="Amortización de K",IF(Tabla3[[#This Row],[Precio Clean]]&lt;1,Tabla3[[#This Row],[Valor Nominal]]*(Tabla3[[#This Row],[Precio Clean]]-1),0),0)</f>
        <v>0</v>
      </c>
    </row>
    <row r="139" spans="1:37" ht="15">
      <c r="A139" s="500">
        <f>+A132+1</f>
        <v>17</v>
      </c>
      <c r="B139" s="475" t="s">
        <v>485</v>
      </c>
      <c r="C139" s="475" t="s">
        <v>486</v>
      </c>
      <c r="D139" s="475" t="s">
        <v>453</v>
      </c>
      <c r="E139" s="475" t="s">
        <v>487</v>
      </c>
      <c r="F139" s="475" t="s">
        <v>297</v>
      </c>
      <c r="G139" s="475" t="s">
        <v>298</v>
      </c>
      <c r="H139" s="475">
        <v>1</v>
      </c>
      <c r="I139" s="477">
        <v>200000</v>
      </c>
      <c r="J139" s="478">
        <v>6.4500000000000002E-2</v>
      </c>
      <c r="K139" s="479">
        <f>_xlfn.MAXIFS(R:R,C:C,C139,AD:AD,"Cupón de interés",X:X,"Vencido")</f>
        <v>46100</v>
      </c>
      <c r="L139" s="478">
        <f>+Tabla3[[#This Row],[Tasa de Interés]]*($U$5-Tabla3[[#This Row],[Last coupon]])/365</f>
        <v>2.1205479452054794E-3</v>
      </c>
      <c r="M139" s="480">
        <f>+Tabla3[[#This Row],[Precio Dirty]]-Tabla3[[#This Row],[Accrued]]</f>
        <v>1.0014141218932611</v>
      </c>
      <c r="N139" s="481">
        <f>SUMIFS(U:U,C:C,C139,Q:Q,Q139)/SUMIFS(T:T,C:C,C139,Q:Q,Q139,AD:AD,"Amortización de K")</f>
        <v>1.0035346698384666</v>
      </c>
      <c r="O139" s="482">
        <v>6.4459106326103202E-2</v>
      </c>
      <c r="P139" s="482">
        <v>6.3457801253336221E-2</v>
      </c>
      <c r="Q139" s="484">
        <v>45890</v>
      </c>
      <c r="R139" s="484">
        <v>46650</v>
      </c>
      <c r="S139" s="504" t="s">
        <v>146</v>
      </c>
      <c r="T139" s="510">
        <f>Tabla3[[#This Row],[Cantidad]]*Tabla3[[#This Row],[Cortes]]</f>
        <v>200000</v>
      </c>
      <c r="U139" s="511">
        <f t="shared" si="98"/>
        <v>182407.47010628707</v>
      </c>
      <c r="V139" s="511">
        <f t="shared" si="99"/>
        <v>182376.25521881026</v>
      </c>
      <c r="W139" s="497">
        <f>IF(Tabla3[[#This Row],[Fecha de operación]]=$C$1,0,U139-V139)</f>
        <v>31.214887476817239</v>
      </c>
      <c r="X139" s="507" t="str">
        <f t="shared" si="72"/>
        <v>Vigente</v>
      </c>
      <c r="Y139" s="489" t="s">
        <v>450</v>
      </c>
      <c r="Z139" s="488">
        <f t="shared" si="73"/>
        <v>538</v>
      </c>
      <c r="AA139" s="508">
        <f t="shared" ref="AA139" si="100">IF(Y139="Mensual",DURATION($C$1,$C$1+Z139*12,J139/12,O139/12,1)/12,DURATION($C$1,R139,J139,O139,IF(Y139="Cupón cero",1,IF(Y139="Al vencimiento",1,IF(Y139="Anual",1,IF(Y139="Semestral",2,IF(Y139="Trimestral",4,"")))))))</f>
        <v>1.4111815591429957</v>
      </c>
      <c r="AB139" s="508">
        <f t="shared" ref="AB139" si="101">IF(Y139="Mensual",MDURATION($C$1,$C$1+Z139*12,J139/12,O139/12,1)/12,MDURATION($C$1,R139,J139,O139,IF(Y139="Cupón cero",1,IF(Y139="Al vencimiento",1,IF(Y139="Anual",1,IF(Y139="Semestral",2,IF(Y139="Trimestral",4,"")))))))</f>
        <v>1.3888013358988611</v>
      </c>
      <c r="AC139" s="488" t="s">
        <v>451</v>
      </c>
      <c r="AD139" s="488" t="s">
        <v>452</v>
      </c>
      <c r="AG139" s="605">
        <f>+IF(Tabla3[[#This Row],[Amortización k | cupón de intereses]]="Amortización de K",Tabla3[[#This Row],[Valor Nominal]],0)</f>
        <v>200000</v>
      </c>
      <c r="AH139" s="605">
        <f>+IF(AND(Tabla3[[#This Row],[Amortización k | cupón de intereses]]="Cupón de interés",Tabla3[[#This Row],[Estado]]="Vigente"),Tabla3[[#This Row],[Valor Nominal]],0)</f>
        <v>0</v>
      </c>
      <c r="AI139" s="618">
        <f>+IF(Tabla3[[#This Row],[Amortización k | cupón de intereses]]="Amortización de K",SUMIFS($AH$7:$AH$557,Tabla3[Código Emisión],Tabla3[[#This Row],[Código Emisión]],Tabla3[Fecha de operación],Tabla3[[#This Row],[Fecha de operación]]),0)-Tabla3[[#This Row],[Accrued]]*Tabla3[[#This Row],[Valor Nominal]]</f>
        <v>19014.230410958906</v>
      </c>
      <c r="AJ139" s="605">
        <f>+IF(Tabla3[[#This Row],[Amortización k | cupón de intereses]]="Amortización de K",IF(Tabla3[[#This Row],[Precio Clean]]&gt;1,Tabla3[[#This Row],[Valor Nominal]]*(Tabla3[[#This Row],[Precio Clean]]-1),0),0)</f>
        <v>282.82437865221334</v>
      </c>
      <c r="AK139" s="605">
        <f>+IF(Tabla3[[#This Row],[Amortización k | cupón de intereses]]="Amortización de K",IF(Tabla3[[#This Row],[Precio Clean]]&lt;1,Tabla3[[#This Row],[Valor Nominal]]*(Tabla3[[#This Row],[Precio Clean]]-1),0),0)</f>
        <v>0</v>
      </c>
    </row>
    <row r="140" spans="1:37">
      <c r="A140" s="502"/>
      <c r="B140" s="437" t="str">
        <f>+B139</f>
        <v>Banco Nacional de Fomento</v>
      </c>
      <c r="C140" s="437" t="str">
        <f>+C139</f>
        <v>BNF_6,45%_200927_BB1790-1794_200K</v>
      </c>
      <c r="D140" s="437" t="s">
        <v>453</v>
      </c>
      <c r="E140" s="437" t="s">
        <v>487</v>
      </c>
      <c r="F140" s="437" t="s">
        <v>297</v>
      </c>
      <c r="G140" s="437" t="s">
        <v>298</v>
      </c>
      <c r="H140" s="437">
        <v>1</v>
      </c>
      <c r="I140" s="492">
        <v>6538.35</v>
      </c>
      <c r="J140" s="451"/>
      <c r="K140" s="450"/>
      <c r="L140" s="451"/>
      <c r="M140" s="493"/>
      <c r="N140" s="493"/>
      <c r="O140" s="494">
        <f t="shared" ref="O140:Q144" si="102">+O139</f>
        <v>6.4459106326103202E-2</v>
      </c>
      <c r="P140" s="494">
        <f t="shared" si="102"/>
        <v>6.3457801253336221E-2</v>
      </c>
      <c r="Q140" s="450">
        <f t="shared" si="102"/>
        <v>45890</v>
      </c>
      <c r="R140" s="450">
        <v>46650</v>
      </c>
      <c r="S140" s="509" t="s">
        <v>146</v>
      </c>
      <c r="T140" s="510">
        <f>Tabla3[[#This Row],[Cantidad]]*Tabla3[[#This Row],[Cortes]]</f>
        <v>6538.35</v>
      </c>
      <c r="U140" s="511">
        <f t="shared" si="98"/>
        <v>5963.2194108472104</v>
      </c>
      <c r="V140" s="511">
        <f t="shared" si="99"/>
        <v>5962.19894154954</v>
      </c>
      <c r="W140" s="497">
        <f>IF(Tabla3[[#This Row],[Fecha de operación]]=$C$1,0,U140-V140)</f>
        <v>1.0204692976703882</v>
      </c>
      <c r="X140" s="512" t="str">
        <f t="shared" si="72"/>
        <v>Vigente</v>
      </c>
      <c r="Y140" s="498" t="s">
        <v>450</v>
      </c>
      <c r="Z140" s="469">
        <f t="shared" si="73"/>
        <v>538</v>
      </c>
      <c r="AA140" s="499">
        <f>+AA139</f>
        <v>1.4111815591429957</v>
      </c>
      <c r="AB140" s="499">
        <f>+AB139</f>
        <v>1.3888013358988611</v>
      </c>
      <c r="AC140" s="469" t="s">
        <v>451</v>
      </c>
      <c r="AD140" s="469" t="s">
        <v>454</v>
      </c>
      <c r="AG140" s="605">
        <f>+IF(Tabla3[[#This Row],[Amortización k | cupón de intereses]]="Amortización de K",Tabla3[[#This Row],[Valor Nominal]],0)</f>
        <v>0</v>
      </c>
      <c r="AH140" s="605">
        <f>+IF(AND(Tabla3[[#This Row],[Amortización k | cupón de intereses]]="Cupón de interés",Tabla3[[#This Row],[Estado]]="Vigente"),Tabla3[[#This Row],[Valor Nominal]],0)</f>
        <v>6538.35</v>
      </c>
      <c r="AI140" s="618">
        <f>+IF(Tabla3[[#This Row],[Amortización k | cupón de intereses]]="Amortización de K",SUMIFS($AH$7:$AH$557,Tabla3[Código Emisión],Tabla3[[#This Row],[Código Emisión]],Tabla3[Fecha de operación],Tabla3[[#This Row],[Fecha de operación]]),0)-Tabla3[[#This Row],[Accrued]]*Tabla3[[#This Row],[Valor Nominal]]</f>
        <v>0</v>
      </c>
      <c r="AJ140" s="605">
        <f>+IF(Tabla3[[#This Row],[Amortización k | cupón de intereses]]="Amortización de K",IF(Tabla3[[#This Row],[Precio Clean]]&gt;1,Tabla3[[#This Row],[Valor Nominal]]*(Tabla3[[#This Row],[Precio Clean]]-1),0),0)</f>
        <v>0</v>
      </c>
      <c r="AK140" s="605">
        <f>+IF(Tabla3[[#This Row],[Amortización k | cupón de intereses]]="Amortización de K",IF(Tabla3[[#This Row],[Precio Clean]]&lt;1,Tabla3[[#This Row],[Valor Nominal]]*(Tabla3[[#This Row],[Precio Clean]]-1),0),0)</f>
        <v>0</v>
      </c>
    </row>
    <row r="141" spans="1:37">
      <c r="A141" s="502"/>
      <c r="B141" s="437" t="str">
        <f t="shared" ref="B141:B144" si="103">+B140</f>
        <v>Banco Nacional de Fomento</v>
      </c>
      <c r="C141" s="437" t="str">
        <f>+C140</f>
        <v>BNF_6,45%_200927_BB1790-1794_200K</v>
      </c>
      <c r="D141" s="437" t="s">
        <v>453</v>
      </c>
      <c r="E141" s="437" t="s">
        <v>487</v>
      </c>
      <c r="F141" s="437" t="s">
        <v>297</v>
      </c>
      <c r="G141" s="437" t="s">
        <v>298</v>
      </c>
      <c r="H141" s="437">
        <v>1</v>
      </c>
      <c r="I141" s="492">
        <v>6326.3</v>
      </c>
      <c r="J141" s="451"/>
      <c r="K141" s="450"/>
      <c r="L141" s="451"/>
      <c r="M141" s="493"/>
      <c r="N141" s="493"/>
      <c r="O141" s="494">
        <f t="shared" si="102"/>
        <v>6.4459106326103202E-2</v>
      </c>
      <c r="P141" s="494">
        <f t="shared" si="102"/>
        <v>6.3457801253336221E-2</v>
      </c>
      <c r="Q141" s="450">
        <f t="shared" si="102"/>
        <v>45890</v>
      </c>
      <c r="R141" s="450">
        <v>46465</v>
      </c>
      <c r="S141" s="509" t="s">
        <v>146</v>
      </c>
      <c r="T141" s="510">
        <f>Tabla3[[#This Row],[Cantidad]]*Tabla3[[#This Row],[Cortes]]</f>
        <v>6326.3</v>
      </c>
      <c r="U141" s="511">
        <f t="shared" si="98"/>
        <v>5955.4243574992497</v>
      </c>
      <c r="V141" s="511">
        <f t="shared" si="99"/>
        <v>5954.4052221475686</v>
      </c>
      <c r="W141" s="497">
        <f>IF(Tabla3[[#This Row],[Fecha de operación]]=$C$1,0,U141-V141)</f>
        <v>1.0191353516811432</v>
      </c>
      <c r="X141" s="512" t="str">
        <f t="shared" si="72"/>
        <v>Vigente</v>
      </c>
      <c r="Y141" s="498" t="s">
        <v>450</v>
      </c>
      <c r="Z141" s="469">
        <f t="shared" si="73"/>
        <v>353</v>
      </c>
      <c r="AA141" s="499">
        <f t="shared" ref="AA141:AA144" si="104">+AA140</f>
        <v>1.4111815591429957</v>
      </c>
      <c r="AB141" s="499">
        <f>+AB140</f>
        <v>1.3888013358988611</v>
      </c>
      <c r="AC141" s="469" t="s">
        <v>451</v>
      </c>
      <c r="AD141" s="469" t="s">
        <v>454</v>
      </c>
      <c r="AG141" s="605">
        <f>+IF(Tabla3[[#This Row],[Amortización k | cupón de intereses]]="Amortización de K",Tabla3[[#This Row],[Valor Nominal]],0)</f>
        <v>0</v>
      </c>
      <c r="AH141" s="605">
        <f>+IF(AND(Tabla3[[#This Row],[Amortización k | cupón de intereses]]="Cupón de interés",Tabla3[[#This Row],[Estado]]="Vigente"),Tabla3[[#This Row],[Valor Nominal]],0)</f>
        <v>6326.3</v>
      </c>
      <c r="AI141" s="618">
        <f>+IF(Tabla3[[#This Row],[Amortización k | cupón de intereses]]="Amortización de K",SUMIFS($AH$7:$AH$557,Tabla3[Código Emisión],Tabla3[[#This Row],[Código Emisión]],Tabla3[Fecha de operación],Tabla3[[#This Row],[Fecha de operación]]),0)-Tabla3[[#This Row],[Accrued]]*Tabla3[[#This Row],[Valor Nominal]]</f>
        <v>0</v>
      </c>
      <c r="AJ141" s="605">
        <f>+IF(Tabla3[[#This Row],[Amortización k | cupón de intereses]]="Amortización de K",IF(Tabla3[[#This Row],[Precio Clean]]&gt;1,Tabla3[[#This Row],[Valor Nominal]]*(Tabla3[[#This Row],[Precio Clean]]-1),0),0)</f>
        <v>0</v>
      </c>
      <c r="AK141" s="605">
        <f>+IF(Tabla3[[#This Row],[Amortización k | cupón de intereses]]="Amortización de K",IF(Tabla3[[#This Row],[Precio Clean]]&lt;1,Tabla3[[#This Row],[Valor Nominal]]*(Tabla3[[#This Row],[Precio Clean]]-1),0),0)</f>
        <v>0</v>
      </c>
    </row>
    <row r="142" spans="1:37">
      <c r="A142" s="502"/>
      <c r="B142" s="437" t="str">
        <f t="shared" si="103"/>
        <v>Banco Nacional de Fomento</v>
      </c>
      <c r="C142" s="437" t="str">
        <f>+C141</f>
        <v>BNF_6,45%_200927_BB1790-1794_200K</v>
      </c>
      <c r="D142" s="437" t="s">
        <v>453</v>
      </c>
      <c r="E142" s="437" t="s">
        <v>487</v>
      </c>
      <c r="F142" s="437" t="s">
        <v>297</v>
      </c>
      <c r="G142" s="437" t="s">
        <v>298</v>
      </c>
      <c r="H142" s="437">
        <v>1</v>
      </c>
      <c r="I142" s="492">
        <v>6573.69</v>
      </c>
      <c r="J142" s="451"/>
      <c r="K142" s="450"/>
      <c r="L142" s="451"/>
      <c r="M142" s="493"/>
      <c r="N142" s="493"/>
      <c r="O142" s="494">
        <f t="shared" si="102"/>
        <v>6.4459106326103202E-2</v>
      </c>
      <c r="P142" s="494">
        <f t="shared" si="102"/>
        <v>6.3457801253336221E-2</v>
      </c>
      <c r="Q142" s="450">
        <f t="shared" si="102"/>
        <v>45890</v>
      </c>
      <c r="R142" s="450">
        <v>46286</v>
      </c>
      <c r="S142" s="509" t="s">
        <v>146</v>
      </c>
      <c r="T142" s="510">
        <f>Tabla3[[#This Row],[Cantidad]]*Tabla3[[#This Row],[Cortes]]</f>
        <v>6573.69</v>
      </c>
      <c r="U142" s="511">
        <f t="shared" si="98"/>
        <v>6380.8200930597895</v>
      </c>
      <c r="V142" s="511">
        <f t="shared" si="99"/>
        <v>6379.7281609086631</v>
      </c>
      <c r="W142" s="497">
        <f>IF(Tabla3[[#This Row],[Fecha de operación]]=$C$1,0,U142-V142)</f>
        <v>1.091932151126457</v>
      </c>
      <c r="X142" s="512" t="str">
        <f t="shared" si="72"/>
        <v>Vigente</v>
      </c>
      <c r="Y142" s="498" t="s">
        <v>450</v>
      </c>
      <c r="Z142" s="469">
        <f t="shared" si="73"/>
        <v>174</v>
      </c>
      <c r="AA142" s="499">
        <f t="shared" si="104"/>
        <v>1.4111815591429957</v>
      </c>
      <c r="AB142" s="499">
        <f>+AB141</f>
        <v>1.3888013358988611</v>
      </c>
      <c r="AC142" s="469" t="s">
        <v>451</v>
      </c>
      <c r="AD142" s="469" t="s">
        <v>454</v>
      </c>
      <c r="AG142" s="605">
        <f>+IF(Tabla3[[#This Row],[Amortización k | cupón de intereses]]="Amortización de K",Tabla3[[#This Row],[Valor Nominal]],0)</f>
        <v>0</v>
      </c>
      <c r="AH142" s="605">
        <f>+IF(AND(Tabla3[[#This Row],[Amortización k | cupón de intereses]]="Cupón de interés",Tabla3[[#This Row],[Estado]]="Vigente"),Tabla3[[#This Row],[Valor Nominal]],0)</f>
        <v>6573.69</v>
      </c>
      <c r="AI142" s="618">
        <f>+IF(Tabla3[[#This Row],[Amortización k | cupón de intereses]]="Amortización de K",SUMIFS($AH$7:$AH$557,Tabla3[Código Emisión],Tabla3[[#This Row],[Código Emisión]],Tabla3[Fecha de operación],Tabla3[[#This Row],[Fecha de operación]]),0)-Tabla3[[#This Row],[Accrued]]*Tabla3[[#This Row],[Valor Nominal]]</f>
        <v>0</v>
      </c>
      <c r="AJ142" s="605">
        <f>+IF(Tabla3[[#This Row],[Amortización k | cupón de intereses]]="Amortización de K",IF(Tabla3[[#This Row],[Precio Clean]]&gt;1,Tabla3[[#This Row],[Valor Nominal]]*(Tabla3[[#This Row],[Precio Clean]]-1),0),0)</f>
        <v>0</v>
      </c>
      <c r="AK142" s="605">
        <f>+IF(Tabla3[[#This Row],[Amortización k | cupón de intereses]]="Amortización de K",IF(Tabla3[[#This Row],[Precio Clean]]&lt;1,Tabla3[[#This Row],[Valor Nominal]]*(Tabla3[[#This Row],[Precio Clean]]-1),0),0)</f>
        <v>0</v>
      </c>
    </row>
    <row r="143" spans="1:37">
      <c r="A143" s="502"/>
      <c r="B143" s="437" t="str">
        <f t="shared" si="103"/>
        <v>Banco Nacional de Fomento</v>
      </c>
      <c r="C143" s="437" t="str">
        <f>+C142</f>
        <v>BNF_6,45%_200927_BB1790-1794_200K</v>
      </c>
      <c r="D143" s="437" t="s">
        <v>453</v>
      </c>
      <c r="E143" s="437" t="s">
        <v>487</v>
      </c>
      <c r="F143" s="437" t="s">
        <v>297</v>
      </c>
      <c r="G143" s="437" t="s">
        <v>298</v>
      </c>
      <c r="H143" s="437">
        <v>1</v>
      </c>
      <c r="I143" s="492">
        <v>6396.98</v>
      </c>
      <c r="J143" s="451"/>
      <c r="K143" s="450"/>
      <c r="L143" s="451"/>
      <c r="M143" s="493"/>
      <c r="N143" s="493"/>
      <c r="O143" s="494">
        <f t="shared" si="102"/>
        <v>6.4459106326103202E-2</v>
      </c>
      <c r="P143" s="494">
        <f t="shared" si="102"/>
        <v>6.3457801253336221E-2</v>
      </c>
      <c r="Q143" s="450">
        <f t="shared" si="102"/>
        <v>45890</v>
      </c>
      <c r="R143" s="450">
        <v>46100</v>
      </c>
      <c r="S143" s="509" t="s">
        <v>146</v>
      </c>
      <c r="T143" s="510">
        <f>Tabla3[[#This Row],[Cantidad]]*Tabla3[[#This Row],[Cortes]]</f>
        <v>6396.98</v>
      </c>
      <c r="U143" s="511" t="b">
        <f t="shared" si="98"/>
        <v>0</v>
      </c>
      <c r="V143" s="511" t="b">
        <f t="shared" si="99"/>
        <v>0</v>
      </c>
      <c r="W143" s="497">
        <f>IF(Tabla3[[#This Row],[Fecha de operación]]=$C$1,0,U143-V143)</f>
        <v>0</v>
      </c>
      <c r="X143" s="512" t="str">
        <f t="shared" si="72"/>
        <v>Vencido</v>
      </c>
      <c r="Y143" s="498" t="s">
        <v>450</v>
      </c>
      <c r="Z143" s="469">
        <f t="shared" si="73"/>
        <v>-12</v>
      </c>
      <c r="AA143" s="499">
        <f t="shared" si="104"/>
        <v>1.4111815591429957</v>
      </c>
      <c r="AB143" s="499">
        <f>+AB142</f>
        <v>1.3888013358988611</v>
      </c>
      <c r="AC143" s="469" t="s">
        <v>451</v>
      </c>
      <c r="AD143" s="469" t="s">
        <v>454</v>
      </c>
      <c r="AG143" s="605">
        <f>+IF(Tabla3[[#This Row],[Amortización k | cupón de intereses]]="Amortización de K",Tabla3[[#This Row],[Valor Nominal]],0)</f>
        <v>0</v>
      </c>
      <c r="AH143" s="605">
        <f>+IF(AND(Tabla3[[#This Row],[Amortización k | cupón de intereses]]="Cupón de interés",Tabla3[[#This Row],[Estado]]="Vigente"),Tabla3[[#This Row],[Valor Nominal]],0)</f>
        <v>0</v>
      </c>
      <c r="AI143" s="618">
        <f>+IF(Tabla3[[#This Row],[Amortización k | cupón de intereses]]="Amortización de K",SUMIFS($AH$7:$AH$557,Tabla3[Código Emisión],Tabla3[[#This Row],[Código Emisión]],Tabla3[Fecha de operación],Tabla3[[#This Row],[Fecha de operación]]),0)-Tabla3[[#This Row],[Accrued]]*Tabla3[[#This Row],[Valor Nominal]]</f>
        <v>0</v>
      </c>
      <c r="AJ143" s="605">
        <f>+IF(Tabla3[[#This Row],[Amortización k | cupón de intereses]]="Amortización de K",IF(Tabla3[[#This Row],[Precio Clean]]&gt;1,Tabla3[[#This Row],[Valor Nominal]]*(Tabla3[[#This Row],[Precio Clean]]-1),0),0)</f>
        <v>0</v>
      </c>
      <c r="AK143" s="605">
        <f>+IF(Tabla3[[#This Row],[Amortización k | cupón de intereses]]="Amortización de K",IF(Tabla3[[#This Row],[Precio Clean]]&lt;1,Tabla3[[#This Row],[Valor Nominal]]*(Tabla3[[#This Row],[Precio Clean]]-1),0),0)</f>
        <v>0</v>
      </c>
    </row>
    <row r="144" spans="1:37">
      <c r="A144" s="502"/>
      <c r="B144" s="437" t="str">
        <f t="shared" si="103"/>
        <v>Banco Nacional de Fomento</v>
      </c>
      <c r="C144" s="437" t="str">
        <f>+C143</f>
        <v>BNF_6,45%_200927_BB1790-1794_200K</v>
      </c>
      <c r="D144" s="437" t="s">
        <v>453</v>
      </c>
      <c r="E144" s="437" t="s">
        <v>487</v>
      </c>
      <c r="F144" s="437" t="s">
        <v>297</v>
      </c>
      <c r="G144" s="437" t="s">
        <v>298</v>
      </c>
      <c r="H144" s="437">
        <v>1</v>
      </c>
      <c r="I144" s="492">
        <v>6503.01</v>
      </c>
      <c r="J144" s="451"/>
      <c r="K144" s="450"/>
      <c r="L144" s="451"/>
      <c r="M144" s="493"/>
      <c r="N144" s="493"/>
      <c r="O144" s="494">
        <f t="shared" si="102"/>
        <v>6.4459106326103202E-2</v>
      </c>
      <c r="P144" s="494">
        <f t="shared" si="102"/>
        <v>6.3457801253336221E-2</v>
      </c>
      <c r="Q144" s="450">
        <f t="shared" si="102"/>
        <v>45890</v>
      </c>
      <c r="R144" s="450">
        <v>45919</v>
      </c>
      <c r="S144" s="509" t="s">
        <v>146</v>
      </c>
      <c r="T144" s="510">
        <f>Tabla3[[#This Row],[Cantidad]]*Tabla3[[#This Row],[Cortes]]</f>
        <v>6503.01</v>
      </c>
      <c r="U144" s="511" t="b">
        <f t="shared" si="98"/>
        <v>0</v>
      </c>
      <c r="V144" s="511" t="b">
        <f t="shared" si="99"/>
        <v>0</v>
      </c>
      <c r="W144" s="497">
        <f>IF(Tabla3[[#This Row],[Fecha de operación]]=$C$1,0,U144-V144)</f>
        <v>0</v>
      </c>
      <c r="X144" s="512" t="str">
        <f t="shared" si="72"/>
        <v>Vencido</v>
      </c>
      <c r="Y144" s="498" t="s">
        <v>450</v>
      </c>
      <c r="Z144" s="469">
        <f t="shared" si="73"/>
        <v>-193</v>
      </c>
      <c r="AA144" s="499">
        <f t="shared" si="104"/>
        <v>1.4111815591429957</v>
      </c>
      <c r="AB144" s="499">
        <f>+AB143</f>
        <v>1.3888013358988611</v>
      </c>
      <c r="AC144" s="469" t="s">
        <v>451</v>
      </c>
      <c r="AD144" s="469" t="s">
        <v>454</v>
      </c>
      <c r="AG144" s="605">
        <f>+IF(Tabla3[[#This Row],[Amortización k | cupón de intereses]]="Amortización de K",Tabla3[[#This Row],[Valor Nominal]],0)</f>
        <v>0</v>
      </c>
      <c r="AH144" s="605">
        <f>+IF(AND(Tabla3[[#This Row],[Amortización k | cupón de intereses]]="Cupón de interés",Tabla3[[#This Row],[Estado]]="Vigente"),Tabla3[[#This Row],[Valor Nominal]],0)</f>
        <v>0</v>
      </c>
      <c r="AI144" s="618">
        <f>+IF(Tabla3[[#This Row],[Amortización k | cupón de intereses]]="Amortización de K",SUMIFS($AH$7:$AH$557,Tabla3[Código Emisión],Tabla3[[#This Row],[Código Emisión]],Tabla3[Fecha de operación],Tabla3[[#This Row],[Fecha de operación]]),0)-Tabla3[[#This Row],[Accrued]]*Tabla3[[#This Row],[Valor Nominal]]</f>
        <v>0</v>
      </c>
      <c r="AJ144" s="605">
        <f>+IF(Tabla3[[#This Row],[Amortización k | cupón de intereses]]="Amortización de K",IF(Tabla3[[#This Row],[Precio Clean]]&gt;1,Tabla3[[#This Row],[Valor Nominal]]*(Tabla3[[#This Row],[Precio Clean]]-1),0),0)</f>
        <v>0</v>
      </c>
      <c r="AK144" s="605">
        <f>+IF(Tabla3[[#This Row],[Amortización k | cupón de intereses]]="Amortización de K",IF(Tabla3[[#This Row],[Precio Clean]]&lt;1,Tabla3[[#This Row],[Valor Nominal]]*(Tabla3[[#This Row],[Precio Clean]]-1),0),0)</f>
        <v>0</v>
      </c>
    </row>
    <row r="145" spans="1:37" ht="15">
      <c r="A145" s="500">
        <f>+A139+1</f>
        <v>18</v>
      </c>
      <c r="B145" s="475" t="s">
        <v>485</v>
      </c>
      <c r="C145" s="475" t="s">
        <v>514</v>
      </c>
      <c r="D145" s="475" t="s">
        <v>453</v>
      </c>
      <c r="E145" s="475" t="s">
        <v>487</v>
      </c>
      <c r="F145" s="475" t="s">
        <v>297</v>
      </c>
      <c r="G145" s="475" t="s">
        <v>298</v>
      </c>
      <c r="H145" s="515">
        <f>10-1-1</f>
        <v>8</v>
      </c>
      <c r="I145" s="477">
        <v>100000</v>
      </c>
      <c r="J145" s="478">
        <v>6.5000000000000002E-2</v>
      </c>
      <c r="K145" s="479">
        <f>_xlfn.MAXIFS(R:R,C:C,C145,AD:AD,"Cupón de interés",X:X,"Vencido")</f>
        <v>46083</v>
      </c>
      <c r="L145" s="478">
        <f>+Tabla3[[#This Row],[Tasa de Interés]]*($U$5-Tabla3[[#This Row],[Last coupon]])/365</f>
        <v>5.1643835616438354E-3</v>
      </c>
      <c r="M145" s="480">
        <f>+Tabla3[[#This Row],[Precio Dirty]]-Tabla3[[#This Row],[Accrued]]</f>
        <v>1.0010471102365608</v>
      </c>
      <c r="N145" s="481">
        <f>SUMIFS(U:U,C:C,C145,Q:Q,Q145)/SUMIFS(T:T,C:C,C145,Q:Q,Q145,AD:AD,"Amortización de K")</f>
        <v>1.0062114937982045</v>
      </c>
      <c r="O145" s="482">
        <v>6.6095194220542886E-2</v>
      </c>
      <c r="P145" s="482">
        <v>6.4517406068218541E-2</v>
      </c>
      <c r="Q145" s="484">
        <v>45903</v>
      </c>
      <c r="R145" s="484">
        <v>46994</v>
      </c>
      <c r="S145" s="504" t="s">
        <v>146</v>
      </c>
      <c r="T145" s="505">
        <f>Tabla3[[#This Row],[Cantidad]]*Tabla3[[#This Row],[Cortes]]</f>
        <v>800000</v>
      </c>
      <c r="U145" s="506">
        <f t="shared" si="98"/>
        <v>685366.22923182545</v>
      </c>
      <c r="V145" s="506">
        <f t="shared" si="99"/>
        <v>685246.0610396266</v>
      </c>
      <c r="W145" s="487">
        <f>IF(Tabla3[[#This Row],[Fecha de operación]]=$C$1,0,U145-V145)</f>
        <v>120.16819219884928</v>
      </c>
      <c r="X145" s="507" t="str">
        <f t="shared" si="72"/>
        <v>Vigente</v>
      </c>
      <c r="Y145" s="489" t="s">
        <v>450</v>
      </c>
      <c r="Z145" s="488">
        <f t="shared" si="73"/>
        <v>882</v>
      </c>
      <c r="AA145" s="508">
        <f t="shared" ref="AA145" si="105">IF(Y145="Mensual",DURATION($C$1,$C$1+Z145*12,J145/12,O145/12,1)/12,DURATION($C$1,R145,J145,O145,IF(Y145="Cupón cero",1,IF(Y145="Al vencimiento",1,IF(Y145="Anual",1,IF(Y145="Semestral",2,IF(Y145="Trimestral",4,"")))))))</f>
        <v>2.2411935898632609</v>
      </c>
      <c r="AB145" s="508">
        <f t="shared" ref="AB145" si="106">IF(Y145="Mensual",MDURATION($C$1,$C$1+Z145*12,J145/12,O145/12,1)/12,MDURATION($C$1,R145,J145,O145,IF(Y145="Cupón cero",1,IF(Y145="Al vencimiento",1,IF(Y145="Anual",1,IF(Y145="Semestral",2,IF(Y145="Trimestral",4,"")))))))</f>
        <v>2.2047625378263094</v>
      </c>
      <c r="AC145" s="488" t="s">
        <v>451</v>
      </c>
      <c r="AD145" s="488" t="s">
        <v>452</v>
      </c>
      <c r="AG145" s="605">
        <f>+IF(Tabla3[[#This Row],[Amortización k | cupón de intereses]]="Amortización de K",Tabla3[[#This Row],[Valor Nominal]],0)</f>
        <v>800000</v>
      </c>
      <c r="AH145" s="605">
        <f>+IF(AND(Tabla3[[#This Row],[Amortización k | cupón de intereses]]="Cupón de interés",Tabla3[[#This Row],[Estado]]="Vigente"),Tabla3[[#This Row],[Valor Nominal]],0)</f>
        <v>0</v>
      </c>
      <c r="AI145" s="618">
        <f>+IF(Tabla3[[#This Row],[Amortización k | cupón de intereses]]="Amortización de K",SUMIFS($AH$7:$AH$557,Tabla3[Código Emisión],Tabla3[[#This Row],[Código Emisión]],Tabla3[Fecha de operación],Tabla3[[#This Row],[Fecha de operación]]),0)-Tabla3[[#This Row],[Accrued]]*Tabla3[[#This Row],[Valor Nominal]]</f>
        <v>125654.25315068493</v>
      </c>
      <c r="AJ145" s="605">
        <f>+IF(Tabla3[[#This Row],[Amortización k | cupón de intereses]]="Amortización de K",IF(Tabla3[[#This Row],[Precio Clean]]&gt;1,Tabla3[[#This Row],[Valor Nominal]]*(Tabla3[[#This Row],[Precio Clean]]-1),0),0)</f>
        <v>837.68818924863103</v>
      </c>
      <c r="AK145" s="605">
        <f>+IF(Tabla3[[#This Row],[Amortización k | cupón de intereses]]="Amortización de K",IF(Tabla3[[#This Row],[Precio Clean]]&lt;1,Tabla3[[#This Row],[Valor Nominal]]*(Tabla3[[#This Row],[Precio Clean]]-1),0),0)</f>
        <v>0</v>
      </c>
    </row>
    <row r="146" spans="1:37">
      <c r="A146" s="502"/>
      <c r="B146" s="437" t="str">
        <f>+B145</f>
        <v>Banco Nacional de Fomento</v>
      </c>
      <c r="C146" s="437" t="str">
        <f t="shared" ref="C146:C158" si="107">+C145</f>
        <v>BNF_6,50%_2982028_BB2462-71_100K</v>
      </c>
      <c r="D146" s="437" t="s">
        <v>453</v>
      </c>
      <c r="E146" s="437" t="str">
        <f>+E145</f>
        <v>AA+py</v>
      </c>
      <c r="F146" s="437" t="s">
        <v>297</v>
      </c>
      <c r="G146" s="437" t="s">
        <v>298</v>
      </c>
      <c r="H146" s="437">
        <f t="shared" ref="H146:H158" si="108">+H145</f>
        <v>8</v>
      </c>
      <c r="I146" s="492">
        <v>17.8</v>
      </c>
      <c r="J146" s="451"/>
      <c r="K146" s="450"/>
      <c r="L146" s="451"/>
      <c r="M146" s="493"/>
      <c r="N146" s="493"/>
      <c r="O146" s="494">
        <f t="shared" ref="O146:Q158" si="109">+O145</f>
        <v>6.6095194220542886E-2</v>
      </c>
      <c r="P146" s="494">
        <f t="shared" si="109"/>
        <v>6.4517406068218541E-2</v>
      </c>
      <c r="Q146" s="450">
        <f t="shared" si="109"/>
        <v>45903</v>
      </c>
      <c r="R146" s="450">
        <v>46994</v>
      </c>
      <c r="S146" s="509" t="s">
        <v>146</v>
      </c>
      <c r="T146" s="510">
        <f>Tabla3[[#This Row],[Cantidad]]*Tabla3[[#This Row],[Cortes]]</f>
        <v>142.4</v>
      </c>
      <c r="U146" s="511">
        <f t="shared" si="98"/>
        <v>121.99518880326494</v>
      </c>
      <c r="V146" s="511">
        <f t="shared" si="99"/>
        <v>121.97379886505355</v>
      </c>
      <c r="W146" s="497">
        <f>IF(Tabla3[[#This Row],[Fecha de operación]]=$C$1,0,U146-V146)</f>
        <v>2.1389938211385129E-2</v>
      </c>
      <c r="X146" s="512" t="str">
        <f t="shared" si="72"/>
        <v>Vigente</v>
      </c>
      <c r="Y146" s="498" t="s">
        <v>450</v>
      </c>
      <c r="Z146" s="469">
        <f t="shared" si="73"/>
        <v>882</v>
      </c>
      <c r="AA146" s="499">
        <f>+AA145</f>
        <v>2.2411935898632609</v>
      </c>
      <c r="AB146" s="499">
        <f>+AB145</f>
        <v>2.2047625378263094</v>
      </c>
      <c r="AC146" s="469" t="s">
        <v>451</v>
      </c>
      <c r="AD146" s="469" t="s">
        <v>454</v>
      </c>
      <c r="AG146" s="605">
        <f>+IF(Tabla3[[#This Row],[Amortización k | cupón de intereses]]="Amortización de K",Tabla3[[#This Row],[Valor Nominal]],0)</f>
        <v>0</v>
      </c>
      <c r="AH146" s="605">
        <f>+IF(AND(Tabla3[[#This Row],[Amortización k | cupón de intereses]]="Cupón de interés",Tabla3[[#This Row],[Estado]]="Vigente"),Tabla3[[#This Row],[Valor Nominal]],0)</f>
        <v>142.4</v>
      </c>
      <c r="AI146" s="618">
        <f>+IF(Tabla3[[#This Row],[Amortización k | cupón de intereses]]="Amortización de K",SUMIFS($AH$7:$AH$557,Tabla3[Código Emisión],Tabla3[[#This Row],[Código Emisión]],Tabla3[Fecha de operación],Tabla3[[#This Row],[Fecha de operación]]),0)-Tabla3[[#This Row],[Accrued]]*Tabla3[[#This Row],[Valor Nominal]]</f>
        <v>0</v>
      </c>
      <c r="AJ146" s="605">
        <f>+IF(Tabla3[[#This Row],[Amortización k | cupón de intereses]]="Amortización de K",IF(Tabla3[[#This Row],[Precio Clean]]&gt;1,Tabla3[[#This Row],[Valor Nominal]]*(Tabla3[[#This Row],[Precio Clean]]-1),0),0)</f>
        <v>0</v>
      </c>
      <c r="AK146" s="605">
        <f>+IF(Tabla3[[#This Row],[Amortización k | cupón de intereses]]="Amortización de K",IF(Tabla3[[#This Row],[Precio Clean]]&lt;1,Tabla3[[#This Row],[Valor Nominal]]*(Tabla3[[#This Row],[Precio Clean]]-1),0),0)</f>
        <v>0</v>
      </c>
    </row>
    <row r="147" spans="1:37">
      <c r="A147" s="502"/>
      <c r="B147" s="437" t="str">
        <f t="shared" ref="B147:B158" si="110">+B146</f>
        <v>Banco Nacional de Fomento</v>
      </c>
      <c r="C147" s="437" t="str">
        <f t="shared" si="107"/>
        <v>BNF_6,50%_2982028_BB2462-71_100K</v>
      </c>
      <c r="D147" s="437" t="s">
        <v>453</v>
      </c>
      <c r="E147" s="437" t="str">
        <f t="shared" ref="E147:E158" si="111">+E146</f>
        <v>AA+py</v>
      </c>
      <c r="F147" s="437" t="s">
        <v>297</v>
      </c>
      <c r="G147" s="437" t="s">
        <v>298</v>
      </c>
      <c r="H147" s="437">
        <f t="shared" si="108"/>
        <v>8</v>
      </c>
      <c r="I147" s="492">
        <v>1620.54</v>
      </c>
      <c r="J147" s="451"/>
      <c r="K147" s="450"/>
      <c r="L147" s="451"/>
      <c r="M147" s="493"/>
      <c r="N147" s="493"/>
      <c r="O147" s="494">
        <f t="shared" si="109"/>
        <v>6.6095194220542886E-2</v>
      </c>
      <c r="P147" s="494">
        <f t="shared" si="109"/>
        <v>6.4517406068218541E-2</v>
      </c>
      <c r="Q147" s="450">
        <f t="shared" si="109"/>
        <v>45903</v>
      </c>
      <c r="R147" s="450">
        <v>46993</v>
      </c>
      <c r="S147" s="509" t="s">
        <v>146</v>
      </c>
      <c r="T147" s="510">
        <f>Tabla3[[#This Row],[Cantidad]]*Tabla3[[#This Row],[Cortes]]</f>
        <v>12964.32</v>
      </c>
      <c r="U147" s="511">
        <f t="shared" si="98"/>
        <v>11108.581606316508</v>
      </c>
      <c r="V147" s="511">
        <f t="shared" si="99"/>
        <v>11106.633891193425</v>
      </c>
      <c r="W147" s="497">
        <f>IF(Tabla3[[#This Row],[Fecha de operación]]=$C$1,0,U147-V147)</f>
        <v>1.9477151230821619</v>
      </c>
      <c r="X147" s="512" t="str">
        <f t="shared" si="72"/>
        <v>Vigente</v>
      </c>
      <c r="Y147" s="498" t="s">
        <v>450</v>
      </c>
      <c r="Z147" s="469">
        <f t="shared" si="73"/>
        <v>881</v>
      </c>
      <c r="AA147" s="499">
        <f t="shared" ref="AA147:AB158" si="112">+AA146</f>
        <v>2.2411935898632609</v>
      </c>
      <c r="AB147" s="499">
        <f t="shared" si="112"/>
        <v>2.2047625378263094</v>
      </c>
      <c r="AC147" s="469" t="s">
        <v>451</v>
      </c>
      <c r="AD147" s="469" t="s">
        <v>454</v>
      </c>
      <c r="AG147" s="605">
        <f>+IF(Tabla3[[#This Row],[Amortización k | cupón de intereses]]="Amortización de K",Tabla3[[#This Row],[Valor Nominal]],0)</f>
        <v>0</v>
      </c>
      <c r="AH147" s="605">
        <f>+IF(AND(Tabla3[[#This Row],[Amortización k | cupón de intereses]]="Cupón de interés",Tabla3[[#This Row],[Estado]]="Vigente"),Tabla3[[#This Row],[Valor Nominal]],0)</f>
        <v>12964.32</v>
      </c>
      <c r="AI147" s="618">
        <f>+IF(Tabla3[[#This Row],[Amortización k | cupón de intereses]]="Amortización de K",SUMIFS($AH$7:$AH$557,Tabla3[Código Emisión],Tabla3[[#This Row],[Código Emisión]],Tabla3[Fecha de operación],Tabla3[[#This Row],[Fecha de operación]]),0)-Tabla3[[#This Row],[Accrued]]*Tabla3[[#This Row],[Valor Nominal]]</f>
        <v>0</v>
      </c>
      <c r="AJ147" s="605">
        <f>+IF(Tabla3[[#This Row],[Amortización k | cupón de intereses]]="Amortización de K",IF(Tabla3[[#This Row],[Precio Clean]]&gt;1,Tabla3[[#This Row],[Valor Nominal]]*(Tabla3[[#This Row],[Precio Clean]]-1),0),0)</f>
        <v>0</v>
      </c>
      <c r="AK147" s="605">
        <f>+IF(Tabla3[[#This Row],[Amortización k | cupón de intereses]]="Amortización de K",IF(Tabla3[[#This Row],[Precio Clean]]&lt;1,Tabla3[[#This Row],[Valor Nominal]]*(Tabla3[[#This Row],[Precio Clean]]-1),0),0)</f>
        <v>0</v>
      </c>
    </row>
    <row r="148" spans="1:37">
      <c r="A148" s="502"/>
      <c r="B148" s="437" t="str">
        <f t="shared" si="110"/>
        <v>Banco Nacional de Fomento</v>
      </c>
      <c r="C148" s="437" t="str">
        <f t="shared" si="107"/>
        <v>BNF_6,50%_2982028_BB2462-71_100K</v>
      </c>
      <c r="D148" s="437" t="s">
        <v>453</v>
      </c>
      <c r="E148" s="437" t="str">
        <f t="shared" si="111"/>
        <v>AA+py</v>
      </c>
      <c r="F148" s="437" t="s">
        <v>297</v>
      </c>
      <c r="G148" s="437" t="s">
        <v>298</v>
      </c>
      <c r="H148" s="437">
        <f t="shared" si="108"/>
        <v>8</v>
      </c>
      <c r="I148" s="492">
        <v>1620.54</v>
      </c>
      <c r="J148" s="451"/>
      <c r="K148" s="450"/>
      <c r="L148" s="451"/>
      <c r="M148" s="493"/>
      <c r="N148" s="493"/>
      <c r="O148" s="494">
        <f t="shared" si="109"/>
        <v>6.6095194220542886E-2</v>
      </c>
      <c r="P148" s="494">
        <f t="shared" si="109"/>
        <v>6.4517406068218541E-2</v>
      </c>
      <c r="Q148" s="450">
        <f t="shared" si="109"/>
        <v>45903</v>
      </c>
      <c r="R148" s="450">
        <v>46902</v>
      </c>
      <c r="S148" s="509" t="s">
        <v>146</v>
      </c>
      <c r="T148" s="510">
        <f>Tabla3[[#This Row],[Cantidad]]*Tabla3[[#This Row],[Cortes]]</f>
        <v>12964.32</v>
      </c>
      <c r="U148" s="511">
        <f t="shared" si="98"/>
        <v>11287.261008738973</v>
      </c>
      <c r="V148" s="511">
        <f t="shared" si="99"/>
        <v>11285.281964992075</v>
      </c>
      <c r="W148" s="497">
        <f>IF(Tabla3[[#This Row],[Fecha de operación]]=$C$1,0,U148-V148)</f>
        <v>1.9790437468982418</v>
      </c>
      <c r="X148" s="512" t="str">
        <f t="shared" si="72"/>
        <v>Vigente</v>
      </c>
      <c r="Y148" s="498" t="s">
        <v>450</v>
      </c>
      <c r="Z148" s="469">
        <f t="shared" si="73"/>
        <v>790</v>
      </c>
      <c r="AA148" s="499">
        <f t="shared" si="112"/>
        <v>2.2411935898632609</v>
      </c>
      <c r="AB148" s="499">
        <f t="shared" si="112"/>
        <v>2.2047625378263094</v>
      </c>
      <c r="AC148" s="469" t="s">
        <v>451</v>
      </c>
      <c r="AD148" s="469" t="s">
        <v>454</v>
      </c>
      <c r="AG148" s="605">
        <f>+IF(Tabla3[[#This Row],[Amortización k | cupón de intereses]]="Amortización de K",Tabla3[[#This Row],[Valor Nominal]],0)</f>
        <v>0</v>
      </c>
      <c r="AH148" s="605">
        <f>+IF(AND(Tabla3[[#This Row],[Amortización k | cupón de intereses]]="Cupón de interés",Tabla3[[#This Row],[Estado]]="Vigente"),Tabla3[[#This Row],[Valor Nominal]],0)</f>
        <v>12964.32</v>
      </c>
      <c r="AI148" s="618">
        <f>+IF(Tabla3[[#This Row],[Amortización k | cupón de intereses]]="Amortización de K",SUMIFS($AH$7:$AH$557,Tabla3[Código Emisión],Tabla3[[#This Row],[Código Emisión]],Tabla3[Fecha de operación],Tabla3[[#This Row],[Fecha de operación]]),0)-Tabla3[[#This Row],[Accrued]]*Tabla3[[#This Row],[Valor Nominal]]</f>
        <v>0</v>
      </c>
      <c r="AJ148" s="605">
        <f>+IF(Tabla3[[#This Row],[Amortización k | cupón de intereses]]="Amortización de K",IF(Tabla3[[#This Row],[Precio Clean]]&gt;1,Tabla3[[#This Row],[Valor Nominal]]*(Tabla3[[#This Row],[Precio Clean]]-1),0),0)</f>
        <v>0</v>
      </c>
      <c r="AK148" s="605">
        <f>+IF(Tabla3[[#This Row],[Amortización k | cupón de intereses]]="Amortización de K",IF(Tabla3[[#This Row],[Precio Clean]]&lt;1,Tabla3[[#This Row],[Valor Nominal]]*(Tabla3[[#This Row],[Precio Clean]]-1),0),0)</f>
        <v>0</v>
      </c>
    </row>
    <row r="149" spans="1:37">
      <c r="A149" s="502"/>
      <c r="B149" s="437" t="str">
        <f t="shared" si="110"/>
        <v>Banco Nacional de Fomento</v>
      </c>
      <c r="C149" s="437" t="str">
        <f t="shared" si="107"/>
        <v>BNF_6,50%_2982028_BB2462-71_100K</v>
      </c>
      <c r="D149" s="437" t="s">
        <v>453</v>
      </c>
      <c r="E149" s="437" t="str">
        <f t="shared" si="111"/>
        <v>AA+py</v>
      </c>
      <c r="F149" s="437" t="s">
        <v>297</v>
      </c>
      <c r="G149" s="437" t="s">
        <v>298</v>
      </c>
      <c r="H149" s="437">
        <f t="shared" si="108"/>
        <v>8</v>
      </c>
      <c r="I149" s="492">
        <v>1620.54</v>
      </c>
      <c r="J149" s="451"/>
      <c r="K149" s="450"/>
      <c r="L149" s="451"/>
      <c r="M149" s="493"/>
      <c r="N149" s="493"/>
      <c r="O149" s="494">
        <f t="shared" si="109"/>
        <v>6.6095194220542886E-2</v>
      </c>
      <c r="P149" s="494">
        <f t="shared" si="109"/>
        <v>6.4517406068218541E-2</v>
      </c>
      <c r="Q149" s="450">
        <f t="shared" si="109"/>
        <v>45903</v>
      </c>
      <c r="R149" s="450">
        <v>46811</v>
      </c>
      <c r="S149" s="509" t="s">
        <v>146</v>
      </c>
      <c r="T149" s="510">
        <f>Tabla3[[#This Row],[Cantidad]]*Tabla3[[#This Row],[Cortes]]</f>
        <v>12964.32</v>
      </c>
      <c r="U149" s="511">
        <f t="shared" si="98"/>
        <v>11468.814435045093</v>
      </c>
      <c r="V149" s="511">
        <f t="shared" si="99"/>
        <v>11466.803558759477</v>
      </c>
      <c r="W149" s="497">
        <f>IF(Tabla3[[#This Row],[Fecha de operación]]=$C$1,0,U149-V149)</f>
        <v>2.0108762856161775</v>
      </c>
      <c r="X149" s="512" t="str">
        <f t="shared" si="72"/>
        <v>Vigente</v>
      </c>
      <c r="Y149" s="498" t="s">
        <v>450</v>
      </c>
      <c r="Z149" s="469">
        <f t="shared" si="73"/>
        <v>699</v>
      </c>
      <c r="AA149" s="499">
        <f t="shared" si="112"/>
        <v>2.2411935898632609</v>
      </c>
      <c r="AB149" s="499">
        <f t="shared" si="112"/>
        <v>2.2047625378263094</v>
      </c>
      <c r="AC149" s="469" t="s">
        <v>451</v>
      </c>
      <c r="AD149" s="469" t="s">
        <v>454</v>
      </c>
      <c r="AG149" s="605">
        <f>+IF(Tabla3[[#This Row],[Amortización k | cupón de intereses]]="Amortización de K",Tabla3[[#This Row],[Valor Nominal]],0)</f>
        <v>0</v>
      </c>
      <c r="AH149" s="605">
        <f>+IF(AND(Tabla3[[#This Row],[Amortización k | cupón de intereses]]="Cupón de interés",Tabla3[[#This Row],[Estado]]="Vigente"),Tabla3[[#This Row],[Valor Nominal]],0)</f>
        <v>12964.32</v>
      </c>
      <c r="AI149" s="618">
        <f>+IF(Tabla3[[#This Row],[Amortización k | cupón de intereses]]="Amortización de K",SUMIFS($AH$7:$AH$557,Tabla3[Código Emisión],Tabla3[[#This Row],[Código Emisión]],Tabla3[Fecha de operación],Tabla3[[#This Row],[Fecha de operación]]),0)-Tabla3[[#This Row],[Accrued]]*Tabla3[[#This Row],[Valor Nominal]]</f>
        <v>0</v>
      </c>
      <c r="AJ149" s="605">
        <f>+IF(Tabla3[[#This Row],[Amortización k | cupón de intereses]]="Amortización de K",IF(Tabla3[[#This Row],[Precio Clean]]&gt;1,Tabla3[[#This Row],[Valor Nominal]]*(Tabla3[[#This Row],[Precio Clean]]-1),0),0)</f>
        <v>0</v>
      </c>
      <c r="AK149" s="605">
        <f>+IF(Tabla3[[#This Row],[Amortización k | cupón de intereses]]="Amortización de K",IF(Tabla3[[#This Row],[Precio Clean]]&lt;1,Tabla3[[#This Row],[Valor Nominal]]*(Tabla3[[#This Row],[Precio Clean]]-1),0),0)</f>
        <v>0</v>
      </c>
    </row>
    <row r="150" spans="1:37">
      <c r="A150" s="502"/>
      <c r="B150" s="437" t="str">
        <f t="shared" si="110"/>
        <v>Banco Nacional de Fomento</v>
      </c>
      <c r="C150" s="437" t="str">
        <f t="shared" si="107"/>
        <v>BNF_6,50%_2982028_BB2462-71_100K</v>
      </c>
      <c r="D150" s="437" t="s">
        <v>453</v>
      </c>
      <c r="E150" s="437" t="str">
        <f t="shared" si="111"/>
        <v>AA+py</v>
      </c>
      <c r="F150" s="437" t="s">
        <v>297</v>
      </c>
      <c r="G150" s="437" t="s">
        <v>298</v>
      </c>
      <c r="H150" s="437">
        <f t="shared" si="108"/>
        <v>8</v>
      </c>
      <c r="I150" s="492">
        <v>1620.54</v>
      </c>
      <c r="J150" s="451"/>
      <c r="K150" s="450"/>
      <c r="L150" s="451"/>
      <c r="M150" s="493"/>
      <c r="N150" s="493"/>
      <c r="O150" s="494">
        <f t="shared" si="109"/>
        <v>6.6095194220542886E-2</v>
      </c>
      <c r="P150" s="494">
        <f t="shared" si="109"/>
        <v>6.4517406068218541E-2</v>
      </c>
      <c r="Q150" s="450">
        <f t="shared" si="109"/>
        <v>45903</v>
      </c>
      <c r="R150" s="450">
        <v>46720</v>
      </c>
      <c r="S150" s="509" t="s">
        <v>146</v>
      </c>
      <c r="T150" s="510">
        <f>Tabla3[[#This Row],[Cantidad]]*Tabla3[[#This Row],[Cortes]]</f>
        <v>12964.32</v>
      </c>
      <c r="U150" s="511">
        <f t="shared" si="98"/>
        <v>11653.288113357254</v>
      </c>
      <c r="V150" s="511">
        <f t="shared" si="99"/>
        <v>11651.244892512648</v>
      </c>
      <c r="W150" s="497">
        <f>IF(Tabla3[[#This Row],[Fecha de operación]]=$C$1,0,U150-V150)</f>
        <v>2.0432208446054574</v>
      </c>
      <c r="X150" s="512" t="str">
        <f t="shared" si="72"/>
        <v>Vigente</v>
      </c>
      <c r="Y150" s="498" t="s">
        <v>450</v>
      </c>
      <c r="Z150" s="469">
        <f t="shared" si="73"/>
        <v>608</v>
      </c>
      <c r="AA150" s="499">
        <f t="shared" si="112"/>
        <v>2.2411935898632609</v>
      </c>
      <c r="AB150" s="499">
        <f t="shared" si="112"/>
        <v>2.2047625378263094</v>
      </c>
      <c r="AC150" s="469" t="s">
        <v>451</v>
      </c>
      <c r="AD150" s="469" t="s">
        <v>454</v>
      </c>
      <c r="AG150" s="605">
        <f>+IF(Tabla3[[#This Row],[Amortización k | cupón de intereses]]="Amortización de K",Tabla3[[#This Row],[Valor Nominal]],0)</f>
        <v>0</v>
      </c>
      <c r="AH150" s="605">
        <f>+IF(AND(Tabla3[[#This Row],[Amortización k | cupón de intereses]]="Cupón de interés",Tabla3[[#This Row],[Estado]]="Vigente"),Tabla3[[#This Row],[Valor Nominal]],0)</f>
        <v>12964.32</v>
      </c>
      <c r="AI150" s="618">
        <f>+IF(Tabla3[[#This Row],[Amortización k | cupón de intereses]]="Amortización de K",SUMIFS($AH$7:$AH$557,Tabla3[Código Emisión],Tabla3[[#This Row],[Código Emisión]],Tabla3[Fecha de operación],Tabla3[[#This Row],[Fecha de operación]]),0)-Tabla3[[#This Row],[Accrued]]*Tabla3[[#This Row],[Valor Nominal]]</f>
        <v>0</v>
      </c>
      <c r="AJ150" s="605">
        <f>+IF(Tabla3[[#This Row],[Amortización k | cupón de intereses]]="Amortización de K",IF(Tabla3[[#This Row],[Precio Clean]]&gt;1,Tabla3[[#This Row],[Valor Nominal]]*(Tabla3[[#This Row],[Precio Clean]]-1),0),0)</f>
        <v>0</v>
      </c>
      <c r="AK150" s="605">
        <f>+IF(Tabla3[[#This Row],[Amortización k | cupón de intereses]]="Amortización de K",IF(Tabla3[[#This Row],[Precio Clean]]&lt;1,Tabla3[[#This Row],[Valor Nominal]]*(Tabla3[[#This Row],[Precio Clean]]-1),0),0)</f>
        <v>0</v>
      </c>
    </row>
    <row r="151" spans="1:37">
      <c r="A151" s="502"/>
      <c r="B151" s="437" t="str">
        <f t="shared" si="110"/>
        <v>Banco Nacional de Fomento</v>
      </c>
      <c r="C151" s="437" t="str">
        <f t="shared" si="107"/>
        <v>BNF_6,50%_2982028_BB2462-71_100K</v>
      </c>
      <c r="D151" s="437" t="s">
        <v>453</v>
      </c>
      <c r="E151" s="437" t="str">
        <f t="shared" si="111"/>
        <v>AA+py</v>
      </c>
      <c r="F151" s="437" t="s">
        <v>297</v>
      </c>
      <c r="G151" s="437" t="s">
        <v>298</v>
      </c>
      <c r="H151" s="437">
        <f t="shared" si="108"/>
        <v>8</v>
      </c>
      <c r="I151" s="492">
        <v>1673.97</v>
      </c>
      <c r="J151" s="451"/>
      <c r="K151" s="450"/>
      <c r="L151" s="451"/>
      <c r="M151" s="493"/>
      <c r="N151" s="493"/>
      <c r="O151" s="494">
        <f t="shared" si="109"/>
        <v>6.6095194220542886E-2</v>
      </c>
      <c r="P151" s="494">
        <f t="shared" si="109"/>
        <v>6.4517406068218541E-2</v>
      </c>
      <c r="Q151" s="450">
        <f t="shared" si="109"/>
        <v>45903</v>
      </c>
      <c r="R151" s="450">
        <v>46629</v>
      </c>
      <c r="S151" s="509" t="s">
        <v>146</v>
      </c>
      <c r="T151" s="510">
        <f>Tabla3[[#This Row],[Cantidad]]*Tabla3[[#This Row],[Cortes]]</f>
        <v>13391.76</v>
      </c>
      <c r="U151" s="511">
        <f t="shared" si="98"/>
        <v>12231.123668564866</v>
      </c>
      <c r="V151" s="511">
        <f t="shared" si="99"/>
        <v>12228.979133341032</v>
      </c>
      <c r="W151" s="497">
        <f>IF(Tabla3[[#This Row],[Fecha de operación]]=$C$1,0,U151-V151)</f>
        <v>2.1445352238333726</v>
      </c>
      <c r="X151" s="512" t="str">
        <f t="shared" si="72"/>
        <v>Vigente</v>
      </c>
      <c r="Y151" s="498" t="s">
        <v>450</v>
      </c>
      <c r="Z151" s="469">
        <f t="shared" si="73"/>
        <v>517</v>
      </c>
      <c r="AA151" s="499">
        <f t="shared" si="112"/>
        <v>2.2411935898632609</v>
      </c>
      <c r="AB151" s="499">
        <f t="shared" si="112"/>
        <v>2.2047625378263094</v>
      </c>
      <c r="AC151" s="469" t="s">
        <v>451</v>
      </c>
      <c r="AD151" s="469" t="s">
        <v>454</v>
      </c>
      <c r="AG151" s="605">
        <f>+IF(Tabla3[[#This Row],[Amortización k | cupón de intereses]]="Amortización de K",Tabla3[[#This Row],[Valor Nominal]],0)</f>
        <v>0</v>
      </c>
      <c r="AH151" s="605">
        <f>+IF(AND(Tabla3[[#This Row],[Amortización k | cupón de intereses]]="Cupón de interés",Tabla3[[#This Row],[Estado]]="Vigente"),Tabla3[[#This Row],[Valor Nominal]],0)</f>
        <v>13391.76</v>
      </c>
      <c r="AI151" s="618">
        <f>+IF(Tabla3[[#This Row],[Amortización k | cupón de intereses]]="Amortización de K",SUMIFS($AH$7:$AH$557,Tabla3[Código Emisión],Tabla3[[#This Row],[Código Emisión]],Tabla3[Fecha de operación],Tabla3[[#This Row],[Fecha de operación]]),0)-Tabla3[[#This Row],[Accrued]]*Tabla3[[#This Row],[Valor Nominal]]</f>
        <v>0</v>
      </c>
      <c r="AJ151" s="605">
        <f>+IF(Tabla3[[#This Row],[Amortización k | cupón de intereses]]="Amortización de K",IF(Tabla3[[#This Row],[Precio Clean]]&gt;1,Tabla3[[#This Row],[Valor Nominal]]*(Tabla3[[#This Row],[Precio Clean]]-1),0),0)</f>
        <v>0</v>
      </c>
      <c r="AK151" s="605">
        <f>+IF(Tabla3[[#This Row],[Amortización k | cupón de intereses]]="Amortización de K",IF(Tabla3[[#This Row],[Precio Clean]]&lt;1,Tabla3[[#This Row],[Valor Nominal]]*(Tabla3[[#This Row],[Precio Clean]]-1),0),0)</f>
        <v>0</v>
      </c>
    </row>
    <row r="152" spans="1:37">
      <c r="A152" s="502"/>
      <c r="B152" s="437" t="str">
        <f t="shared" si="110"/>
        <v>Banco Nacional de Fomento</v>
      </c>
      <c r="C152" s="437" t="str">
        <f t="shared" si="107"/>
        <v>BNF_6,50%_2982028_BB2462-71_100K</v>
      </c>
      <c r="D152" s="437" t="s">
        <v>453</v>
      </c>
      <c r="E152" s="437" t="str">
        <f t="shared" si="111"/>
        <v>AA+py</v>
      </c>
      <c r="F152" s="437" t="s">
        <v>297</v>
      </c>
      <c r="G152" s="437" t="s">
        <v>298</v>
      </c>
      <c r="H152" s="437">
        <f t="shared" si="108"/>
        <v>8</v>
      </c>
      <c r="I152" s="492">
        <v>1567.12</v>
      </c>
      <c r="J152" s="451"/>
      <c r="K152" s="450"/>
      <c r="L152" s="451"/>
      <c r="M152" s="493"/>
      <c r="N152" s="493"/>
      <c r="O152" s="494">
        <f t="shared" si="109"/>
        <v>6.6095194220542886E-2</v>
      </c>
      <c r="P152" s="494">
        <f t="shared" si="109"/>
        <v>6.4517406068218541E-2</v>
      </c>
      <c r="Q152" s="450">
        <f t="shared" si="109"/>
        <v>45903</v>
      </c>
      <c r="R152" s="450">
        <v>46535</v>
      </c>
      <c r="S152" s="509" t="s">
        <v>146</v>
      </c>
      <c r="T152" s="510">
        <f>Tabla3[[#This Row],[Cantidad]]*Tabla3[[#This Row],[Cortes]]</f>
        <v>12536.96</v>
      </c>
      <c r="U152" s="511">
        <f t="shared" si="98"/>
        <v>11640.707005204124</v>
      </c>
      <c r="V152" s="511">
        <f t="shared" si="99"/>
        <v>11638.665990259022</v>
      </c>
      <c r="W152" s="497">
        <f>IF(Tabla3[[#This Row],[Fecha de operación]]=$C$1,0,U152-V152)</f>
        <v>2.0410149451017787</v>
      </c>
      <c r="X152" s="512" t="str">
        <f t="shared" si="72"/>
        <v>Vigente</v>
      </c>
      <c r="Y152" s="498" t="s">
        <v>450</v>
      </c>
      <c r="Z152" s="469">
        <f t="shared" si="73"/>
        <v>423</v>
      </c>
      <c r="AA152" s="499">
        <f t="shared" si="112"/>
        <v>2.2411935898632609</v>
      </c>
      <c r="AB152" s="499">
        <f t="shared" si="112"/>
        <v>2.2047625378263094</v>
      </c>
      <c r="AC152" s="469" t="s">
        <v>451</v>
      </c>
      <c r="AD152" s="469" t="s">
        <v>454</v>
      </c>
      <c r="AG152" s="605">
        <f>+IF(Tabla3[[#This Row],[Amortización k | cupón de intereses]]="Amortización de K",Tabla3[[#This Row],[Valor Nominal]],0)</f>
        <v>0</v>
      </c>
      <c r="AH152" s="605">
        <f>+IF(AND(Tabla3[[#This Row],[Amortización k | cupón de intereses]]="Cupón de interés",Tabla3[[#This Row],[Estado]]="Vigente"),Tabla3[[#This Row],[Valor Nominal]],0)</f>
        <v>12536.96</v>
      </c>
      <c r="AI152" s="618">
        <f>+IF(Tabla3[[#This Row],[Amortización k | cupón de intereses]]="Amortización de K",SUMIFS($AH$7:$AH$557,Tabla3[Código Emisión],Tabla3[[#This Row],[Código Emisión]],Tabla3[Fecha de operación],Tabla3[[#This Row],[Fecha de operación]]),0)-Tabla3[[#This Row],[Accrued]]*Tabla3[[#This Row],[Valor Nominal]]</f>
        <v>0</v>
      </c>
      <c r="AJ152" s="605">
        <f>+IF(Tabla3[[#This Row],[Amortización k | cupón de intereses]]="Amortización de K",IF(Tabla3[[#This Row],[Precio Clean]]&gt;1,Tabla3[[#This Row],[Valor Nominal]]*(Tabla3[[#This Row],[Precio Clean]]-1),0),0)</f>
        <v>0</v>
      </c>
      <c r="AK152" s="605">
        <f>+IF(Tabla3[[#This Row],[Amortización k | cupón de intereses]]="Amortización de K",IF(Tabla3[[#This Row],[Precio Clean]]&lt;1,Tabla3[[#This Row],[Valor Nominal]]*(Tabla3[[#This Row],[Precio Clean]]-1),0),0)</f>
        <v>0</v>
      </c>
    </row>
    <row r="153" spans="1:37">
      <c r="A153" s="502"/>
      <c r="B153" s="437" t="str">
        <f t="shared" si="110"/>
        <v>Banco Nacional de Fomento</v>
      </c>
      <c r="C153" s="437" t="str">
        <f t="shared" si="107"/>
        <v>BNF_6,50%_2982028_BB2462-71_100K</v>
      </c>
      <c r="D153" s="437" t="s">
        <v>453</v>
      </c>
      <c r="E153" s="437" t="str">
        <f t="shared" si="111"/>
        <v>AA+py</v>
      </c>
      <c r="F153" s="437" t="s">
        <v>297</v>
      </c>
      <c r="G153" s="437" t="s">
        <v>298</v>
      </c>
      <c r="H153" s="437">
        <f t="shared" si="108"/>
        <v>8</v>
      </c>
      <c r="I153" s="492">
        <v>1620.54</v>
      </c>
      <c r="J153" s="451"/>
      <c r="K153" s="450"/>
      <c r="L153" s="451"/>
      <c r="M153" s="493"/>
      <c r="N153" s="493"/>
      <c r="O153" s="494">
        <f t="shared" si="109"/>
        <v>6.6095194220542886E-2</v>
      </c>
      <c r="P153" s="494">
        <f t="shared" si="109"/>
        <v>6.4517406068218541E-2</v>
      </c>
      <c r="Q153" s="450">
        <f t="shared" si="109"/>
        <v>45903</v>
      </c>
      <c r="R153" s="450">
        <v>46447</v>
      </c>
      <c r="S153" s="509" t="s">
        <v>146</v>
      </c>
      <c r="T153" s="510">
        <f>Tabla3[[#This Row],[Cantidad]]*Tabla3[[#This Row],[Cortes]]</f>
        <v>12964.32</v>
      </c>
      <c r="U153" s="511">
        <f t="shared" si="98"/>
        <v>12224.704167064498</v>
      </c>
      <c r="V153" s="511">
        <f t="shared" si="99"/>
        <v>12222.560757399322</v>
      </c>
      <c r="W153" s="497">
        <f>IF(Tabla3[[#This Row],[Fecha de operación]]=$C$1,0,U153-V153)</f>
        <v>2.1434096651755681</v>
      </c>
      <c r="X153" s="512" t="str">
        <f t="shared" si="72"/>
        <v>Vigente</v>
      </c>
      <c r="Y153" s="498" t="s">
        <v>450</v>
      </c>
      <c r="Z153" s="469">
        <f t="shared" si="73"/>
        <v>335</v>
      </c>
      <c r="AA153" s="499">
        <f t="shared" si="112"/>
        <v>2.2411935898632609</v>
      </c>
      <c r="AB153" s="499">
        <f t="shared" si="112"/>
        <v>2.2047625378263094</v>
      </c>
      <c r="AC153" s="469" t="s">
        <v>451</v>
      </c>
      <c r="AD153" s="469" t="s">
        <v>454</v>
      </c>
      <c r="AG153" s="605">
        <f>+IF(Tabla3[[#This Row],[Amortización k | cupón de intereses]]="Amortización de K",Tabla3[[#This Row],[Valor Nominal]],0)</f>
        <v>0</v>
      </c>
      <c r="AH153" s="605">
        <f>+IF(AND(Tabla3[[#This Row],[Amortización k | cupón de intereses]]="Cupón de interés",Tabla3[[#This Row],[Estado]]="Vigente"),Tabla3[[#This Row],[Valor Nominal]],0)</f>
        <v>12964.32</v>
      </c>
      <c r="AI153" s="618">
        <f>+IF(Tabla3[[#This Row],[Amortización k | cupón de intereses]]="Amortización de K",SUMIFS($AH$7:$AH$557,Tabla3[Código Emisión],Tabla3[[#This Row],[Código Emisión]],Tabla3[Fecha de operación],Tabla3[[#This Row],[Fecha de operación]]),0)-Tabla3[[#This Row],[Accrued]]*Tabla3[[#This Row],[Valor Nominal]]</f>
        <v>0</v>
      </c>
      <c r="AJ153" s="605">
        <f>+IF(Tabla3[[#This Row],[Amortización k | cupón de intereses]]="Amortización de K",IF(Tabla3[[#This Row],[Precio Clean]]&gt;1,Tabla3[[#This Row],[Valor Nominal]]*(Tabla3[[#This Row],[Precio Clean]]-1),0),0)</f>
        <v>0</v>
      </c>
      <c r="AK153" s="605">
        <f>+IF(Tabla3[[#This Row],[Amortización k | cupón de intereses]]="Amortización de K",IF(Tabla3[[#This Row],[Precio Clean]]&lt;1,Tabla3[[#This Row],[Valor Nominal]]*(Tabla3[[#This Row],[Precio Clean]]-1),0),0)</f>
        <v>0</v>
      </c>
    </row>
    <row r="154" spans="1:37">
      <c r="A154" s="502"/>
      <c r="B154" s="437" t="str">
        <f t="shared" si="110"/>
        <v>Banco Nacional de Fomento</v>
      </c>
      <c r="C154" s="437" t="str">
        <f t="shared" si="107"/>
        <v>BNF_6,50%_2982028_BB2462-71_100K</v>
      </c>
      <c r="D154" s="437" t="s">
        <v>453</v>
      </c>
      <c r="E154" s="437" t="str">
        <f t="shared" si="111"/>
        <v>AA+py</v>
      </c>
      <c r="F154" s="437" t="s">
        <v>297</v>
      </c>
      <c r="G154" s="437" t="s">
        <v>298</v>
      </c>
      <c r="H154" s="437">
        <f t="shared" si="108"/>
        <v>8</v>
      </c>
      <c r="I154" s="492">
        <v>1673.97</v>
      </c>
      <c r="J154" s="451"/>
      <c r="K154" s="450"/>
      <c r="L154" s="451"/>
      <c r="M154" s="493"/>
      <c r="N154" s="493"/>
      <c r="O154" s="494">
        <f t="shared" si="109"/>
        <v>6.6095194220542886E-2</v>
      </c>
      <c r="P154" s="494">
        <f t="shared" si="109"/>
        <v>6.4517406068218541E-2</v>
      </c>
      <c r="Q154" s="450">
        <f t="shared" si="109"/>
        <v>45903</v>
      </c>
      <c r="R154" s="450">
        <v>46356</v>
      </c>
      <c r="S154" s="509" t="s">
        <v>146</v>
      </c>
      <c r="T154" s="510">
        <f>Tabla3[[#This Row],[Cantidad]]*Tabla3[[#This Row],[Cortes]]</f>
        <v>13391.76</v>
      </c>
      <c r="U154" s="511">
        <f t="shared" si="98"/>
        <v>12830.873743488833</v>
      </c>
      <c r="V154" s="511">
        <f t="shared" si="99"/>
        <v>12828.624051519311</v>
      </c>
      <c r="W154" s="497">
        <f>IF(Tabla3[[#This Row],[Fecha de operación]]=$C$1,0,U154-V154)</f>
        <v>2.2496919695222459</v>
      </c>
      <c r="X154" s="512" t="str">
        <f t="shared" si="72"/>
        <v>Vigente</v>
      </c>
      <c r="Y154" s="498" t="s">
        <v>450</v>
      </c>
      <c r="Z154" s="469">
        <f t="shared" si="73"/>
        <v>244</v>
      </c>
      <c r="AA154" s="499">
        <f t="shared" si="112"/>
        <v>2.2411935898632609</v>
      </c>
      <c r="AB154" s="499">
        <f t="shared" si="112"/>
        <v>2.2047625378263094</v>
      </c>
      <c r="AC154" s="469" t="s">
        <v>451</v>
      </c>
      <c r="AD154" s="469" t="s">
        <v>454</v>
      </c>
      <c r="AG154" s="605">
        <f>+IF(Tabla3[[#This Row],[Amortización k | cupón de intereses]]="Amortización de K",Tabla3[[#This Row],[Valor Nominal]],0)</f>
        <v>0</v>
      </c>
      <c r="AH154" s="605">
        <f>+IF(AND(Tabla3[[#This Row],[Amortización k | cupón de intereses]]="Cupón de interés",Tabla3[[#This Row],[Estado]]="Vigente"),Tabla3[[#This Row],[Valor Nominal]],0)</f>
        <v>13391.76</v>
      </c>
      <c r="AI154" s="618">
        <f>+IF(Tabla3[[#This Row],[Amortización k | cupón de intereses]]="Amortización de K",SUMIFS($AH$7:$AH$557,Tabla3[Código Emisión],Tabla3[[#This Row],[Código Emisión]],Tabla3[Fecha de operación],Tabla3[[#This Row],[Fecha de operación]]),0)-Tabla3[[#This Row],[Accrued]]*Tabla3[[#This Row],[Valor Nominal]]</f>
        <v>0</v>
      </c>
      <c r="AJ154" s="605">
        <f>+IF(Tabla3[[#This Row],[Amortización k | cupón de intereses]]="Amortización de K",IF(Tabla3[[#This Row],[Precio Clean]]&gt;1,Tabla3[[#This Row],[Valor Nominal]]*(Tabla3[[#This Row],[Precio Clean]]-1),0),0)</f>
        <v>0</v>
      </c>
      <c r="AK154" s="605">
        <f>+IF(Tabla3[[#This Row],[Amortización k | cupón de intereses]]="Amortización de K",IF(Tabla3[[#This Row],[Precio Clean]]&lt;1,Tabla3[[#This Row],[Valor Nominal]]*(Tabla3[[#This Row],[Precio Clean]]-1),0),0)</f>
        <v>0</v>
      </c>
    </row>
    <row r="155" spans="1:37">
      <c r="A155" s="502"/>
      <c r="B155" s="437" t="str">
        <f t="shared" si="110"/>
        <v>Banco Nacional de Fomento</v>
      </c>
      <c r="C155" s="437" t="str">
        <f t="shared" si="107"/>
        <v>BNF_6,50%_2982028_BB2462-71_100K</v>
      </c>
      <c r="D155" s="437" t="s">
        <v>453</v>
      </c>
      <c r="E155" s="437" t="str">
        <f t="shared" si="111"/>
        <v>AA+py</v>
      </c>
      <c r="F155" s="437" t="s">
        <v>297</v>
      </c>
      <c r="G155" s="437" t="s">
        <v>298</v>
      </c>
      <c r="H155" s="437">
        <f t="shared" si="108"/>
        <v>8</v>
      </c>
      <c r="I155" s="492">
        <v>1638.35</v>
      </c>
      <c r="J155" s="451"/>
      <c r="K155" s="450"/>
      <c r="L155" s="451"/>
      <c r="M155" s="493"/>
      <c r="N155" s="493"/>
      <c r="O155" s="494">
        <f t="shared" si="109"/>
        <v>6.6095194220542886E-2</v>
      </c>
      <c r="P155" s="494">
        <f t="shared" si="109"/>
        <v>6.4517406068218541E-2</v>
      </c>
      <c r="Q155" s="450">
        <f t="shared" si="109"/>
        <v>45903</v>
      </c>
      <c r="R155" s="450">
        <v>46262</v>
      </c>
      <c r="S155" s="509" t="s">
        <v>146</v>
      </c>
      <c r="T155" s="510">
        <f>Tabla3[[#This Row],[Cantidad]]*Tabla3[[#This Row],[Cortes]]</f>
        <v>13106.8</v>
      </c>
      <c r="U155" s="511">
        <f t="shared" si="98"/>
        <v>12766.553356890652</v>
      </c>
      <c r="V155" s="511">
        <f t="shared" si="99"/>
        <v>12764.314942489598</v>
      </c>
      <c r="W155" s="497">
        <f>IF(Tabla3[[#This Row],[Fecha de operación]]=$C$1,0,U155-V155)</f>
        <v>2.2384144010538876</v>
      </c>
      <c r="X155" s="512" t="str">
        <f t="shared" si="72"/>
        <v>Vigente</v>
      </c>
      <c r="Y155" s="498" t="s">
        <v>450</v>
      </c>
      <c r="Z155" s="469">
        <f t="shared" si="73"/>
        <v>150</v>
      </c>
      <c r="AA155" s="499">
        <f t="shared" si="112"/>
        <v>2.2411935898632609</v>
      </c>
      <c r="AB155" s="499">
        <f t="shared" si="112"/>
        <v>2.2047625378263094</v>
      </c>
      <c r="AC155" s="469" t="s">
        <v>451</v>
      </c>
      <c r="AD155" s="469" t="s">
        <v>454</v>
      </c>
      <c r="AG155" s="605">
        <f>+IF(Tabla3[[#This Row],[Amortización k | cupón de intereses]]="Amortización de K",Tabla3[[#This Row],[Valor Nominal]],0)</f>
        <v>0</v>
      </c>
      <c r="AH155" s="605">
        <f>+IF(AND(Tabla3[[#This Row],[Amortización k | cupón de intereses]]="Cupón de interés",Tabla3[[#This Row],[Estado]]="Vigente"),Tabla3[[#This Row],[Valor Nominal]],0)</f>
        <v>13106.8</v>
      </c>
      <c r="AI155" s="618">
        <f>+IF(Tabla3[[#This Row],[Amortización k | cupón de intereses]]="Amortización de K",SUMIFS($AH$7:$AH$557,Tabla3[Código Emisión],Tabla3[[#This Row],[Código Emisión]],Tabla3[Fecha de operación],Tabla3[[#This Row],[Fecha de operación]]),0)-Tabla3[[#This Row],[Accrued]]*Tabla3[[#This Row],[Valor Nominal]]</f>
        <v>0</v>
      </c>
      <c r="AJ155" s="605">
        <f>+IF(Tabla3[[#This Row],[Amortización k | cupón de intereses]]="Amortización de K",IF(Tabla3[[#This Row],[Precio Clean]]&gt;1,Tabla3[[#This Row],[Valor Nominal]]*(Tabla3[[#This Row],[Precio Clean]]-1),0),0)</f>
        <v>0</v>
      </c>
      <c r="AK155" s="605">
        <f>+IF(Tabla3[[#This Row],[Amortización k | cupón de intereses]]="Amortización de K",IF(Tabla3[[#This Row],[Precio Clean]]&lt;1,Tabla3[[#This Row],[Valor Nominal]]*(Tabla3[[#This Row],[Precio Clean]]-1),0),0)</f>
        <v>0</v>
      </c>
    </row>
    <row r="156" spans="1:37">
      <c r="A156" s="502"/>
      <c r="B156" s="437" t="str">
        <f t="shared" si="110"/>
        <v>Banco Nacional de Fomento</v>
      </c>
      <c r="C156" s="437" t="str">
        <f t="shared" si="107"/>
        <v>BNF_6,50%_2982028_BB2462-71_100K</v>
      </c>
      <c r="D156" s="437" t="s">
        <v>453</v>
      </c>
      <c r="E156" s="437" t="str">
        <f t="shared" si="111"/>
        <v>AA+py</v>
      </c>
      <c r="F156" s="437" t="s">
        <v>297</v>
      </c>
      <c r="G156" s="437" t="s">
        <v>298</v>
      </c>
      <c r="H156" s="437">
        <f t="shared" si="108"/>
        <v>8</v>
      </c>
      <c r="I156" s="492">
        <v>1549.31</v>
      </c>
      <c r="J156" s="451"/>
      <c r="K156" s="450"/>
      <c r="L156" s="451"/>
      <c r="M156" s="493"/>
      <c r="N156" s="493"/>
      <c r="O156" s="494">
        <f t="shared" si="109"/>
        <v>6.6095194220542886E-2</v>
      </c>
      <c r="P156" s="494">
        <f t="shared" si="109"/>
        <v>6.4517406068218541E-2</v>
      </c>
      <c r="Q156" s="450">
        <f t="shared" si="109"/>
        <v>45903</v>
      </c>
      <c r="R156" s="450">
        <v>46170</v>
      </c>
      <c r="S156" s="509" t="s">
        <v>146</v>
      </c>
      <c r="T156" s="510">
        <f>Tabla3[[#This Row],[Cantidad]]*Tabla3[[#This Row],[Cortes]]</f>
        <v>12394.48</v>
      </c>
      <c r="U156" s="511">
        <f t="shared" si="98"/>
        <v>12269.063513263962</v>
      </c>
      <c r="V156" s="511">
        <f t="shared" si="99"/>
        <v>12266.912325884894</v>
      </c>
      <c r="W156" s="497">
        <f>IF(Tabla3[[#This Row],[Fecha de operación]]=$C$1,0,U156-V156)</f>
        <v>2.1511873790677782</v>
      </c>
      <c r="X156" s="512" t="str">
        <f t="shared" si="72"/>
        <v>Vigente</v>
      </c>
      <c r="Y156" s="498" t="s">
        <v>450</v>
      </c>
      <c r="Z156" s="469">
        <f t="shared" si="73"/>
        <v>58</v>
      </c>
      <c r="AA156" s="499">
        <f t="shared" si="112"/>
        <v>2.2411935898632609</v>
      </c>
      <c r="AB156" s="499">
        <f t="shared" si="112"/>
        <v>2.2047625378263094</v>
      </c>
      <c r="AC156" s="469" t="s">
        <v>451</v>
      </c>
      <c r="AD156" s="469" t="s">
        <v>454</v>
      </c>
      <c r="AG156" s="605">
        <f>+IF(Tabla3[[#This Row],[Amortización k | cupón de intereses]]="Amortización de K",Tabla3[[#This Row],[Valor Nominal]],0)</f>
        <v>0</v>
      </c>
      <c r="AH156" s="605">
        <f>+IF(AND(Tabla3[[#This Row],[Amortización k | cupón de intereses]]="Cupón de interés",Tabla3[[#This Row],[Estado]]="Vigente"),Tabla3[[#This Row],[Valor Nominal]],0)</f>
        <v>12394.48</v>
      </c>
      <c r="AI156" s="618">
        <f>+IF(Tabla3[[#This Row],[Amortización k | cupón de intereses]]="Amortización de K",SUMIFS($AH$7:$AH$557,Tabla3[Código Emisión],Tabla3[[#This Row],[Código Emisión]],Tabla3[Fecha de operación],Tabla3[[#This Row],[Fecha de operación]]),0)-Tabla3[[#This Row],[Accrued]]*Tabla3[[#This Row],[Valor Nominal]]</f>
        <v>0</v>
      </c>
      <c r="AJ156" s="605">
        <f>+IF(Tabla3[[#This Row],[Amortización k | cupón de intereses]]="Amortización de K",IF(Tabla3[[#This Row],[Precio Clean]]&gt;1,Tabla3[[#This Row],[Valor Nominal]]*(Tabla3[[#This Row],[Precio Clean]]-1),0),0)</f>
        <v>0</v>
      </c>
      <c r="AK156" s="605">
        <f>+IF(Tabla3[[#This Row],[Amortización k | cupón de intereses]]="Amortización de K",IF(Tabla3[[#This Row],[Precio Clean]]&lt;1,Tabla3[[#This Row],[Valor Nominal]]*(Tabla3[[#This Row],[Precio Clean]]-1),0),0)</f>
        <v>0</v>
      </c>
    </row>
    <row r="157" spans="1:37">
      <c r="A157" s="502"/>
      <c r="B157" s="437" t="str">
        <f t="shared" si="110"/>
        <v>Banco Nacional de Fomento</v>
      </c>
      <c r="C157" s="437" t="str">
        <f t="shared" si="107"/>
        <v>BNF_6,50%_2982028_BB2462-71_100K</v>
      </c>
      <c r="D157" s="437" t="s">
        <v>453</v>
      </c>
      <c r="E157" s="437" t="str">
        <f t="shared" si="111"/>
        <v>AA+py</v>
      </c>
      <c r="F157" s="437" t="s">
        <v>297</v>
      </c>
      <c r="G157" s="437" t="s">
        <v>298</v>
      </c>
      <c r="H157" s="437">
        <f t="shared" si="108"/>
        <v>8</v>
      </c>
      <c r="I157" s="492">
        <v>1673.97</v>
      </c>
      <c r="J157" s="451"/>
      <c r="K157" s="450"/>
      <c r="L157" s="451"/>
      <c r="M157" s="493"/>
      <c r="N157" s="493"/>
      <c r="O157" s="494">
        <f t="shared" si="109"/>
        <v>6.6095194220542886E-2</v>
      </c>
      <c r="P157" s="494">
        <f t="shared" si="109"/>
        <v>6.4517406068218541E-2</v>
      </c>
      <c r="Q157" s="450">
        <f t="shared" si="109"/>
        <v>45903</v>
      </c>
      <c r="R157" s="450">
        <v>46083</v>
      </c>
      <c r="S157" s="509" t="s">
        <v>146</v>
      </c>
      <c r="T157" s="510">
        <f>Tabla3[[#This Row],[Cantidad]]*Tabla3[[#This Row],[Cortes]]</f>
        <v>13391.76</v>
      </c>
      <c r="U157" s="511" t="b">
        <f t="shared" si="98"/>
        <v>0</v>
      </c>
      <c r="V157" s="511" t="b">
        <f t="shared" si="99"/>
        <v>0</v>
      </c>
      <c r="W157" s="497">
        <f>IF(Tabla3[[#This Row],[Fecha de operación]]=$C$1,0,U157-V157)</f>
        <v>0</v>
      </c>
      <c r="X157" s="512" t="str">
        <f t="shared" si="72"/>
        <v>Vencido</v>
      </c>
      <c r="Y157" s="498" t="s">
        <v>450</v>
      </c>
      <c r="Z157" s="469">
        <f t="shared" si="73"/>
        <v>-29</v>
      </c>
      <c r="AA157" s="499">
        <f t="shared" si="112"/>
        <v>2.2411935898632609</v>
      </c>
      <c r="AB157" s="499">
        <f t="shared" si="112"/>
        <v>2.2047625378263094</v>
      </c>
      <c r="AC157" s="469" t="s">
        <v>451</v>
      </c>
      <c r="AD157" s="469" t="s">
        <v>454</v>
      </c>
      <c r="AG157" s="605">
        <f>+IF(Tabla3[[#This Row],[Amortización k | cupón de intereses]]="Amortización de K",Tabla3[[#This Row],[Valor Nominal]],0)</f>
        <v>0</v>
      </c>
      <c r="AH157" s="605">
        <f>+IF(AND(Tabla3[[#This Row],[Amortización k | cupón de intereses]]="Cupón de interés",Tabla3[[#This Row],[Estado]]="Vigente"),Tabla3[[#This Row],[Valor Nominal]],0)</f>
        <v>0</v>
      </c>
      <c r="AI157" s="618">
        <f>+IF(Tabla3[[#This Row],[Amortización k | cupón de intereses]]="Amortización de K",SUMIFS($AH$7:$AH$557,Tabla3[Código Emisión],Tabla3[[#This Row],[Código Emisión]],Tabla3[Fecha de operación],Tabla3[[#This Row],[Fecha de operación]]),0)-Tabla3[[#This Row],[Accrued]]*Tabla3[[#This Row],[Valor Nominal]]</f>
        <v>0</v>
      </c>
      <c r="AJ157" s="605">
        <f>+IF(Tabla3[[#This Row],[Amortización k | cupón de intereses]]="Amortización de K",IF(Tabla3[[#This Row],[Precio Clean]]&gt;1,Tabla3[[#This Row],[Valor Nominal]]*(Tabla3[[#This Row],[Precio Clean]]-1),0),0)</f>
        <v>0</v>
      </c>
      <c r="AK157" s="605">
        <f>+IF(Tabla3[[#This Row],[Amortización k | cupón de intereses]]="Amortización de K",IF(Tabla3[[#This Row],[Precio Clean]]&lt;1,Tabla3[[#This Row],[Valor Nominal]]*(Tabla3[[#This Row],[Precio Clean]]-1),0),0)</f>
        <v>0</v>
      </c>
    </row>
    <row r="158" spans="1:37">
      <c r="A158" s="502"/>
      <c r="B158" s="437" t="str">
        <f t="shared" si="110"/>
        <v>Banco Nacional de Fomento</v>
      </c>
      <c r="C158" s="437" t="str">
        <f t="shared" si="107"/>
        <v>BNF_6,50%_2982028_BB2462-71_100K</v>
      </c>
      <c r="D158" s="437" t="s">
        <v>453</v>
      </c>
      <c r="E158" s="437" t="str">
        <f t="shared" si="111"/>
        <v>AA+py</v>
      </c>
      <c r="F158" s="437" t="s">
        <v>297</v>
      </c>
      <c r="G158" s="437" t="s">
        <v>298</v>
      </c>
      <c r="H158" s="437">
        <f t="shared" si="108"/>
        <v>8</v>
      </c>
      <c r="I158" s="492">
        <v>1638.35</v>
      </c>
      <c r="J158" s="451"/>
      <c r="K158" s="450"/>
      <c r="L158" s="451"/>
      <c r="M158" s="493"/>
      <c r="N158" s="493"/>
      <c r="O158" s="494">
        <f t="shared" si="109"/>
        <v>6.6095194220542886E-2</v>
      </c>
      <c r="P158" s="494">
        <f t="shared" si="109"/>
        <v>6.4517406068218541E-2</v>
      </c>
      <c r="Q158" s="450">
        <f t="shared" si="109"/>
        <v>45903</v>
      </c>
      <c r="R158" s="450">
        <v>45989</v>
      </c>
      <c r="S158" s="509" t="s">
        <v>146</v>
      </c>
      <c r="T158" s="510">
        <f>Tabla3[[#This Row],[Cantidad]]*Tabla3[[#This Row],[Cortes]]</f>
        <v>13106.8</v>
      </c>
      <c r="U158" s="511" t="b">
        <f t="shared" si="98"/>
        <v>0</v>
      </c>
      <c r="V158" s="511" t="b">
        <f t="shared" si="99"/>
        <v>0</v>
      </c>
      <c r="W158" s="497">
        <f>IF(Tabla3[[#This Row],[Fecha de operación]]=$C$1,0,U158-V158)</f>
        <v>0</v>
      </c>
      <c r="X158" s="512" t="str">
        <f t="shared" si="72"/>
        <v>Vencido</v>
      </c>
      <c r="Y158" s="498" t="s">
        <v>450</v>
      </c>
      <c r="Z158" s="469">
        <f t="shared" si="73"/>
        <v>-123</v>
      </c>
      <c r="AA158" s="499">
        <f t="shared" si="112"/>
        <v>2.2411935898632609</v>
      </c>
      <c r="AB158" s="499">
        <f t="shared" si="112"/>
        <v>2.2047625378263094</v>
      </c>
      <c r="AC158" s="469" t="s">
        <v>451</v>
      </c>
      <c r="AD158" s="469" t="s">
        <v>454</v>
      </c>
      <c r="AG158" s="605">
        <f>+IF(Tabla3[[#This Row],[Amortización k | cupón de intereses]]="Amortización de K",Tabla3[[#This Row],[Valor Nominal]],0)</f>
        <v>0</v>
      </c>
      <c r="AH158" s="605">
        <f>+IF(AND(Tabla3[[#This Row],[Amortización k | cupón de intereses]]="Cupón de interés",Tabla3[[#This Row],[Estado]]="Vigente"),Tabla3[[#This Row],[Valor Nominal]],0)</f>
        <v>0</v>
      </c>
      <c r="AI158" s="618">
        <f>+IF(Tabla3[[#This Row],[Amortización k | cupón de intereses]]="Amortización de K",SUMIFS($AH$7:$AH$557,Tabla3[Código Emisión],Tabla3[[#This Row],[Código Emisión]],Tabla3[Fecha de operación],Tabla3[[#This Row],[Fecha de operación]]),0)-Tabla3[[#This Row],[Accrued]]*Tabla3[[#This Row],[Valor Nominal]]</f>
        <v>0</v>
      </c>
      <c r="AJ158" s="605">
        <f>+IF(Tabla3[[#This Row],[Amortización k | cupón de intereses]]="Amortización de K",IF(Tabla3[[#This Row],[Precio Clean]]&gt;1,Tabla3[[#This Row],[Valor Nominal]]*(Tabla3[[#This Row],[Precio Clean]]-1),0),0)</f>
        <v>0</v>
      </c>
      <c r="AK158" s="605">
        <f>+IF(Tabla3[[#This Row],[Amortización k | cupón de intereses]]="Amortización de K",IF(Tabla3[[#This Row],[Precio Clean]]&lt;1,Tabla3[[#This Row],[Valor Nominal]]*(Tabla3[[#This Row],[Precio Clean]]-1),0),0)</f>
        <v>0</v>
      </c>
    </row>
    <row r="159" spans="1:37" ht="15">
      <c r="A159" s="500">
        <f>+A145+1</f>
        <v>19</v>
      </c>
      <c r="B159" s="475" t="s">
        <v>485</v>
      </c>
      <c r="C159" s="475" t="s">
        <v>515</v>
      </c>
      <c r="D159" s="475" t="s">
        <v>453</v>
      </c>
      <c r="E159" s="475" t="s">
        <v>487</v>
      </c>
      <c r="F159" s="475" t="s">
        <v>297</v>
      </c>
      <c r="G159" s="475" t="s">
        <v>298</v>
      </c>
      <c r="H159" s="475">
        <v>8</v>
      </c>
      <c r="I159" s="477">
        <v>100000</v>
      </c>
      <c r="J159" s="478">
        <v>6.5000000000000002E-2</v>
      </c>
      <c r="K159" s="479">
        <f>_xlfn.MAXIFS(R:R,C:C,C159,AD:AD,"Cupón de interés",X:X,"Vencido")</f>
        <v>46085</v>
      </c>
      <c r="L159" s="478">
        <f>+Tabla3[[#This Row],[Tasa de Interés]]*($U$5-Tabla3[[#This Row],[Last coupon]])/365</f>
        <v>4.8082191780821921E-3</v>
      </c>
      <c r="M159" s="480">
        <f>+Tabla3[[#This Row],[Precio Dirty]]-Tabla3[[#This Row],[Accrued]]</f>
        <v>1.0011051264218067</v>
      </c>
      <c r="N159" s="481">
        <f>SUMIFS(U:U,C:C,C159,Q:Q,Q159)/SUMIFS(T:T,C:C,C159,Q:Q,Q159,AD:AD,"Amortización de K")</f>
        <v>1.005913345599889</v>
      </c>
      <c r="O159" s="482">
        <v>6.6069158911705006E-2</v>
      </c>
      <c r="P159" s="482">
        <f>+NOMINAL(Tabla3[[#This Row],[YTM]],4)</f>
        <v>6.4492590757251556E-2</v>
      </c>
      <c r="Q159" s="484">
        <v>45904</v>
      </c>
      <c r="R159" s="484">
        <v>47001</v>
      </c>
      <c r="S159" s="504" t="s">
        <v>146</v>
      </c>
      <c r="T159" s="505">
        <f>Tabla3[[#This Row],[Cantidad]]*Tabla3[[#This Row],[Cortes]]</f>
        <v>800000</v>
      </c>
      <c r="U159" s="506">
        <f t="shared" si="98"/>
        <v>684566.21194256237</v>
      </c>
      <c r="V159" s="506">
        <f t="shared" si="99"/>
        <v>684446.22981586331</v>
      </c>
      <c r="W159" s="487">
        <f>IF(Tabla3[[#This Row],[Fecha de operación]]=$C$1,0,U159-V159)</f>
        <v>119.98212669906206</v>
      </c>
      <c r="X159" s="507" t="str">
        <f t="shared" si="72"/>
        <v>Vigente</v>
      </c>
      <c r="Y159" s="489" t="s">
        <v>450</v>
      </c>
      <c r="Z159" s="488">
        <f t="shared" si="73"/>
        <v>889</v>
      </c>
      <c r="AA159" s="508">
        <f t="shared" ref="AA159" si="113">IF(Y159="Mensual",DURATION($C$1,$C$1+Z159*12,J159/12,O159/12,1)/12,DURATION($C$1,R159,J159,O159,IF(Y159="Cupón cero",1,IF(Y159="Al vencimiento",1,IF(Y159="Anual",1,IF(Y159="Semestral",2,IF(Y159="Trimestral",4,"")))))))</f>
        <v>2.2550888056974738</v>
      </c>
      <c r="AB159" s="508">
        <f t="shared" ref="AB159" si="114">IF(Y159="Mensual",MDURATION($C$1,$C$1+Z159*12,J159/12,O159/12,1)/12,MDURATION($C$1,R159,J159,O159,IF(Y159="Cupón cero",1,IF(Y159="Al vencimiento",1,IF(Y159="Anual",1,IF(Y159="Semestral",2,IF(Y159="Trimestral",4,"")))))))</f>
        <v>2.218446088901306</v>
      </c>
      <c r="AC159" s="488" t="s">
        <v>451</v>
      </c>
      <c r="AD159" s="488" t="s">
        <v>452</v>
      </c>
      <c r="AG159" s="605">
        <f>+IF(Tabla3[[#This Row],[Amortización k | cupón de intereses]]="Amortización de K",Tabla3[[#This Row],[Valor Nominal]],0)</f>
        <v>800000</v>
      </c>
      <c r="AH159" s="605">
        <f>+IF(AND(Tabla3[[#This Row],[Amortización k | cupón de intereses]]="Cupón de interés",Tabla3[[#This Row],[Estado]]="Vigente"),Tabla3[[#This Row],[Valor Nominal]],0)</f>
        <v>0</v>
      </c>
      <c r="AI159" s="618">
        <f>+IF(Tabla3[[#This Row],[Amortización k | cupón de intereses]]="Amortización de K",SUMIFS($AH$7:$AH$557,Tabla3[Código Emisión],Tabla3[[#This Row],[Código Emisión]],Tabla3[Fecha de operación],Tabla3[[#This Row],[Fecha de operación]]),0)-Tabla3[[#This Row],[Accrued]]*Tabla3[[#This Row],[Valor Nominal]]</f>
        <v>126651.42465753424</v>
      </c>
      <c r="AJ159" s="605">
        <f>+IF(Tabla3[[#This Row],[Amortización k | cupón de intereses]]="Amortización de K",IF(Tabla3[[#This Row],[Precio Clean]]&gt;1,Tabla3[[#This Row],[Valor Nominal]]*(Tabla3[[#This Row],[Precio Clean]]-1),0),0)</f>
        <v>884.10113744537</v>
      </c>
      <c r="AK159" s="605">
        <f>+IF(Tabla3[[#This Row],[Amortización k | cupón de intereses]]="Amortización de K",IF(Tabla3[[#This Row],[Precio Clean]]&lt;1,Tabla3[[#This Row],[Valor Nominal]]*(Tabla3[[#This Row],[Precio Clean]]-1),0),0)</f>
        <v>0</v>
      </c>
    </row>
    <row r="160" spans="1:37">
      <c r="A160" s="502"/>
      <c r="B160" s="437" t="str">
        <f>+B159</f>
        <v>Banco Nacional de Fomento</v>
      </c>
      <c r="C160" s="437" t="str">
        <f>+C159</f>
        <v>BNF_6,50%_04092028_BB2497-04_100K</v>
      </c>
      <c r="D160" s="437" t="s">
        <v>453</v>
      </c>
      <c r="E160" s="437" t="str">
        <f>+E159</f>
        <v>AA+py</v>
      </c>
      <c r="F160" s="437" t="s">
        <v>297</v>
      </c>
      <c r="G160" s="437" t="s">
        <v>298</v>
      </c>
      <c r="H160" s="437">
        <f>+H159</f>
        <v>8</v>
      </c>
      <c r="I160" s="492">
        <v>17.8</v>
      </c>
      <c r="J160" s="451"/>
      <c r="K160" s="450"/>
      <c r="L160" s="451"/>
      <c r="M160" s="493"/>
      <c r="N160" s="493"/>
      <c r="O160" s="494">
        <f>+O159</f>
        <v>6.6069158911705006E-2</v>
      </c>
      <c r="P160" s="494">
        <f t="shared" ref="P160:P172" si="115">+P159</f>
        <v>6.4492590757251556E-2</v>
      </c>
      <c r="Q160" s="450">
        <v>45904</v>
      </c>
      <c r="R160" s="450">
        <v>47001</v>
      </c>
      <c r="S160" s="509" t="s">
        <v>146</v>
      </c>
      <c r="T160" s="510">
        <f>Tabla3[[#This Row],[Cantidad]]*Tabla3[[#This Row],[Cortes]]</f>
        <v>142.4</v>
      </c>
      <c r="U160" s="511">
        <f t="shared" si="98"/>
        <v>121.8527857257761</v>
      </c>
      <c r="V160" s="511">
        <f t="shared" si="99"/>
        <v>121.83142890722367</v>
      </c>
      <c r="W160" s="497">
        <f>IF(Tabla3[[#This Row],[Fecha de operación]]=$C$1,0,U160-V160)</f>
        <v>2.1356818552433765E-2</v>
      </c>
      <c r="X160" s="512" t="str">
        <f t="shared" si="72"/>
        <v>Vigente</v>
      </c>
      <c r="Y160" s="498" t="s">
        <v>450</v>
      </c>
      <c r="Z160" s="469">
        <f t="shared" si="73"/>
        <v>889</v>
      </c>
      <c r="AA160" s="499">
        <f>+AA159</f>
        <v>2.2550888056974738</v>
      </c>
      <c r="AB160" s="499">
        <f>+AB159</f>
        <v>2.218446088901306</v>
      </c>
      <c r="AC160" s="469" t="s">
        <v>451</v>
      </c>
      <c r="AD160" s="469" t="s">
        <v>454</v>
      </c>
      <c r="AG160" s="605">
        <f>+IF(Tabla3[[#This Row],[Amortización k | cupón de intereses]]="Amortización de K",Tabla3[[#This Row],[Valor Nominal]],0)</f>
        <v>0</v>
      </c>
      <c r="AH160" s="605">
        <f>+IF(AND(Tabla3[[#This Row],[Amortización k | cupón de intereses]]="Cupón de interés",Tabla3[[#This Row],[Estado]]="Vigente"),Tabla3[[#This Row],[Valor Nominal]],0)</f>
        <v>142.4</v>
      </c>
      <c r="AI160" s="618">
        <f>+IF(Tabla3[[#This Row],[Amortización k | cupón de intereses]]="Amortización de K",SUMIFS($AH$7:$AH$557,Tabla3[Código Emisión],Tabla3[[#This Row],[Código Emisión]],Tabla3[Fecha de operación],Tabla3[[#This Row],[Fecha de operación]]),0)-Tabla3[[#This Row],[Accrued]]*Tabla3[[#This Row],[Valor Nominal]]</f>
        <v>0</v>
      </c>
      <c r="AJ160" s="605">
        <f>+IF(Tabla3[[#This Row],[Amortización k | cupón de intereses]]="Amortización de K",IF(Tabla3[[#This Row],[Precio Clean]]&gt;1,Tabla3[[#This Row],[Valor Nominal]]*(Tabla3[[#This Row],[Precio Clean]]-1),0),0)</f>
        <v>0</v>
      </c>
      <c r="AK160" s="605">
        <f>+IF(Tabla3[[#This Row],[Amortización k | cupón de intereses]]="Amortización de K",IF(Tabla3[[#This Row],[Precio Clean]]&lt;1,Tabla3[[#This Row],[Valor Nominal]]*(Tabla3[[#This Row],[Precio Clean]]-1),0),0)</f>
        <v>0</v>
      </c>
    </row>
    <row r="161" spans="1:37">
      <c r="A161" s="502"/>
      <c r="B161" s="437" t="str">
        <f t="shared" ref="B161:C172" si="116">+B160</f>
        <v>Banco Nacional de Fomento</v>
      </c>
      <c r="C161" s="437" t="str">
        <f t="shared" si="116"/>
        <v>BNF_6,50%_04092028_BB2497-04_100K</v>
      </c>
      <c r="D161" s="437" t="s">
        <v>453</v>
      </c>
      <c r="E161" s="437" t="str">
        <f t="shared" ref="E161:E172" si="117">+E160</f>
        <v>AA+py</v>
      </c>
      <c r="F161" s="437" t="s">
        <v>297</v>
      </c>
      <c r="G161" s="437" t="s">
        <v>298</v>
      </c>
      <c r="H161" s="437">
        <f t="shared" ref="H161:H172" si="118">+H160</f>
        <v>8</v>
      </c>
      <c r="I161" s="492">
        <v>1620.54</v>
      </c>
      <c r="J161" s="451"/>
      <c r="K161" s="450"/>
      <c r="L161" s="451"/>
      <c r="M161" s="493"/>
      <c r="N161" s="493"/>
      <c r="O161" s="494">
        <f t="shared" ref="O161:O172" si="119">+O160</f>
        <v>6.6069158911705006E-2</v>
      </c>
      <c r="P161" s="494">
        <f t="shared" si="115"/>
        <v>6.4492590757251556E-2</v>
      </c>
      <c r="Q161" s="450">
        <v>45904</v>
      </c>
      <c r="R161" s="450">
        <v>47000</v>
      </c>
      <c r="S161" s="509" t="s">
        <v>146</v>
      </c>
      <c r="T161" s="510">
        <f>Tabla3[[#This Row],[Cantidad]]*Tabla3[[#This Row],[Cortes]]</f>
        <v>12964.32</v>
      </c>
      <c r="U161" s="511">
        <f t="shared" si="98"/>
        <v>11095.613990212343</v>
      </c>
      <c r="V161" s="511">
        <f t="shared" si="99"/>
        <v>11093.669291013999</v>
      </c>
      <c r="W161" s="497">
        <f>IF(Tabla3[[#This Row],[Fecha de operación]]=$C$1,0,U161-V161)</f>
        <v>1.9446991983440967</v>
      </c>
      <c r="X161" s="512" t="str">
        <f t="shared" si="72"/>
        <v>Vigente</v>
      </c>
      <c r="Y161" s="498" t="s">
        <v>450</v>
      </c>
      <c r="Z161" s="469">
        <f t="shared" si="73"/>
        <v>888</v>
      </c>
      <c r="AA161" s="499">
        <f t="shared" ref="AA161:AB172" si="120">+AA160</f>
        <v>2.2550888056974738</v>
      </c>
      <c r="AB161" s="499">
        <f t="shared" si="120"/>
        <v>2.218446088901306</v>
      </c>
      <c r="AC161" s="469" t="s">
        <v>451</v>
      </c>
      <c r="AD161" s="469" t="s">
        <v>454</v>
      </c>
      <c r="AG161" s="605">
        <f>+IF(Tabla3[[#This Row],[Amortización k | cupón de intereses]]="Amortización de K",Tabla3[[#This Row],[Valor Nominal]],0)</f>
        <v>0</v>
      </c>
      <c r="AH161" s="605">
        <f>+IF(AND(Tabla3[[#This Row],[Amortización k | cupón de intereses]]="Cupón de interés",Tabla3[[#This Row],[Estado]]="Vigente"),Tabla3[[#This Row],[Valor Nominal]],0)</f>
        <v>12964.32</v>
      </c>
      <c r="AI161" s="618">
        <f>+IF(Tabla3[[#This Row],[Amortización k | cupón de intereses]]="Amortización de K",SUMIFS($AH$7:$AH$557,Tabla3[Código Emisión],Tabla3[[#This Row],[Código Emisión]],Tabla3[Fecha de operación],Tabla3[[#This Row],[Fecha de operación]]),0)-Tabla3[[#This Row],[Accrued]]*Tabla3[[#This Row],[Valor Nominal]]</f>
        <v>0</v>
      </c>
      <c r="AJ161" s="605">
        <f>+IF(Tabla3[[#This Row],[Amortización k | cupón de intereses]]="Amortización de K",IF(Tabla3[[#This Row],[Precio Clean]]&gt;1,Tabla3[[#This Row],[Valor Nominal]]*(Tabla3[[#This Row],[Precio Clean]]-1),0),0)</f>
        <v>0</v>
      </c>
      <c r="AK161" s="605">
        <f>+IF(Tabla3[[#This Row],[Amortización k | cupón de intereses]]="Amortización de K",IF(Tabla3[[#This Row],[Precio Clean]]&lt;1,Tabla3[[#This Row],[Valor Nominal]]*(Tabla3[[#This Row],[Precio Clean]]-1),0),0)</f>
        <v>0</v>
      </c>
    </row>
    <row r="162" spans="1:37">
      <c r="A162" s="502"/>
      <c r="B162" s="437" t="str">
        <f t="shared" si="116"/>
        <v>Banco Nacional de Fomento</v>
      </c>
      <c r="C162" s="437" t="str">
        <f t="shared" si="116"/>
        <v>BNF_6,50%_04092028_BB2497-04_100K</v>
      </c>
      <c r="D162" s="437" t="s">
        <v>453</v>
      </c>
      <c r="E162" s="437" t="str">
        <f t="shared" si="117"/>
        <v>AA+py</v>
      </c>
      <c r="F162" s="437" t="s">
        <v>297</v>
      </c>
      <c r="G162" s="437" t="s">
        <v>298</v>
      </c>
      <c r="H162" s="437">
        <f t="shared" si="118"/>
        <v>8</v>
      </c>
      <c r="I162" s="492">
        <v>1620.54</v>
      </c>
      <c r="J162" s="451"/>
      <c r="K162" s="450"/>
      <c r="L162" s="451"/>
      <c r="M162" s="493"/>
      <c r="N162" s="493"/>
      <c r="O162" s="494">
        <f t="shared" si="119"/>
        <v>6.6069158911705006E-2</v>
      </c>
      <c r="P162" s="494">
        <f t="shared" si="115"/>
        <v>6.4492590757251556E-2</v>
      </c>
      <c r="Q162" s="450">
        <v>45904</v>
      </c>
      <c r="R162" s="450">
        <v>46909</v>
      </c>
      <c r="S162" s="509" t="s">
        <v>146</v>
      </c>
      <c r="T162" s="510">
        <f>Tabla3[[#This Row],[Cantidad]]*Tabla3[[#This Row],[Cortes]]</f>
        <v>12964.32</v>
      </c>
      <c r="U162" s="511">
        <f t="shared" si="98"/>
        <v>11274.016167339974</v>
      </c>
      <c r="V162" s="511">
        <f t="shared" si="99"/>
        <v>11272.04020005938</v>
      </c>
      <c r="W162" s="497">
        <f>IF(Tabla3[[#This Row],[Fecha de operación]]=$C$1,0,U162-V162)</f>
        <v>1.9759672805939772</v>
      </c>
      <c r="X162" s="512" t="str">
        <f t="shared" si="72"/>
        <v>Vigente</v>
      </c>
      <c r="Y162" s="498" t="s">
        <v>450</v>
      </c>
      <c r="Z162" s="469">
        <f t="shared" si="73"/>
        <v>797</v>
      </c>
      <c r="AA162" s="499">
        <f t="shared" si="120"/>
        <v>2.2550888056974738</v>
      </c>
      <c r="AB162" s="499">
        <f t="shared" si="120"/>
        <v>2.218446088901306</v>
      </c>
      <c r="AC162" s="469" t="s">
        <v>451</v>
      </c>
      <c r="AD162" s="469" t="s">
        <v>454</v>
      </c>
      <c r="AG162" s="605">
        <f>+IF(Tabla3[[#This Row],[Amortización k | cupón de intereses]]="Amortización de K",Tabla3[[#This Row],[Valor Nominal]],0)</f>
        <v>0</v>
      </c>
      <c r="AH162" s="605">
        <f>+IF(AND(Tabla3[[#This Row],[Amortización k | cupón de intereses]]="Cupón de interés",Tabla3[[#This Row],[Estado]]="Vigente"),Tabla3[[#This Row],[Valor Nominal]],0)</f>
        <v>12964.32</v>
      </c>
      <c r="AI162" s="618">
        <f>+IF(Tabla3[[#This Row],[Amortización k | cupón de intereses]]="Amortización de K",SUMIFS($AH$7:$AH$557,Tabla3[Código Emisión],Tabla3[[#This Row],[Código Emisión]],Tabla3[Fecha de operación],Tabla3[[#This Row],[Fecha de operación]]),0)-Tabla3[[#This Row],[Accrued]]*Tabla3[[#This Row],[Valor Nominal]]</f>
        <v>0</v>
      </c>
      <c r="AJ162" s="605">
        <f>+IF(Tabla3[[#This Row],[Amortización k | cupón de intereses]]="Amortización de K",IF(Tabla3[[#This Row],[Precio Clean]]&gt;1,Tabla3[[#This Row],[Valor Nominal]]*(Tabla3[[#This Row],[Precio Clean]]-1),0),0)</f>
        <v>0</v>
      </c>
      <c r="AK162" s="605">
        <f>+IF(Tabla3[[#This Row],[Amortización k | cupón de intereses]]="Amortización de K",IF(Tabla3[[#This Row],[Precio Clean]]&lt;1,Tabla3[[#This Row],[Valor Nominal]]*(Tabla3[[#This Row],[Precio Clean]]-1),0),0)</f>
        <v>0</v>
      </c>
    </row>
    <row r="163" spans="1:37">
      <c r="A163" s="502"/>
      <c r="B163" s="437" t="str">
        <f t="shared" si="116"/>
        <v>Banco Nacional de Fomento</v>
      </c>
      <c r="C163" s="437" t="str">
        <f t="shared" si="116"/>
        <v>BNF_6,50%_04092028_BB2497-04_100K</v>
      </c>
      <c r="D163" s="437" t="s">
        <v>453</v>
      </c>
      <c r="E163" s="437" t="str">
        <f t="shared" si="117"/>
        <v>AA+py</v>
      </c>
      <c r="F163" s="437" t="s">
        <v>297</v>
      </c>
      <c r="G163" s="437" t="s">
        <v>298</v>
      </c>
      <c r="H163" s="437">
        <f t="shared" si="118"/>
        <v>8</v>
      </c>
      <c r="I163" s="492">
        <v>1620.54</v>
      </c>
      <c r="J163" s="451"/>
      <c r="K163" s="450"/>
      <c r="L163" s="451"/>
      <c r="M163" s="493"/>
      <c r="N163" s="493"/>
      <c r="O163" s="494">
        <f t="shared" si="119"/>
        <v>6.6069158911705006E-2</v>
      </c>
      <c r="P163" s="494">
        <f t="shared" si="115"/>
        <v>6.4492590757251556E-2</v>
      </c>
      <c r="Q163" s="450">
        <v>45904</v>
      </c>
      <c r="R163" s="450">
        <v>46818</v>
      </c>
      <c r="S163" s="509" t="s">
        <v>146</v>
      </c>
      <c r="T163" s="510">
        <f>Tabla3[[#This Row],[Cantidad]]*Tabla3[[#This Row],[Cortes]]</f>
        <v>12964.32</v>
      </c>
      <c r="U163" s="511">
        <f t="shared" si="98"/>
        <v>11455.286805539876</v>
      </c>
      <c r="V163" s="511">
        <f t="shared" si="99"/>
        <v>11453.279067429377</v>
      </c>
      <c r="W163" s="497">
        <f>IF(Tabla3[[#This Row],[Fecha de operación]]=$C$1,0,U163-V163)</f>
        <v>2.0077381104983942</v>
      </c>
      <c r="X163" s="512" t="str">
        <f t="shared" si="72"/>
        <v>Vigente</v>
      </c>
      <c r="Y163" s="498" t="s">
        <v>450</v>
      </c>
      <c r="Z163" s="469">
        <f t="shared" si="73"/>
        <v>706</v>
      </c>
      <c r="AA163" s="499">
        <f t="shared" si="120"/>
        <v>2.2550888056974738</v>
      </c>
      <c r="AB163" s="499">
        <f t="shared" si="120"/>
        <v>2.218446088901306</v>
      </c>
      <c r="AC163" s="469" t="s">
        <v>451</v>
      </c>
      <c r="AD163" s="469" t="s">
        <v>454</v>
      </c>
      <c r="AG163" s="605">
        <f>+IF(Tabla3[[#This Row],[Amortización k | cupón de intereses]]="Amortización de K",Tabla3[[#This Row],[Valor Nominal]],0)</f>
        <v>0</v>
      </c>
      <c r="AH163" s="605">
        <f>+IF(AND(Tabla3[[#This Row],[Amortización k | cupón de intereses]]="Cupón de interés",Tabla3[[#This Row],[Estado]]="Vigente"),Tabla3[[#This Row],[Valor Nominal]],0)</f>
        <v>12964.32</v>
      </c>
      <c r="AI163" s="618">
        <f>+IF(Tabla3[[#This Row],[Amortización k | cupón de intereses]]="Amortización de K",SUMIFS($AH$7:$AH$557,Tabla3[Código Emisión],Tabla3[[#This Row],[Código Emisión]],Tabla3[Fecha de operación],Tabla3[[#This Row],[Fecha de operación]]),0)-Tabla3[[#This Row],[Accrued]]*Tabla3[[#This Row],[Valor Nominal]]</f>
        <v>0</v>
      </c>
      <c r="AJ163" s="605">
        <f>+IF(Tabla3[[#This Row],[Amortización k | cupón de intereses]]="Amortización de K",IF(Tabla3[[#This Row],[Precio Clean]]&gt;1,Tabla3[[#This Row],[Valor Nominal]]*(Tabla3[[#This Row],[Precio Clean]]-1),0),0)</f>
        <v>0</v>
      </c>
      <c r="AK163" s="605">
        <f>+IF(Tabla3[[#This Row],[Amortización k | cupón de intereses]]="Amortización de K",IF(Tabla3[[#This Row],[Precio Clean]]&lt;1,Tabla3[[#This Row],[Valor Nominal]]*(Tabla3[[#This Row],[Precio Clean]]-1),0),0)</f>
        <v>0</v>
      </c>
    </row>
    <row r="164" spans="1:37">
      <c r="A164" s="502"/>
      <c r="B164" s="437" t="str">
        <f t="shared" si="116"/>
        <v>Banco Nacional de Fomento</v>
      </c>
      <c r="C164" s="437" t="str">
        <f t="shared" si="116"/>
        <v>BNF_6,50%_04092028_BB2497-04_100K</v>
      </c>
      <c r="D164" s="437" t="s">
        <v>453</v>
      </c>
      <c r="E164" s="437" t="str">
        <f t="shared" si="117"/>
        <v>AA+py</v>
      </c>
      <c r="F164" s="437" t="s">
        <v>297</v>
      </c>
      <c r="G164" s="437" t="s">
        <v>298</v>
      </c>
      <c r="H164" s="437">
        <f t="shared" si="118"/>
        <v>8</v>
      </c>
      <c r="I164" s="492">
        <v>1620.54</v>
      </c>
      <c r="J164" s="451"/>
      <c r="K164" s="450"/>
      <c r="L164" s="451"/>
      <c r="M164" s="493"/>
      <c r="N164" s="493"/>
      <c r="O164" s="494">
        <f t="shared" si="119"/>
        <v>6.6069158911705006E-2</v>
      </c>
      <c r="P164" s="494">
        <f t="shared" si="115"/>
        <v>6.4492590757251556E-2</v>
      </c>
      <c r="Q164" s="450">
        <v>45904</v>
      </c>
      <c r="R164" s="450">
        <v>46727</v>
      </c>
      <c r="S164" s="509" t="s">
        <v>146</v>
      </c>
      <c r="T164" s="510">
        <f>Tabla3[[#This Row],[Cantidad]]*Tabla3[[#This Row],[Cortes]]</f>
        <v>12964.32</v>
      </c>
      <c r="U164" s="511">
        <f t="shared" si="98"/>
        <v>11639.472025711781</v>
      </c>
      <c r="V164" s="511">
        <f t="shared" si="99"/>
        <v>11637.432005940227</v>
      </c>
      <c r="W164" s="497">
        <f>IF(Tabla3[[#This Row],[Fecha de operación]]=$C$1,0,U164-V164)</f>
        <v>2.0400197715534887</v>
      </c>
      <c r="X164" s="512" t="str">
        <f t="shared" si="72"/>
        <v>Vigente</v>
      </c>
      <c r="Y164" s="498" t="s">
        <v>450</v>
      </c>
      <c r="Z164" s="469">
        <f t="shared" si="73"/>
        <v>615</v>
      </c>
      <c r="AA164" s="499">
        <f t="shared" si="120"/>
        <v>2.2550888056974738</v>
      </c>
      <c r="AB164" s="499">
        <f t="shared" si="120"/>
        <v>2.218446088901306</v>
      </c>
      <c r="AC164" s="469" t="s">
        <v>451</v>
      </c>
      <c r="AD164" s="469" t="s">
        <v>454</v>
      </c>
      <c r="AG164" s="605">
        <f>+IF(Tabla3[[#This Row],[Amortización k | cupón de intereses]]="Amortización de K",Tabla3[[#This Row],[Valor Nominal]],0)</f>
        <v>0</v>
      </c>
      <c r="AH164" s="605">
        <f>+IF(AND(Tabla3[[#This Row],[Amortización k | cupón de intereses]]="Cupón de interés",Tabla3[[#This Row],[Estado]]="Vigente"),Tabla3[[#This Row],[Valor Nominal]],0)</f>
        <v>12964.32</v>
      </c>
      <c r="AI164" s="618">
        <f>+IF(Tabla3[[#This Row],[Amortización k | cupón de intereses]]="Amortización de K",SUMIFS($AH$7:$AH$557,Tabla3[Código Emisión],Tabla3[[#This Row],[Código Emisión]],Tabla3[Fecha de operación],Tabla3[[#This Row],[Fecha de operación]]),0)-Tabla3[[#This Row],[Accrued]]*Tabla3[[#This Row],[Valor Nominal]]</f>
        <v>0</v>
      </c>
      <c r="AJ164" s="605">
        <f>+IF(Tabla3[[#This Row],[Amortización k | cupón de intereses]]="Amortización de K",IF(Tabla3[[#This Row],[Precio Clean]]&gt;1,Tabla3[[#This Row],[Valor Nominal]]*(Tabla3[[#This Row],[Precio Clean]]-1),0),0)</f>
        <v>0</v>
      </c>
      <c r="AK164" s="605">
        <f>+IF(Tabla3[[#This Row],[Amortización k | cupón de intereses]]="Amortización de K",IF(Tabla3[[#This Row],[Precio Clean]]&lt;1,Tabla3[[#This Row],[Valor Nominal]]*(Tabla3[[#This Row],[Precio Clean]]-1),0),0)</f>
        <v>0</v>
      </c>
    </row>
    <row r="165" spans="1:37">
      <c r="A165" s="502"/>
      <c r="B165" s="437" t="str">
        <f t="shared" si="116"/>
        <v>Banco Nacional de Fomento</v>
      </c>
      <c r="C165" s="437" t="str">
        <f t="shared" si="116"/>
        <v>BNF_6,50%_04092028_BB2497-04_100K</v>
      </c>
      <c r="D165" s="437" t="s">
        <v>453</v>
      </c>
      <c r="E165" s="437" t="str">
        <f t="shared" si="117"/>
        <v>AA+py</v>
      </c>
      <c r="F165" s="437" t="s">
        <v>297</v>
      </c>
      <c r="G165" s="437" t="s">
        <v>298</v>
      </c>
      <c r="H165" s="437">
        <f t="shared" si="118"/>
        <v>8</v>
      </c>
      <c r="I165" s="492">
        <v>1673.97</v>
      </c>
      <c r="J165" s="451"/>
      <c r="K165" s="450"/>
      <c r="L165" s="451"/>
      <c r="M165" s="493"/>
      <c r="N165" s="493"/>
      <c r="O165" s="494">
        <f t="shared" si="119"/>
        <v>6.6069158911705006E-2</v>
      </c>
      <c r="P165" s="494">
        <f t="shared" si="115"/>
        <v>6.4492590757251556E-2</v>
      </c>
      <c r="Q165" s="450">
        <v>45904</v>
      </c>
      <c r="R165" s="450">
        <v>46636</v>
      </c>
      <c r="S165" s="509" t="s">
        <v>146</v>
      </c>
      <c r="T165" s="510">
        <f>Tabla3[[#This Row],[Cantidad]]*Tabla3[[#This Row],[Cortes]]</f>
        <v>13391.76</v>
      </c>
      <c r="U165" s="511">
        <f t="shared" si="98"/>
        <v>12216.548119162822</v>
      </c>
      <c r="V165" s="511">
        <f t="shared" si="99"/>
        <v>12214.406956776062</v>
      </c>
      <c r="W165" s="497">
        <f>IF(Tabla3[[#This Row],[Fecha de operación]]=$C$1,0,U165-V165)</f>
        <v>2.1411623867606977</v>
      </c>
      <c r="X165" s="512" t="str">
        <f t="shared" ref="X165:X228" si="121">IF(R165&lt;=$U$5,"Vencido","Vigente")</f>
        <v>Vigente</v>
      </c>
      <c r="Y165" s="498" t="s">
        <v>450</v>
      </c>
      <c r="Z165" s="469">
        <f t="shared" ref="Z165:Z228" si="122">+R165-$U$5</f>
        <v>524</v>
      </c>
      <c r="AA165" s="499">
        <f t="shared" si="120"/>
        <v>2.2550888056974738</v>
      </c>
      <c r="AB165" s="499">
        <f t="shared" si="120"/>
        <v>2.218446088901306</v>
      </c>
      <c r="AC165" s="469" t="s">
        <v>451</v>
      </c>
      <c r="AD165" s="469" t="s">
        <v>454</v>
      </c>
      <c r="AG165" s="605">
        <f>+IF(Tabla3[[#This Row],[Amortización k | cupón de intereses]]="Amortización de K",Tabla3[[#This Row],[Valor Nominal]],0)</f>
        <v>0</v>
      </c>
      <c r="AH165" s="605">
        <f>+IF(AND(Tabla3[[#This Row],[Amortización k | cupón de intereses]]="Cupón de interés",Tabla3[[#This Row],[Estado]]="Vigente"),Tabla3[[#This Row],[Valor Nominal]],0)</f>
        <v>13391.76</v>
      </c>
      <c r="AI165" s="618">
        <f>+IF(Tabla3[[#This Row],[Amortización k | cupón de intereses]]="Amortización de K",SUMIFS($AH$7:$AH$557,Tabla3[Código Emisión],Tabla3[[#This Row],[Código Emisión]],Tabla3[Fecha de operación],Tabla3[[#This Row],[Fecha de operación]]),0)-Tabla3[[#This Row],[Accrued]]*Tabla3[[#This Row],[Valor Nominal]]</f>
        <v>0</v>
      </c>
      <c r="AJ165" s="605">
        <f>+IF(Tabla3[[#This Row],[Amortización k | cupón de intereses]]="Amortización de K",IF(Tabla3[[#This Row],[Precio Clean]]&gt;1,Tabla3[[#This Row],[Valor Nominal]]*(Tabla3[[#This Row],[Precio Clean]]-1),0),0)</f>
        <v>0</v>
      </c>
      <c r="AK165" s="605">
        <f>+IF(Tabla3[[#This Row],[Amortización k | cupón de intereses]]="Amortización de K",IF(Tabla3[[#This Row],[Precio Clean]]&lt;1,Tabla3[[#This Row],[Valor Nominal]]*(Tabla3[[#This Row],[Precio Clean]]-1),0),0)</f>
        <v>0</v>
      </c>
    </row>
    <row r="166" spans="1:37">
      <c r="A166" s="502"/>
      <c r="B166" s="437" t="str">
        <f t="shared" si="116"/>
        <v>Banco Nacional de Fomento</v>
      </c>
      <c r="C166" s="437" t="str">
        <f t="shared" si="116"/>
        <v>BNF_6,50%_04092028_BB2497-04_100K</v>
      </c>
      <c r="D166" s="437" t="s">
        <v>453</v>
      </c>
      <c r="E166" s="437" t="str">
        <f t="shared" si="117"/>
        <v>AA+py</v>
      </c>
      <c r="F166" s="437" t="s">
        <v>297</v>
      </c>
      <c r="G166" s="437" t="s">
        <v>298</v>
      </c>
      <c r="H166" s="437">
        <f t="shared" si="118"/>
        <v>8</v>
      </c>
      <c r="I166" s="492">
        <v>1638.35</v>
      </c>
      <c r="J166" s="451"/>
      <c r="K166" s="450"/>
      <c r="L166" s="451"/>
      <c r="M166" s="493"/>
      <c r="N166" s="493"/>
      <c r="O166" s="494">
        <f t="shared" si="119"/>
        <v>6.6069158911705006E-2</v>
      </c>
      <c r="P166" s="494">
        <f t="shared" si="115"/>
        <v>6.4492590757251556E-2</v>
      </c>
      <c r="Q166" s="450">
        <v>45904</v>
      </c>
      <c r="R166" s="450">
        <v>46542</v>
      </c>
      <c r="S166" s="509" t="s">
        <v>146</v>
      </c>
      <c r="T166" s="510">
        <f>Tabla3[[#This Row],[Cantidad]]*Tabla3[[#This Row],[Cortes]]</f>
        <v>13106.8</v>
      </c>
      <c r="U166" s="511">
        <f t="shared" si="98"/>
        <v>12155.230860441137</v>
      </c>
      <c r="V166" s="511">
        <f t="shared" si="99"/>
        <v>12153.100444969688</v>
      </c>
      <c r="W166" s="497">
        <f>IF(Tabla3[[#This Row],[Fecha de operación]]=$C$1,0,U166-V166)</f>
        <v>2.1304154714489414</v>
      </c>
      <c r="X166" s="512" t="str">
        <f t="shared" si="121"/>
        <v>Vigente</v>
      </c>
      <c r="Y166" s="498" t="s">
        <v>450</v>
      </c>
      <c r="Z166" s="469">
        <f t="shared" si="122"/>
        <v>430</v>
      </c>
      <c r="AA166" s="499">
        <f t="shared" si="120"/>
        <v>2.2550888056974738</v>
      </c>
      <c r="AB166" s="499">
        <f t="shared" si="120"/>
        <v>2.218446088901306</v>
      </c>
      <c r="AC166" s="469" t="s">
        <v>451</v>
      </c>
      <c r="AD166" s="469" t="s">
        <v>454</v>
      </c>
      <c r="AG166" s="605">
        <f>+IF(Tabla3[[#This Row],[Amortización k | cupón de intereses]]="Amortización de K",Tabla3[[#This Row],[Valor Nominal]],0)</f>
        <v>0</v>
      </c>
      <c r="AH166" s="605">
        <f>+IF(AND(Tabla3[[#This Row],[Amortización k | cupón de intereses]]="Cupón de interés",Tabla3[[#This Row],[Estado]]="Vigente"),Tabla3[[#This Row],[Valor Nominal]],0)</f>
        <v>13106.8</v>
      </c>
      <c r="AI166" s="618">
        <f>+IF(Tabla3[[#This Row],[Amortización k | cupón de intereses]]="Amortización de K",SUMIFS($AH$7:$AH$557,Tabla3[Código Emisión],Tabla3[[#This Row],[Código Emisión]],Tabla3[Fecha de operación],Tabla3[[#This Row],[Fecha de operación]]),0)-Tabla3[[#This Row],[Accrued]]*Tabla3[[#This Row],[Valor Nominal]]</f>
        <v>0</v>
      </c>
      <c r="AJ166" s="605">
        <f>+IF(Tabla3[[#This Row],[Amortización k | cupón de intereses]]="Amortización de K",IF(Tabla3[[#This Row],[Precio Clean]]&gt;1,Tabla3[[#This Row],[Valor Nominal]]*(Tabla3[[#This Row],[Precio Clean]]-1),0),0)</f>
        <v>0</v>
      </c>
      <c r="AK166" s="605">
        <f>+IF(Tabla3[[#This Row],[Amortización k | cupón de intereses]]="Amortización de K",IF(Tabla3[[#This Row],[Precio Clean]]&lt;1,Tabla3[[#This Row],[Valor Nominal]]*(Tabla3[[#This Row],[Precio Clean]]-1),0),0)</f>
        <v>0</v>
      </c>
    </row>
    <row r="167" spans="1:37">
      <c r="A167" s="502"/>
      <c r="B167" s="437" t="str">
        <f t="shared" si="116"/>
        <v>Banco Nacional de Fomento</v>
      </c>
      <c r="C167" s="437" t="str">
        <f t="shared" si="116"/>
        <v>BNF_6,50%_04092028_BB2497-04_100K</v>
      </c>
      <c r="D167" s="437" t="s">
        <v>453</v>
      </c>
      <c r="E167" s="437" t="str">
        <f t="shared" si="117"/>
        <v>AA+py</v>
      </c>
      <c r="F167" s="437" t="s">
        <v>297</v>
      </c>
      <c r="G167" s="437" t="s">
        <v>298</v>
      </c>
      <c r="H167" s="437">
        <f t="shared" si="118"/>
        <v>8</v>
      </c>
      <c r="I167" s="492">
        <v>1602.73</v>
      </c>
      <c r="J167" s="451"/>
      <c r="K167" s="450"/>
      <c r="L167" s="451"/>
      <c r="M167" s="493"/>
      <c r="N167" s="493"/>
      <c r="O167" s="494">
        <f t="shared" si="119"/>
        <v>6.6069158911705006E-2</v>
      </c>
      <c r="P167" s="494">
        <f t="shared" si="115"/>
        <v>6.4492590757251556E-2</v>
      </c>
      <c r="Q167" s="450">
        <v>45904</v>
      </c>
      <c r="R167" s="450">
        <v>46450</v>
      </c>
      <c r="S167" s="509" t="s">
        <v>146</v>
      </c>
      <c r="T167" s="510">
        <f>Tabla3[[#This Row],[Cantidad]]*Tabla3[[#This Row],[Cortes]]</f>
        <v>12821.84</v>
      </c>
      <c r="U167" s="511">
        <f t="shared" si="98"/>
        <v>12084.267503630876</v>
      </c>
      <c r="V167" s="511">
        <f t="shared" si="99"/>
        <v>12082.149525721081</v>
      </c>
      <c r="W167" s="497">
        <f>IF(Tabla3[[#This Row],[Fecha de operación]]=$C$1,0,U167-V167)</f>
        <v>2.1179779097947176</v>
      </c>
      <c r="X167" s="512" t="str">
        <f t="shared" si="121"/>
        <v>Vigente</v>
      </c>
      <c r="Y167" s="498" t="s">
        <v>450</v>
      </c>
      <c r="Z167" s="469">
        <f t="shared" si="122"/>
        <v>338</v>
      </c>
      <c r="AA167" s="499">
        <f t="shared" si="120"/>
        <v>2.2550888056974738</v>
      </c>
      <c r="AB167" s="499">
        <f t="shared" si="120"/>
        <v>2.218446088901306</v>
      </c>
      <c r="AC167" s="469" t="s">
        <v>451</v>
      </c>
      <c r="AD167" s="469" t="s">
        <v>454</v>
      </c>
      <c r="AG167" s="605">
        <f>+IF(Tabla3[[#This Row],[Amortización k | cupón de intereses]]="Amortización de K",Tabla3[[#This Row],[Valor Nominal]],0)</f>
        <v>0</v>
      </c>
      <c r="AH167" s="605">
        <f>+IF(AND(Tabla3[[#This Row],[Amortización k | cupón de intereses]]="Cupón de interés",Tabla3[[#This Row],[Estado]]="Vigente"),Tabla3[[#This Row],[Valor Nominal]],0)</f>
        <v>12821.84</v>
      </c>
      <c r="AI167" s="618">
        <f>+IF(Tabla3[[#This Row],[Amortización k | cupón de intereses]]="Amortización de K",SUMIFS($AH$7:$AH$557,Tabla3[Código Emisión],Tabla3[[#This Row],[Código Emisión]],Tabla3[Fecha de operación],Tabla3[[#This Row],[Fecha de operación]]),0)-Tabla3[[#This Row],[Accrued]]*Tabla3[[#This Row],[Valor Nominal]]</f>
        <v>0</v>
      </c>
      <c r="AJ167" s="605">
        <f>+IF(Tabla3[[#This Row],[Amortización k | cupón de intereses]]="Amortización de K",IF(Tabla3[[#This Row],[Precio Clean]]&gt;1,Tabla3[[#This Row],[Valor Nominal]]*(Tabla3[[#This Row],[Precio Clean]]-1),0),0)</f>
        <v>0</v>
      </c>
      <c r="AK167" s="605">
        <f>+IF(Tabla3[[#This Row],[Amortización k | cupón de intereses]]="Amortización de K",IF(Tabla3[[#This Row],[Precio Clean]]&lt;1,Tabla3[[#This Row],[Valor Nominal]]*(Tabla3[[#This Row],[Precio Clean]]-1),0),0)</f>
        <v>0</v>
      </c>
    </row>
    <row r="168" spans="1:37">
      <c r="A168" s="502"/>
      <c r="B168" s="437" t="str">
        <f t="shared" si="116"/>
        <v>Banco Nacional de Fomento</v>
      </c>
      <c r="C168" s="437" t="str">
        <f t="shared" si="116"/>
        <v>BNF_6,50%_04092028_BB2497-04_100K</v>
      </c>
      <c r="D168" s="437" t="s">
        <v>453</v>
      </c>
      <c r="E168" s="437" t="str">
        <f t="shared" si="117"/>
        <v>AA+py</v>
      </c>
      <c r="F168" s="437" t="s">
        <v>297</v>
      </c>
      <c r="G168" s="437" t="s">
        <v>298</v>
      </c>
      <c r="H168" s="437">
        <f t="shared" si="118"/>
        <v>8</v>
      </c>
      <c r="I168" s="492">
        <v>1620.54</v>
      </c>
      <c r="J168" s="451"/>
      <c r="K168" s="450"/>
      <c r="L168" s="451"/>
      <c r="M168" s="493"/>
      <c r="N168" s="493"/>
      <c r="O168" s="494">
        <f t="shared" si="119"/>
        <v>6.6069158911705006E-2</v>
      </c>
      <c r="P168" s="494">
        <f t="shared" si="115"/>
        <v>6.4492590757251556E-2</v>
      </c>
      <c r="Q168" s="450">
        <v>45904</v>
      </c>
      <c r="R168" s="450">
        <v>46360</v>
      </c>
      <c r="S168" s="509" t="s">
        <v>146</v>
      </c>
      <c r="T168" s="510">
        <f>Tabla3[[#This Row],[Cantidad]]*Tabla3[[#This Row],[Cortes]]</f>
        <v>12964.32</v>
      </c>
      <c r="U168" s="511">
        <f t="shared" si="98"/>
        <v>12412.832900733842</v>
      </c>
      <c r="V168" s="511">
        <f t="shared" si="99"/>
        <v>12410.657336027596</v>
      </c>
      <c r="W168" s="497">
        <f>IF(Tabla3[[#This Row],[Fecha de operación]]=$C$1,0,U168-V168)</f>
        <v>2.1755647062454955</v>
      </c>
      <c r="X168" s="512" t="str">
        <f t="shared" si="121"/>
        <v>Vigente</v>
      </c>
      <c r="Y168" s="498" t="s">
        <v>450</v>
      </c>
      <c r="Z168" s="469">
        <f t="shared" si="122"/>
        <v>248</v>
      </c>
      <c r="AA168" s="499">
        <f t="shared" si="120"/>
        <v>2.2550888056974738</v>
      </c>
      <c r="AB168" s="499">
        <f t="shared" si="120"/>
        <v>2.218446088901306</v>
      </c>
      <c r="AC168" s="469" t="s">
        <v>451</v>
      </c>
      <c r="AD168" s="469" t="s">
        <v>454</v>
      </c>
      <c r="AG168" s="605">
        <f>+IF(Tabla3[[#This Row],[Amortización k | cupón de intereses]]="Amortización de K",Tabla3[[#This Row],[Valor Nominal]],0)</f>
        <v>0</v>
      </c>
      <c r="AH168" s="605">
        <f>+IF(AND(Tabla3[[#This Row],[Amortización k | cupón de intereses]]="Cupón de interés",Tabla3[[#This Row],[Estado]]="Vigente"),Tabla3[[#This Row],[Valor Nominal]],0)</f>
        <v>12964.32</v>
      </c>
      <c r="AI168" s="618">
        <f>+IF(Tabla3[[#This Row],[Amortización k | cupón de intereses]]="Amortización de K",SUMIFS($AH$7:$AH$557,Tabla3[Código Emisión],Tabla3[[#This Row],[Código Emisión]],Tabla3[Fecha de operación],Tabla3[[#This Row],[Fecha de operación]]),0)-Tabla3[[#This Row],[Accrued]]*Tabla3[[#This Row],[Valor Nominal]]</f>
        <v>0</v>
      </c>
      <c r="AJ168" s="605">
        <f>+IF(Tabla3[[#This Row],[Amortización k | cupón de intereses]]="Amortización de K",IF(Tabla3[[#This Row],[Precio Clean]]&gt;1,Tabla3[[#This Row],[Valor Nominal]]*(Tabla3[[#This Row],[Precio Clean]]-1),0),0)</f>
        <v>0</v>
      </c>
      <c r="AK168" s="605">
        <f>+IF(Tabla3[[#This Row],[Amortización k | cupón de intereses]]="Amortización de K",IF(Tabla3[[#This Row],[Precio Clean]]&lt;1,Tabla3[[#This Row],[Valor Nominal]]*(Tabla3[[#This Row],[Precio Clean]]-1),0),0)</f>
        <v>0</v>
      </c>
    </row>
    <row r="169" spans="1:37">
      <c r="A169" s="502"/>
      <c r="B169" s="437" t="str">
        <f t="shared" si="116"/>
        <v>Banco Nacional de Fomento</v>
      </c>
      <c r="C169" s="437" t="str">
        <f t="shared" si="116"/>
        <v>BNF_6,50%_04092028_BB2497-04_100K</v>
      </c>
      <c r="D169" s="437" t="s">
        <v>453</v>
      </c>
      <c r="E169" s="437" t="str">
        <f t="shared" si="117"/>
        <v>AA+py</v>
      </c>
      <c r="F169" s="437" t="s">
        <v>297</v>
      </c>
      <c r="G169" s="437" t="s">
        <v>298</v>
      </c>
      <c r="H169" s="437">
        <f t="shared" si="118"/>
        <v>8</v>
      </c>
      <c r="I169" s="492">
        <v>1638.35</v>
      </c>
      <c r="J169" s="451"/>
      <c r="K169" s="450"/>
      <c r="L169" s="451"/>
      <c r="M169" s="493"/>
      <c r="N169" s="493"/>
      <c r="O169" s="494">
        <f t="shared" si="119"/>
        <v>6.6069158911705006E-2</v>
      </c>
      <c r="P169" s="494">
        <f t="shared" si="115"/>
        <v>6.4492590757251556E-2</v>
      </c>
      <c r="Q169" s="450">
        <v>45904</v>
      </c>
      <c r="R169" s="450">
        <v>46269</v>
      </c>
      <c r="S169" s="509" t="s">
        <v>146</v>
      </c>
      <c r="T169" s="510">
        <f>Tabla3[[#This Row],[Cantidad]]*Tabla3[[#This Row],[Cortes]]</f>
        <v>13106.8</v>
      </c>
      <c r="U169" s="511">
        <f t="shared" si="98"/>
        <v>12751.026639082416</v>
      </c>
      <c r="V169" s="511">
        <f t="shared" si="99"/>
        <v>12748.791800045572</v>
      </c>
      <c r="W169" s="497">
        <f>IF(Tabla3[[#This Row],[Fecha de operación]]=$C$1,0,U169-V169)</f>
        <v>2.2348390368442779</v>
      </c>
      <c r="X169" s="512" t="str">
        <f t="shared" si="121"/>
        <v>Vigente</v>
      </c>
      <c r="Y169" s="498" t="s">
        <v>450</v>
      </c>
      <c r="Z169" s="469">
        <f t="shared" si="122"/>
        <v>157</v>
      </c>
      <c r="AA169" s="499">
        <f t="shared" si="120"/>
        <v>2.2550888056974738</v>
      </c>
      <c r="AB169" s="499">
        <f t="shared" si="120"/>
        <v>2.218446088901306</v>
      </c>
      <c r="AC169" s="469" t="s">
        <v>451</v>
      </c>
      <c r="AD169" s="469" t="s">
        <v>454</v>
      </c>
      <c r="AG169" s="605">
        <f>+IF(Tabla3[[#This Row],[Amortización k | cupón de intereses]]="Amortización de K",Tabla3[[#This Row],[Valor Nominal]],0)</f>
        <v>0</v>
      </c>
      <c r="AH169" s="605">
        <f>+IF(AND(Tabla3[[#This Row],[Amortización k | cupón de intereses]]="Cupón de interés",Tabla3[[#This Row],[Estado]]="Vigente"),Tabla3[[#This Row],[Valor Nominal]],0)</f>
        <v>13106.8</v>
      </c>
      <c r="AI169" s="618">
        <f>+IF(Tabla3[[#This Row],[Amortización k | cupón de intereses]]="Amortización de K",SUMIFS($AH$7:$AH$557,Tabla3[Código Emisión],Tabla3[[#This Row],[Código Emisión]],Tabla3[Fecha de operación],Tabla3[[#This Row],[Fecha de operación]]),0)-Tabla3[[#This Row],[Accrued]]*Tabla3[[#This Row],[Valor Nominal]]</f>
        <v>0</v>
      </c>
      <c r="AJ169" s="605">
        <f>+IF(Tabla3[[#This Row],[Amortización k | cupón de intereses]]="Amortización de K",IF(Tabla3[[#This Row],[Precio Clean]]&gt;1,Tabla3[[#This Row],[Valor Nominal]]*(Tabla3[[#This Row],[Precio Clean]]-1),0),0)</f>
        <v>0</v>
      </c>
      <c r="AK169" s="605">
        <f>+IF(Tabla3[[#This Row],[Amortización k | cupón de intereses]]="Amortización de K",IF(Tabla3[[#This Row],[Precio Clean]]&lt;1,Tabla3[[#This Row],[Valor Nominal]]*(Tabla3[[#This Row],[Precio Clean]]-1),0),0)</f>
        <v>0</v>
      </c>
    </row>
    <row r="170" spans="1:37">
      <c r="A170" s="502"/>
      <c r="B170" s="437" t="str">
        <f t="shared" si="116"/>
        <v>Banco Nacional de Fomento</v>
      </c>
      <c r="C170" s="437" t="str">
        <f t="shared" si="116"/>
        <v>BNF_6,50%_04092028_BB2497-04_100K</v>
      </c>
      <c r="D170" s="437" t="s">
        <v>453</v>
      </c>
      <c r="E170" s="437" t="str">
        <f t="shared" si="117"/>
        <v>AA+py</v>
      </c>
      <c r="F170" s="437" t="s">
        <v>297</v>
      </c>
      <c r="G170" s="437" t="s">
        <v>298</v>
      </c>
      <c r="H170" s="437">
        <f t="shared" si="118"/>
        <v>8</v>
      </c>
      <c r="I170" s="492">
        <v>1638.35</v>
      </c>
      <c r="J170" s="451"/>
      <c r="K170" s="450"/>
      <c r="L170" s="451"/>
      <c r="M170" s="493"/>
      <c r="N170" s="493"/>
      <c r="O170" s="494">
        <f t="shared" si="119"/>
        <v>6.6069158911705006E-2</v>
      </c>
      <c r="P170" s="494">
        <f t="shared" si="115"/>
        <v>6.4492590757251556E-2</v>
      </c>
      <c r="Q170" s="450">
        <v>45904</v>
      </c>
      <c r="R170" s="450">
        <v>46177</v>
      </c>
      <c r="S170" s="509" t="s">
        <v>146</v>
      </c>
      <c r="T170" s="510">
        <f>Tabla3[[#This Row],[Cantidad]]*Tabla3[[#This Row],[Cortes]]</f>
        <v>13106.8</v>
      </c>
      <c r="U170" s="511">
        <f t="shared" si="98"/>
        <v>12958.316739768083</v>
      </c>
      <c r="V170" s="511">
        <f t="shared" si="99"/>
        <v>12956.045569538303</v>
      </c>
      <c r="W170" s="497">
        <f>IF(Tabla3[[#This Row],[Fecha de operación]]=$C$1,0,U170-V170)</f>
        <v>2.2711702297801821</v>
      </c>
      <c r="X170" s="512" t="str">
        <f t="shared" si="121"/>
        <v>Vigente</v>
      </c>
      <c r="Y170" s="498" t="s">
        <v>450</v>
      </c>
      <c r="Z170" s="469">
        <f t="shared" si="122"/>
        <v>65</v>
      </c>
      <c r="AA170" s="499">
        <f t="shared" si="120"/>
        <v>2.2550888056974738</v>
      </c>
      <c r="AB170" s="499">
        <f t="shared" si="120"/>
        <v>2.218446088901306</v>
      </c>
      <c r="AC170" s="469" t="s">
        <v>451</v>
      </c>
      <c r="AD170" s="469" t="s">
        <v>454</v>
      </c>
      <c r="AG170" s="605">
        <f>+IF(Tabla3[[#This Row],[Amortización k | cupón de intereses]]="Amortización de K",Tabla3[[#This Row],[Valor Nominal]],0)</f>
        <v>0</v>
      </c>
      <c r="AH170" s="605">
        <f>+IF(AND(Tabla3[[#This Row],[Amortización k | cupón de intereses]]="Cupón de interés",Tabla3[[#This Row],[Estado]]="Vigente"),Tabla3[[#This Row],[Valor Nominal]],0)</f>
        <v>13106.8</v>
      </c>
      <c r="AI170" s="618">
        <f>+IF(Tabla3[[#This Row],[Amortización k | cupón de intereses]]="Amortización de K",SUMIFS($AH$7:$AH$557,Tabla3[Código Emisión],Tabla3[[#This Row],[Código Emisión]],Tabla3[Fecha de operación],Tabla3[[#This Row],[Fecha de operación]]),0)-Tabla3[[#This Row],[Accrued]]*Tabla3[[#This Row],[Valor Nominal]]</f>
        <v>0</v>
      </c>
      <c r="AJ170" s="605">
        <f>+IF(Tabla3[[#This Row],[Amortización k | cupón de intereses]]="Amortización de K",IF(Tabla3[[#This Row],[Precio Clean]]&gt;1,Tabla3[[#This Row],[Valor Nominal]]*(Tabla3[[#This Row],[Precio Clean]]-1),0),0)</f>
        <v>0</v>
      </c>
      <c r="AK170" s="605">
        <f>+IF(Tabla3[[#This Row],[Amortización k | cupón de intereses]]="Amortización de K",IF(Tabla3[[#This Row],[Precio Clean]]&lt;1,Tabla3[[#This Row],[Valor Nominal]]*(Tabla3[[#This Row],[Precio Clean]]-1),0),0)</f>
        <v>0</v>
      </c>
    </row>
    <row r="171" spans="1:37">
      <c r="A171" s="502"/>
      <c r="B171" s="437" t="str">
        <f t="shared" si="116"/>
        <v>Banco Nacional de Fomento</v>
      </c>
      <c r="C171" s="437" t="str">
        <f t="shared" si="116"/>
        <v>BNF_6,50%_04092028_BB2497-04_100K</v>
      </c>
      <c r="D171" s="437" t="s">
        <v>453</v>
      </c>
      <c r="E171" s="437" t="str">
        <f t="shared" si="117"/>
        <v>AA+py</v>
      </c>
      <c r="F171" s="437" t="s">
        <v>297</v>
      </c>
      <c r="G171" s="437" t="s">
        <v>298</v>
      </c>
      <c r="H171" s="437">
        <f t="shared" si="118"/>
        <v>8</v>
      </c>
      <c r="I171" s="492">
        <v>1602.73</v>
      </c>
      <c r="J171" s="451"/>
      <c r="K171" s="450"/>
      <c r="L171" s="451"/>
      <c r="M171" s="493"/>
      <c r="N171" s="493"/>
      <c r="O171" s="494">
        <f t="shared" si="119"/>
        <v>6.6069158911705006E-2</v>
      </c>
      <c r="P171" s="494">
        <f t="shared" si="115"/>
        <v>6.4492590757251556E-2</v>
      </c>
      <c r="Q171" s="450">
        <v>45904</v>
      </c>
      <c r="R171" s="450">
        <v>46085</v>
      </c>
      <c r="S171" s="509" t="s">
        <v>146</v>
      </c>
      <c r="T171" s="510">
        <f>Tabla3[[#This Row],[Cantidad]]*Tabla3[[#This Row],[Cortes]]</f>
        <v>12821.84</v>
      </c>
      <c r="U171" s="511" t="b">
        <f t="shared" si="98"/>
        <v>0</v>
      </c>
      <c r="V171" s="511" t="b">
        <f t="shared" si="99"/>
        <v>0</v>
      </c>
      <c r="W171" s="497">
        <f>IF(Tabla3[[#This Row],[Fecha de operación]]=$C$1,0,U171-V171)</f>
        <v>0</v>
      </c>
      <c r="X171" s="512" t="str">
        <f t="shared" si="121"/>
        <v>Vencido</v>
      </c>
      <c r="Y171" s="498" t="s">
        <v>450</v>
      </c>
      <c r="Z171" s="469">
        <f t="shared" si="122"/>
        <v>-27</v>
      </c>
      <c r="AA171" s="499">
        <f t="shared" si="120"/>
        <v>2.2550888056974738</v>
      </c>
      <c r="AB171" s="499">
        <f t="shared" si="120"/>
        <v>2.218446088901306</v>
      </c>
      <c r="AC171" s="469" t="s">
        <v>451</v>
      </c>
      <c r="AD171" s="469" t="s">
        <v>454</v>
      </c>
      <c r="AG171" s="605">
        <f>+IF(Tabla3[[#This Row],[Amortización k | cupón de intereses]]="Amortización de K",Tabla3[[#This Row],[Valor Nominal]],0)</f>
        <v>0</v>
      </c>
      <c r="AH171" s="605">
        <f>+IF(AND(Tabla3[[#This Row],[Amortización k | cupón de intereses]]="Cupón de interés",Tabla3[[#This Row],[Estado]]="Vigente"),Tabla3[[#This Row],[Valor Nominal]],0)</f>
        <v>0</v>
      </c>
      <c r="AI171" s="618">
        <f>+IF(Tabla3[[#This Row],[Amortización k | cupón de intereses]]="Amortización de K",SUMIFS($AH$7:$AH$557,Tabla3[Código Emisión],Tabla3[[#This Row],[Código Emisión]],Tabla3[Fecha de operación],Tabla3[[#This Row],[Fecha de operación]]),0)-Tabla3[[#This Row],[Accrued]]*Tabla3[[#This Row],[Valor Nominal]]</f>
        <v>0</v>
      </c>
      <c r="AJ171" s="605">
        <f>+IF(Tabla3[[#This Row],[Amortización k | cupón de intereses]]="Amortización de K",IF(Tabla3[[#This Row],[Precio Clean]]&gt;1,Tabla3[[#This Row],[Valor Nominal]]*(Tabla3[[#This Row],[Precio Clean]]-1),0),0)</f>
        <v>0</v>
      </c>
      <c r="AK171" s="605">
        <f>+IF(Tabla3[[#This Row],[Amortización k | cupón de intereses]]="Amortización de K",IF(Tabla3[[#This Row],[Precio Clean]]&lt;1,Tabla3[[#This Row],[Valor Nominal]]*(Tabla3[[#This Row],[Precio Clean]]-1),0),0)</f>
        <v>0</v>
      </c>
    </row>
    <row r="172" spans="1:37">
      <c r="A172" s="502"/>
      <c r="B172" s="437" t="str">
        <f t="shared" si="116"/>
        <v>Banco Nacional de Fomento</v>
      </c>
      <c r="C172" s="437" t="str">
        <f t="shared" si="116"/>
        <v>BNF_6,50%_04092028_BB2497-04_100K</v>
      </c>
      <c r="D172" s="437" t="s">
        <v>453</v>
      </c>
      <c r="E172" s="437" t="str">
        <f t="shared" si="117"/>
        <v>AA+py</v>
      </c>
      <c r="F172" s="437" t="s">
        <v>297</v>
      </c>
      <c r="G172" s="437" t="s">
        <v>298</v>
      </c>
      <c r="H172" s="437">
        <f t="shared" si="118"/>
        <v>8</v>
      </c>
      <c r="I172" s="492">
        <v>1620.54</v>
      </c>
      <c r="J172" s="451"/>
      <c r="K172" s="450"/>
      <c r="L172" s="451"/>
      <c r="M172" s="493"/>
      <c r="N172" s="493"/>
      <c r="O172" s="494">
        <f t="shared" si="119"/>
        <v>6.6069158911705006E-2</v>
      </c>
      <c r="P172" s="494">
        <f t="shared" si="115"/>
        <v>6.4492590757251556E-2</v>
      </c>
      <c r="Q172" s="450">
        <v>45904</v>
      </c>
      <c r="R172" s="450">
        <v>45995</v>
      </c>
      <c r="S172" s="509" t="s">
        <v>146</v>
      </c>
      <c r="T172" s="510">
        <f>Tabla3[[#This Row],[Cantidad]]*Tabla3[[#This Row],[Cortes]]</f>
        <v>12964.32</v>
      </c>
      <c r="U172" s="511" t="b">
        <f t="shared" si="98"/>
        <v>0</v>
      </c>
      <c r="V172" s="511" t="b">
        <f t="shared" si="99"/>
        <v>0</v>
      </c>
      <c r="W172" s="497">
        <f>IF(Tabla3[[#This Row],[Fecha de operación]]=$C$1,0,U172-V172)</f>
        <v>0</v>
      </c>
      <c r="X172" s="512" t="str">
        <f t="shared" si="121"/>
        <v>Vencido</v>
      </c>
      <c r="Y172" s="498" t="s">
        <v>450</v>
      </c>
      <c r="Z172" s="469">
        <f t="shared" si="122"/>
        <v>-117</v>
      </c>
      <c r="AA172" s="499">
        <f t="shared" si="120"/>
        <v>2.2550888056974738</v>
      </c>
      <c r="AB172" s="499">
        <f t="shared" si="120"/>
        <v>2.218446088901306</v>
      </c>
      <c r="AC172" s="469" t="s">
        <v>451</v>
      </c>
      <c r="AD172" s="469" t="s">
        <v>454</v>
      </c>
      <c r="AG172" s="605">
        <f>+IF(Tabla3[[#This Row],[Amortización k | cupón de intereses]]="Amortización de K",Tabla3[[#This Row],[Valor Nominal]],0)</f>
        <v>0</v>
      </c>
      <c r="AH172" s="605">
        <f>+IF(AND(Tabla3[[#This Row],[Amortización k | cupón de intereses]]="Cupón de interés",Tabla3[[#This Row],[Estado]]="Vigente"),Tabla3[[#This Row],[Valor Nominal]],0)</f>
        <v>0</v>
      </c>
      <c r="AI172" s="618">
        <f>+IF(Tabla3[[#This Row],[Amortización k | cupón de intereses]]="Amortización de K",SUMIFS($AH$7:$AH$557,Tabla3[Código Emisión],Tabla3[[#This Row],[Código Emisión]],Tabla3[Fecha de operación],Tabla3[[#This Row],[Fecha de operación]]),0)-Tabla3[[#This Row],[Accrued]]*Tabla3[[#This Row],[Valor Nominal]]</f>
        <v>0</v>
      </c>
      <c r="AJ172" s="605">
        <f>+IF(Tabla3[[#This Row],[Amortización k | cupón de intereses]]="Amortización de K",IF(Tabla3[[#This Row],[Precio Clean]]&gt;1,Tabla3[[#This Row],[Valor Nominal]]*(Tabla3[[#This Row],[Precio Clean]]-1),0),0)</f>
        <v>0</v>
      </c>
      <c r="AK172" s="605">
        <f>+IF(Tabla3[[#This Row],[Amortización k | cupón de intereses]]="Amortización de K",IF(Tabla3[[#This Row],[Precio Clean]]&lt;1,Tabla3[[#This Row],[Valor Nominal]]*(Tabla3[[#This Row],[Precio Clean]]-1),0),0)</f>
        <v>0</v>
      </c>
    </row>
    <row r="173" spans="1:37" ht="15">
      <c r="A173" s="500">
        <f>+A159+1</f>
        <v>20</v>
      </c>
      <c r="B173" s="475" t="s">
        <v>516</v>
      </c>
      <c r="C173" s="475" t="s">
        <v>517</v>
      </c>
      <c r="D173" s="475" t="s">
        <v>453</v>
      </c>
      <c r="E173" s="475" t="s">
        <v>449</v>
      </c>
      <c r="F173" s="475" t="s">
        <v>297</v>
      </c>
      <c r="G173" s="475" t="s">
        <v>298</v>
      </c>
      <c r="H173" s="475">
        <v>1</v>
      </c>
      <c r="I173" s="477">
        <v>50000</v>
      </c>
      <c r="J173" s="478">
        <v>6.3E-2</v>
      </c>
      <c r="K173" s="479">
        <f>_xlfn.MAXIFS(R:R,C:C,C173,AD:AD,"Cupón de interés",X:X,"Vencido")</f>
        <v>45943</v>
      </c>
      <c r="L173" s="478">
        <f>+Tabla3[[#This Row],[Tasa de Interés]]*($U$5-Tabla3[[#This Row],[Last coupon]])/365</f>
        <v>2.916986301369863E-2</v>
      </c>
      <c r="M173" s="480">
        <f>+Tabla3[[#This Row],[Precio Dirty]]-Tabla3[[#This Row],[Accrued]]</f>
        <v>0.98922985114973938</v>
      </c>
      <c r="N173" s="481">
        <f>SUMIFS(U:U,C:C,C173,Q:Q,Q173)/SUMIFS(T:T,C:C,C173,Q:Q,Q173,AD:AD,"Amortización de K")</f>
        <v>1.018399714163438</v>
      </c>
      <c r="O173" s="482">
        <v>6.8107643723487862E-2</v>
      </c>
      <c r="P173" s="482">
        <v>6.698586712486998E-2</v>
      </c>
      <c r="Q173" s="484">
        <v>45909</v>
      </c>
      <c r="R173" s="484">
        <v>47224</v>
      </c>
      <c r="S173" s="504" t="s">
        <v>146</v>
      </c>
      <c r="T173" s="505">
        <f>Tabla3[[#This Row],[Cantidad]]*Tabla3[[#This Row],[Cortes]]</f>
        <v>50000</v>
      </c>
      <c r="U173" s="505">
        <f t="shared" si="98"/>
        <v>40906.486655330824</v>
      </c>
      <c r="V173" s="505">
        <f t="shared" si="99"/>
        <v>40899.103025654083</v>
      </c>
      <c r="W173" s="505">
        <f>IF(Tabla3[[#This Row],[Fecha de operación]]=$C$1,0,U173-V173)</f>
        <v>7.3836296767403837</v>
      </c>
      <c r="X173" s="507" t="str">
        <f t="shared" si="121"/>
        <v>Vigente</v>
      </c>
      <c r="Y173" s="489" t="s">
        <v>450</v>
      </c>
      <c r="Z173" s="488">
        <f t="shared" si="122"/>
        <v>1112</v>
      </c>
      <c r="AA173" s="508">
        <f t="shared" ref="AA173" si="123">IF(Y173="Mensual",DURATION($C$1,$C$1+Z173*12,J173/12,O173/12,1)/12,DURATION($C$1,R173,J173,O173,IF(Y173="Cupón cero",1,IF(Y173="Al vencimiento",1,IF(Y173="Anual",1,IF(Y173="Semestral",2,IF(Y173="Trimestral",4,"")))))))</f>
        <v>2.753205103476815</v>
      </c>
      <c r="AB173" s="508">
        <f t="shared" ref="AB173" si="124">IF(Y173="Mensual",MDURATION($C$1,$C$1+Z173*12,J173/12,O173/12,1)/12,MDURATION($C$1,R173,J173,O173,IF(Y173="Cupón cero",1,IF(Y173="Al vencimiento",1,IF(Y173="Anual",1,IF(Y173="Semestral",2,IF(Y173="Trimestral",4,"")))))))</f>
        <v>2.7071113594790139</v>
      </c>
      <c r="AC173" s="488" t="s">
        <v>451</v>
      </c>
      <c r="AD173" s="488" t="s">
        <v>452</v>
      </c>
      <c r="AG173" s="605">
        <f>+IF(Tabla3[[#This Row],[Amortización k | cupón de intereses]]="Amortización de K",Tabla3[[#This Row],[Valor Nominal]],0)</f>
        <v>50000</v>
      </c>
      <c r="AH173" s="605">
        <f>+IF(AND(Tabla3[[#This Row],[Amortización k | cupón de intereses]]="Cupón de interés",Tabla3[[#This Row],[Estado]]="Vigente"),Tabla3[[#This Row],[Valor Nominal]],0)</f>
        <v>0</v>
      </c>
      <c r="AI173" s="618">
        <f>+IF(Tabla3[[#This Row],[Amortización k | cupón de intereses]]="Amortización de K",SUMIFS($AH$7:$AH$557,Tabla3[Código Emisión],Tabla3[[#This Row],[Código Emisión]],Tabla3[Fecha de operación],Tabla3[[#This Row],[Fecha de operación]]),0)-Tabla3[[#This Row],[Accrued]]*Tabla3[[#This Row],[Valor Nominal]]</f>
        <v>9596.7168493150693</v>
      </c>
      <c r="AJ173" s="605">
        <f>+IF(Tabla3[[#This Row],[Amortización k | cupón de intereses]]="Amortización de K",IF(Tabla3[[#This Row],[Precio Clean]]&gt;1,Tabla3[[#This Row],[Valor Nominal]]*(Tabla3[[#This Row],[Precio Clean]]-1),0),0)</f>
        <v>0</v>
      </c>
      <c r="AK173" s="605">
        <f>+IF(Tabla3[[#This Row],[Amortización k | cupón de intereses]]="Amortización de K",IF(Tabla3[[#This Row],[Precio Clean]]&lt;1,Tabla3[[#This Row],[Valor Nominal]]*(Tabla3[[#This Row],[Precio Clean]]-1),0),0)</f>
        <v>-538.50744251303092</v>
      </c>
    </row>
    <row r="174" spans="1:37">
      <c r="A174" s="502"/>
      <c r="B174" s="437" t="str">
        <f>+B173</f>
        <v>Bancop S.A.</v>
      </c>
      <c r="C174" s="437" t="str">
        <f>+C173</f>
        <v>BCO_6,30%_16042029_AA3719_50K</v>
      </c>
      <c r="D174" s="437" t="s">
        <v>453</v>
      </c>
      <c r="E174" s="437" t="str">
        <f>+E173</f>
        <v>AA-py</v>
      </c>
      <c r="F174" s="437" t="s">
        <v>297</v>
      </c>
      <c r="G174" s="437" t="s">
        <v>298</v>
      </c>
      <c r="H174" s="437">
        <f>+H173</f>
        <v>1</v>
      </c>
      <c r="I174" s="492">
        <v>181.27</v>
      </c>
      <c r="J174" s="451"/>
      <c r="K174" s="450"/>
      <c r="L174" s="451"/>
      <c r="M174" s="493"/>
      <c r="N174" s="493"/>
      <c r="O174" s="494">
        <f>+O173</f>
        <v>6.8107643723487862E-2</v>
      </c>
      <c r="P174" s="494">
        <f t="shared" ref="P174:Q182" si="125">+P173</f>
        <v>6.698586712486998E-2</v>
      </c>
      <c r="Q174" s="450">
        <f>+Q173</f>
        <v>45909</v>
      </c>
      <c r="R174" s="450">
        <v>47224</v>
      </c>
      <c r="S174" s="509" t="s">
        <v>146</v>
      </c>
      <c r="T174" s="510">
        <f>Tabla3[[#This Row],[Cantidad]]*Tabla3[[#This Row],[Cortes]]</f>
        <v>181.27</v>
      </c>
      <c r="U174" s="511">
        <f t="shared" si="98"/>
        <v>148.3023767202364</v>
      </c>
      <c r="V174" s="511">
        <f t="shared" si="99"/>
        <v>148.27560810920633</v>
      </c>
      <c r="W174" s="497">
        <f>IF(Tabla3[[#This Row],[Fecha de operación]]=$C$1,0,U174-V174)</f>
        <v>2.6768611030064449E-2</v>
      </c>
      <c r="X174" s="512" t="str">
        <f t="shared" si="121"/>
        <v>Vigente</v>
      </c>
      <c r="Y174" s="498" t="s">
        <v>450</v>
      </c>
      <c r="Z174" s="469">
        <f t="shared" si="122"/>
        <v>1112</v>
      </c>
      <c r="AA174" s="499">
        <f>+AA173</f>
        <v>2.753205103476815</v>
      </c>
      <c r="AB174" s="499">
        <f>+AB173</f>
        <v>2.7071113594790139</v>
      </c>
      <c r="AC174" s="469" t="s">
        <v>451</v>
      </c>
      <c r="AD174" s="469" t="s">
        <v>454</v>
      </c>
      <c r="AG174" s="605">
        <f>+IF(Tabla3[[#This Row],[Amortización k | cupón de intereses]]="Amortización de K",Tabla3[[#This Row],[Valor Nominal]],0)</f>
        <v>0</v>
      </c>
      <c r="AH174" s="605">
        <f>+IF(AND(Tabla3[[#This Row],[Amortización k | cupón de intereses]]="Cupón de interés",Tabla3[[#This Row],[Estado]]="Vigente"),Tabla3[[#This Row],[Valor Nominal]],0)</f>
        <v>181.27</v>
      </c>
      <c r="AI174" s="618">
        <f>+IF(Tabla3[[#This Row],[Amortización k | cupón de intereses]]="Amortización de K",SUMIFS($AH$7:$AH$557,Tabla3[Código Emisión],Tabla3[[#This Row],[Código Emisión]],Tabla3[Fecha de operación],Tabla3[[#This Row],[Fecha de operación]]),0)-Tabla3[[#This Row],[Accrued]]*Tabla3[[#This Row],[Valor Nominal]]</f>
        <v>0</v>
      </c>
      <c r="AJ174" s="605">
        <f>+IF(Tabla3[[#This Row],[Amortización k | cupón de intereses]]="Amortización de K",IF(Tabla3[[#This Row],[Precio Clean]]&gt;1,Tabla3[[#This Row],[Valor Nominal]]*(Tabla3[[#This Row],[Precio Clean]]-1),0),0)</f>
        <v>0</v>
      </c>
      <c r="AK174" s="605">
        <f>+IF(Tabla3[[#This Row],[Amortización k | cupón de intereses]]="Amortización de K",IF(Tabla3[[#This Row],[Precio Clean]]&lt;1,Tabla3[[#This Row],[Valor Nominal]]*(Tabla3[[#This Row],[Precio Clean]]-1),0),0)</f>
        <v>0</v>
      </c>
    </row>
    <row r="175" spans="1:37">
      <c r="A175" s="502"/>
      <c r="B175" s="437" t="str">
        <f t="shared" ref="B175:C182" si="126">+B174</f>
        <v>Bancop S.A.</v>
      </c>
      <c r="C175" s="437" t="str">
        <f t="shared" si="126"/>
        <v>BCO_6,30%_16042029_AA3719_50K</v>
      </c>
      <c r="D175" s="437" t="s">
        <v>453</v>
      </c>
      <c r="E175" s="437" t="str">
        <f t="shared" ref="E175:E182" si="127">+E174</f>
        <v>AA-py</v>
      </c>
      <c r="F175" s="437" t="s">
        <v>297</v>
      </c>
      <c r="G175" s="437" t="s">
        <v>298</v>
      </c>
      <c r="H175" s="437">
        <f t="shared" ref="H175:H182" si="128">+H174</f>
        <v>1</v>
      </c>
      <c r="I175" s="492">
        <v>1553.42</v>
      </c>
      <c r="J175" s="451"/>
      <c r="K175" s="450"/>
      <c r="L175" s="451"/>
      <c r="M175" s="493"/>
      <c r="N175" s="493"/>
      <c r="O175" s="494">
        <f t="shared" ref="O175:O182" si="129">+O174</f>
        <v>6.8107643723487862E-2</v>
      </c>
      <c r="P175" s="494">
        <f t="shared" si="125"/>
        <v>6.698586712486998E-2</v>
      </c>
      <c r="Q175" s="450">
        <f t="shared" si="125"/>
        <v>45909</v>
      </c>
      <c r="R175" s="450">
        <v>47203</v>
      </c>
      <c r="S175" s="509" t="s">
        <v>146</v>
      </c>
      <c r="T175" s="510">
        <f>Tabla3[[#This Row],[Cantidad]]*Tabla3[[#This Row],[Cortes]]</f>
        <v>1553.42</v>
      </c>
      <c r="U175" s="511">
        <f t="shared" si="98"/>
        <v>1275.7260168756538</v>
      </c>
      <c r="V175" s="511">
        <f t="shared" si="99"/>
        <v>1275.4957480540618</v>
      </c>
      <c r="W175" s="497">
        <f>IF(Tabla3[[#This Row],[Fecha de operación]]=$C$1,0,U175-V175)</f>
        <v>0.23026882159206252</v>
      </c>
      <c r="X175" s="512" t="str">
        <f t="shared" si="121"/>
        <v>Vigente</v>
      </c>
      <c r="Y175" s="498" t="s">
        <v>450</v>
      </c>
      <c r="Z175" s="469">
        <f t="shared" si="122"/>
        <v>1091</v>
      </c>
      <c r="AA175" s="499">
        <f t="shared" ref="AA175:AB182" si="130">+AA174</f>
        <v>2.753205103476815</v>
      </c>
      <c r="AB175" s="499">
        <f t="shared" si="130"/>
        <v>2.7071113594790139</v>
      </c>
      <c r="AC175" s="469" t="s">
        <v>451</v>
      </c>
      <c r="AD175" s="469" t="s">
        <v>454</v>
      </c>
      <c r="AG175" s="605">
        <f>+IF(Tabla3[[#This Row],[Amortización k | cupón de intereses]]="Amortización de K",Tabla3[[#This Row],[Valor Nominal]],0)</f>
        <v>0</v>
      </c>
      <c r="AH175" s="605">
        <f>+IF(AND(Tabla3[[#This Row],[Amortización k | cupón de intereses]]="Cupón de interés",Tabla3[[#This Row],[Estado]]="Vigente"),Tabla3[[#This Row],[Valor Nominal]],0)</f>
        <v>1553.42</v>
      </c>
      <c r="AI175" s="618">
        <f>+IF(Tabla3[[#This Row],[Amortización k | cupón de intereses]]="Amortización de K",SUMIFS($AH$7:$AH$557,Tabla3[Código Emisión],Tabla3[[#This Row],[Código Emisión]],Tabla3[Fecha de operación],Tabla3[[#This Row],[Fecha de operación]]),0)-Tabla3[[#This Row],[Accrued]]*Tabla3[[#This Row],[Valor Nominal]]</f>
        <v>0</v>
      </c>
      <c r="AJ175" s="605">
        <f>+IF(Tabla3[[#This Row],[Amortización k | cupón de intereses]]="Amortización de K",IF(Tabla3[[#This Row],[Precio Clean]]&gt;1,Tabla3[[#This Row],[Valor Nominal]]*(Tabla3[[#This Row],[Precio Clean]]-1),0),0)</f>
        <v>0</v>
      </c>
      <c r="AK175" s="605">
        <f>+IF(Tabla3[[#This Row],[Amortización k | cupón de intereses]]="Amortización de K",IF(Tabla3[[#This Row],[Precio Clean]]&lt;1,Tabla3[[#This Row],[Valor Nominal]]*(Tabla3[[#This Row],[Precio Clean]]-1),0),0)</f>
        <v>0</v>
      </c>
    </row>
    <row r="176" spans="1:37">
      <c r="A176" s="502"/>
      <c r="B176" s="437" t="str">
        <f t="shared" si="126"/>
        <v>Bancop S.A.</v>
      </c>
      <c r="C176" s="437" t="str">
        <f t="shared" si="126"/>
        <v>BCO_6,30%_16042029_AA3719_50K</v>
      </c>
      <c r="D176" s="437" t="s">
        <v>453</v>
      </c>
      <c r="E176" s="437" t="str">
        <f t="shared" si="127"/>
        <v>AA-py</v>
      </c>
      <c r="F176" s="437" t="s">
        <v>297</v>
      </c>
      <c r="G176" s="437" t="s">
        <v>298</v>
      </c>
      <c r="H176" s="437">
        <f t="shared" si="128"/>
        <v>1</v>
      </c>
      <c r="I176" s="492">
        <v>1553.42</v>
      </c>
      <c r="J176" s="451"/>
      <c r="K176" s="450"/>
      <c r="L176" s="451"/>
      <c r="M176" s="493"/>
      <c r="N176" s="493"/>
      <c r="O176" s="494">
        <f t="shared" si="129"/>
        <v>6.8107643723487862E-2</v>
      </c>
      <c r="P176" s="494">
        <f t="shared" si="125"/>
        <v>6.698586712486998E-2</v>
      </c>
      <c r="Q176" s="450">
        <f t="shared" si="125"/>
        <v>45909</v>
      </c>
      <c r="R176" s="450">
        <v>47023</v>
      </c>
      <c r="S176" s="509" t="s">
        <v>146</v>
      </c>
      <c r="T176" s="510">
        <f>Tabla3[[#This Row],[Cantidad]]*Tabla3[[#This Row],[Cortes]]</f>
        <v>1553.42</v>
      </c>
      <c r="U176" s="511">
        <f t="shared" si="98"/>
        <v>1317.8589511423384</v>
      </c>
      <c r="V176" s="511">
        <f t="shared" si="99"/>
        <v>1317.621077317011</v>
      </c>
      <c r="W176" s="497">
        <f>IF(Tabla3[[#This Row],[Fecha de operación]]=$C$1,0,U176-V176)</f>
        <v>0.23787382532736956</v>
      </c>
      <c r="X176" s="512" t="str">
        <f t="shared" si="121"/>
        <v>Vigente</v>
      </c>
      <c r="Y176" s="498" t="s">
        <v>450</v>
      </c>
      <c r="Z176" s="469">
        <f t="shared" si="122"/>
        <v>911</v>
      </c>
      <c r="AA176" s="499">
        <f t="shared" si="130"/>
        <v>2.753205103476815</v>
      </c>
      <c r="AB176" s="499">
        <f t="shared" si="130"/>
        <v>2.7071113594790139</v>
      </c>
      <c r="AC176" s="469" t="s">
        <v>451</v>
      </c>
      <c r="AD176" s="469" t="s">
        <v>454</v>
      </c>
      <c r="AG176" s="605">
        <f>+IF(Tabla3[[#This Row],[Amortización k | cupón de intereses]]="Amortización de K",Tabla3[[#This Row],[Valor Nominal]],0)</f>
        <v>0</v>
      </c>
      <c r="AH176" s="605">
        <f>+IF(AND(Tabla3[[#This Row],[Amortización k | cupón de intereses]]="Cupón de interés",Tabla3[[#This Row],[Estado]]="Vigente"),Tabla3[[#This Row],[Valor Nominal]],0)</f>
        <v>1553.42</v>
      </c>
      <c r="AI176" s="618">
        <f>+IF(Tabla3[[#This Row],[Amortización k | cupón de intereses]]="Amortización de K",SUMIFS($AH$7:$AH$557,Tabla3[Código Emisión],Tabla3[[#This Row],[Código Emisión]],Tabla3[Fecha de operación],Tabla3[[#This Row],[Fecha de operación]]),0)-Tabla3[[#This Row],[Accrued]]*Tabla3[[#This Row],[Valor Nominal]]</f>
        <v>0</v>
      </c>
      <c r="AJ176" s="605">
        <f>+IF(Tabla3[[#This Row],[Amortización k | cupón de intereses]]="Amortización de K",IF(Tabla3[[#This Row],[Precio Clean]]&gt;1,Tabla3[[#This Row],[Valor Nominal]]*(Tabla3[[#This Row],[Precio Clean]]-1),0),0)</f>
        <v>0</v>
      </c>
      <c r="AK176" s="605">
        <f>+IF(Tabla3[[#This Row],[Amortización k | cupón de intereses]]="Amortización de K",IF(Tabla3[[#This Row],[Precio Clean]]&lt;1,Tabla3[[#This Row],[Valor Nominal]]*(Tabla3[[#This Row],[Precio Clean]]-1),0),0)</f>
        <v>0</v>
      </c>
    </row>
    <row r="177" spans="1:37">
      <c r="A177" s="502"/>
      <c r="B177" s="437" t="str">
        <f t="shared" si="126"/>
        <v>Bancop S.A.</v>
      </c>
      <c r="C177" s="437" t="str">
        <f t="shared" si="126"/>
        <v>BCO_6,30%_16042029_AA3719_50K</v>
      </c>
      <c r="D177" s="437" t="s">
        <v>453</v>
      </c>
      <c r="E177" s="437" t="str">
        <f t="shared" si="127"/>
        <v>AA-py</v>
      </c>
      <c r="F177" s="437" t="s">
        <v>297</v>
      </c>
      <c r="G177" s="437" t="s">
        <v>298</v>
      </c>
      <c r="H177" s="437">
        <f t="shared" si="128"/>
        <v>1</v>
      </c>
      <c r="I177" s="492">
        <v>1544.79</v>
      </c>
      <c r="J177" s="451"/>
      <c r="K177" s="450"/>
      <c r="L177" s="451"/>
      <c r="M177" s="493"/>
      <c r="N177" s="493"/>
      <c r="O177" s="494">
        <f t="shared" si="129"/>
        <v>6.8107643723487862E-2</v>
      </c>
      <c r="P177" s="494">
        <f t="shared" si="125"/>
        <v>6.698586712486998E-2</v>
      </c>
      <c r="Q177" s="450">
        <f t="shared" si="125"/>
        <v>45909</v>
      </c>
      <c r="R177" s="450">
        <v>46843</v>
      </c>
      <c r="S177" s="509" t="s">
        <v>146</v>
      </c>
      <c r="T177" s="510">
        <f>Tabla3[[#This Row],[Cantidad]]*Tabla3[[#This Row],[Cortes]]</f>
        <v>1544.79</v>
      </c>
      <c r="U177" s="511">
        <f t="shared" si="98"/>
        <v>1353.8202506387724</v>
      </c>
      <c r="V177" s="511">
        <f t="shared" si="99"/>
        <v>1353.5758857911185</v>
      </c>
      <c r="W177" s="497">
        <f>IF(Tabla3[[#This Row],[Fecha de operación]]=$C$1,0,U177-V177)</f>
        <v>0.24436484765396926</v>
      </c>
      <c r="X177" s="512" t="str">
        <f t="shared" si="121"/>
        <v>Vigente</v>
      </c>
      <c r="Y177" s="498" t="s">
        <v>450</v>
      </c>
      <c r="Z177" s="469">
        <f t="shared" si="122"/>
        <v>731</v>
      </c>
      <c r="AA177" s="499">
        <f t="shared" si="130"/>
        <v>2.753205103476815</v>
      </c>
      <c r="AB177" s="499">
        <f t="shared" si="130"/>
        <v>2.7071113594790139</v>
      </c>
      <c r="AC177" s="469" t="s">
        <v>451</v>
      </c>
      <c r="AD177" s="469" t="s">
        <v>454</v>
      </c>
      <c r="AG177" s="605">
        <f>+IF(Tabla3[[#This Row],[Amortización k | cupón de intereses]]="Amortización de K",Tabla3[[#This Row],[Valor Nominal]],0)</f>
        <v>0</v>
      </c>
      <c r="AH177" s="605">
        <f>+IF(AND(Tabla3[[#This Row],[Amortización k | cupón de intereses]]="Cupón de interés",Tabla3[[#This Row],[Estado]]="Vigente"),Tabla3[[#This Row],[Valor Nominal]],0)</f>
        <v>1544.79</v>
      </c>
      <c r="AI177" s="618">
        <f>+IF(Tabla3[[#This Row],[Amortización k | cupón de intereses]]="Amortización de K",SUMIFS($AH$7:$AH$557,Tabla3[Código Emisión],Tabla3[[#This Row],[Código Emisión]],Tabla3[Fecha de operación],Tabla3[[#This Row],[Fecha de operación]]),0)-Tabla3[[#This Row],[Accrued]]*Tabla3[[#This Row],[Valor Nominal]]</f>
        <v>0</v>
      </c>
      <c r="AJ177" s="605">
        <f>+IF(Tabla3[[#This Row],[Amortización k | cupón de intereses]]="Amortización de K",IF(Tabla3[[#This Row],[Precio Clean]]&gt;1,Tabla3[[#This Row],[Valor Nominal]]*(Tabla3[[#This Row],[Precio Clean]]-1),0),0)</f>
        <v>0</v>
      </c>
      <c r="AK177" s="605">
        <f>+IF(Tabla3[[#This Row],[Amortización k | cupón de intereses]]="Amortización de K",IF(Tabla3[[#This Row],[Precio Clean]]&lt;1,Tabla3[[#This Row],[Valor Nominal]]*(Tabla3[[#This Row],[Precio Clean]]-1),0),0)</f>
        <v>0</v>
      </c>
    </row>
    <row r="178" spans="1:37">
      <c r="A178" s="502"/>
      <c r="B178" s="437" t="str">
        <f t="shared" si="126"/>
        <v>Bancop S.A.</v>
      </c>
      <c r="C178" s="437" t="str">
        <f t="shared" si="126"/>
        <v>BCO_6,30%_16042029_AA3719_50K</v>
      </c>
      <c r="D178" s="437" t="s">
        <v>453</v>
      </c>
      <c r="E178" s="437" t="str">
        <f t="shared" si="127"/>
        <v>AA-py</v>
      </c>
      <c r="F178" s="437" t="s">
        <v>297</v>
      </c>
      <c r="G178" s="437" t="s">
        <v>298</v>
      </c>
      <c r="H178" s="437">
        <f t="shared" si="128"/>
        <v>1</v>
      </c>
      <c r="I178" s="492">
        <v>1562.05</v>
      </c>
      <c r="J178" s="451"/>
      <c r="K178" s="450"/>
      <c r="L178" s="451"/>
      <c r="M178" s="493"/>
      <c r="N178" s="493"/>
      <c r="O178" s="494">
        <f t="shared" si="129"/>
        <v>6.8107643723487862E-2</v>
      </c>
      <c r="P178" s="494">
        <f t="shared" si="125"/>
        <v>6.698586712486998E-2</v>
      </c>
      <c r="Q178" s="450">
        <f t="shared" si="125"/>
        <v>45909</v>
      </c>
      <c r="R178" s="450">
        <v>46664</v>
      </c>
      <c r="S178" s="509" t="s">
        <v>146</v>
      </c>
      <c r="T178" s="510">
        <f>Tabla3[[#This Row],[Cantidad]]*Tabla3[[#This Row],[Cortes]]</f>
        <v>1562.05</v>
      </c>
      <c r="U178" s="511">
        <f t="shared" si="98"/>
        <v>1413.902976337328</v>
      </c>
      <c r="V178" s="511">
        <f t="shared" si="99"/>
        <v>1413.6477665447082</v>
      </c>
      <c r="W178" s="497">
        <f>IF(Tabla3[[#This Row],[Fecha de operación]]=$C$1,0,U178-V178)</f>
        <v>0.25520979261978027</v>
      </c>
      <c r="X178" s="512" t="str">
        <f t="shared" si="121"/>
        <v>Vigente</v>
      </c>
      <c r="Y178" s="498" t="s">
        <v>450</v>
      </c>
      <c r="Z178" s="469">
        <f t="shared" si="122"/>
        <v>552</v>
      </c>
      <c r="AA178" s="499">
        <f t="shared" si="130"/>
        <v>2.753205103476815</v>
      </c>
      <c r="AB178" s="499">
        <f t="shared" si="130"/>
        <v>2.7071113594790139</v>
      </c>
      <c r="AC178" s="469" t="s">
        <v>451</v>
      </c>
      <c r="AD178" s="469" t="s">
        <v>454</v>
      </c>
      <c r="AG178" s="605">
        <f>+IF(Tabla3[[#This Row],[Amortización k | cupón de intereses]]="Amortización de K",Tabla3[[#This Row],[Valor Nominal]],0)</f>
        <v>0</v>
      </c>
      <c r="AH178" s="605">
        <f>+IF(AND(Tabla3[[#This Row],[Amortización k | cupón de intereses]]="Cupón de interés",Tabla3[[#This Row],[Estado]]="Vigente"),Tabla3[[#This Row],[Valor Nominal]],0)</f>
        <v>1562.05</v>
      </c>
      <c r="AI178" s="618">
        <f>+IF(Tabla3[[#This Row],[Amortización k | cupón de intereses]]="Amortización de K",SUMIFS($AH$7:$AH$557,Tabla3[Código Emisión],Tabla3[[#This Row],[Código Emisión]],Tabla3[Fecha de operación],Tabla3[[#This Row],[Fecha de operación]]),0)-Tabla3[[#This Row],[Accrued]]*Tabla3[[#This Row],[Valor Nominal]]</f>
        <v>0</v>
      </c>
      <c r="AJ178" s="605">
        <f>+IF(Tabla3[[#This Row],[Amortización k | cupón de intereses]]="Amortización de K",IF(Tabla3[[#This Row],[Precio Clean]]&gt;1,Tabla3[[#This Row],[Valor Nominal]]*(Tabla3[[#This Row],[Precio Clean]]-1),0),0)</f>
        <v>0</v>
      </c>
      <c r="AK178" s="605">
        <f>+IF(Tabla3[[#This Row],[Amortización k | cupón de intereses]]="Amortización de K",IF(Tabla3[[#This Row],[Precio Clean]]&lt;1,Tabla3[[#This Row],[Valor Nominal]]*(Tabla3[[#This Row],[Precio Clean]]-1),0),0)</f>
        <v>0</v>
      </c>
    </row>
    <row r="179" spans="1:37">
      <c r="A179" s="502"/>
      <c r="B179" s="437" t="str">
        <f t="shared" si="126"/>
        <v>Bancop S.A.</v>
      </c>
      <c r="C179" s="437" t="str">
        <f t="shared" si="126"/>
        <v>BCO_6,30%_16042029_AA3719_50K</v>
      </c>
      <c r="D179" s="437" t="s">
        <v>453</v>
      </c>
      <c r="E179" s="437" t="str">
        <f t="shared" si="127"/>
        <v>AA-py</v>
      </c>
      <c r="F179" s="437" t="s">
        <v>297</v>
      </c>
      <c r="G179" s="437" t="s">
        <v>298</v>
      </c>
      <c r="H179" s="437">
        <f t="shared" si="128"/>
        <v>1</v>
      </c>
      <c r="I179" s="492">
        <v>1553.42</v>
      </c>
      <c r="J179" s="451"/>
      <c r="K179" s="450"/>
      <c r="L179" s="451"/>
      <c r="M179" s="493"/>
      <c r="N179" s="493"/>
      <c r="O179" s="494">
        <f t="shared" si="129"/>
        <v>6.8107643723487862E-2</v>
      </c>
      <c r="P179" s="494">
        <f t="shared" si="125"/>
        <v>6.698586712486998E-2</v>
      </c>
      <c r="Q179" s="450">
        <f t="shared" si="125"/>
        <v>45909</v>
      </c>
      <c r="R179" s="450">
        <v>46483</v>
      </c>
      <c r="S179" s="509" t="s">
        <v>146</v>
      </c>
      <c r="T179" s="510">
        <f>Tabla3[[#This Row],[Cantidad]]*Tabla3[[#This Row],[Cortes]]</f>
        <v>1553.42</v>
      </c>
      <c r="U179" s="511">
        <f t="shared" si="98"/>
        <v>1452.7921527634703</v>
      </c>
      <c r="V179" s="511">
        <f t="shared" si="99"/>
        <v>1452.5299234661059</v>
      </c>
      <c r="W179" s="497">
        <f>IF(Tabla3[[#This Row],[Fecha de operación]]=$C$1,0,U179-V179)</f>
        <v>0.26222929736445622</v>
      </c>
      <c r="X179" s="512" t="str">
        <f t="shared" si="121"/>
        <v>Vigente</v>
      </c>
      <c r="Y179" s="498" t="s">
        <v>450</v>
      </c>
      <c r="Z179" s="469">
        <f t="shared" si="122"/>
        <v>371</v>
      </c>
      <c r="AA179" s="499">
        <f t="shared" si="130"/>
        <v>2.753205103476815</v>
      </c>
      <c r="AB179" s="499">
        <f t="shared" si="130"/>
        <v>2.7071113594790139</v>
      </c>
      <c r="AC179" s="469" t="s">
        <v>451</v>
      </c>
      <c r="AD179" s="469" t="s">
        <v>454</v>
      </c>
      <c r="AG179" s="605">
        <f>+IF(Tabla3[[#This Row],[Amortización k | cupón de intereses]]="Amortización de K",Tabla3[[#This Row],[Valor Nominal]],0)</f>
        <v>0</v>
      </c>
      <c r="AH179" s="605">
        <f>+IF(AND(Tabla3[[#This Row],[Amortización k | cupón de intereses]]="Cupón de interés",Tabla3[[#This Row],[Estado]]="Vigente"),Tabla3[[#This Row],[Valor Nominal]],0)</f>
        <v>1553.42</v>
      </c>
      <c r="AI179" s="618">
        <f>+IF(Tabla3[[#This Row],[Amortización k | cupón de intereses]]="Amortización de K",SUMIFS($AH$7:$AH$557,Tabla3[Código Emisión],Tabla3[[#This Row],[Código Emisión]],Tabla3[Fecha de operación],Tabla3[[#This Row],[Fecha de operación]]),0)-Tabla3[[#This Row],[Accrued]]*Tabla3[[#This Row],[Valor Nominal]]</f>
        <v>0</v>
      </c>
      <c r="AJ179" s="605">
        <f>+IF(Tabla3[[#This Row],[Amortización k | cupón de intereses]]="Amortización de K",IF(Tabla3[[#This Row],[Precio Clean]]&gt;1,Tabla3[[#This Row],[Valor Nominal]]*(Tabla3[[#This Row],[Precio Clean]]-1),0),0)</f>
        <v>0</v>
      </c>
      <c r="AK179" s="605">
        <f>+IF(Tabla3[[#This Row],[Amortización k | cupón de intereses]]="Amortización de K",IF(Tabla3[[#This Row],[Precio Clean]]&lt;1,Tabla3[[#This Row],[Valor Nominal]]*(Tabla3[[#This Row],[Precio Clean]]-1),0),0)</f>
        <v>0</v>
      </c>
    </row>
    <row r="180" spans="1:37">
      <c r="A180" s="502"/>
      <c r="B180" s="437" t="str">
        <f t="shared" si="126"/>
        <v>Bancop S.A.</v>
      </c>
      <c r="C180" s="437" t="str">
        <f t="shared" si="126"/>
        <v>BCO_6,30%_16042029_AA3719_50K</v>
      </c>
      <c r="D180" s="437" t="s">
        <v>453</v>
      </c>
      <c r="E180" s="437" t="str">
        <f t="shared" si="127"/>
        <v>AA-py</v>
      </c>
      <c r="F180" s="437" t="s">
        <v>297</v>
      </c>
      <c r="G180" s="437" t="s">
        <v>298</v>
      </c>
      <c r="H180" s="437">
        <f t="shared" si="128"/>
        <v>1</v>
      </c>
      <c r="I180" s="492">
        <v>1536.16</v>
      </c>
      <c r="J180" s="451"/>
      <c r="K180" s="450"/>
      <c r="L180" s="451"/>
      <c r="M180" s="493"/>
      <c r="N180" s="493"/>
      <c r="O180" s="494">
        <f t="shared" si="129"/>
        <v>6.8107643723487862E-2</v>
      </c>
      <c r="P180" s="494">
        <f t="shared" si="125"/>
        <v>6.698586712486998E-2</v>
      </c>
      <c r="Q180" s="450">
        <f t="shared" si="125"/>
        <v>45909</v>
      </c>
      <c r="R180" s="450">
        <v>46303</v>
      </c>
      <c r="S180" s="509" t="s">
        <v>146</v>
      </c>
      <c r="T180" s="510">
        <f>Tabla3[[#This Row],[Cantidad]]*Tabla3[[#This Row],[Cortes]]</f>
        <v>1536.16</v>
      </c>
      <c r="U180" s="511">
        <f t="shared" si="98"/>
        <v>1484.0979445190756</v>
      </c>
      <c r="V180" s="511">
        <f t="shared" si="99"/>
        <v>1483.8300645195375</v>
      </c>
      <c r="W180" s="497">
        <f>IF(Tabla3[[#This Row],[Fecha de operación]]=$C$1,0,U180-V180)</f>
        <v>0.26787999953808139</v>
      </c>
      <c r="X180" s="512" t="str">
        <f t="shared" si="121"/>
        <v>Vigente</v>
      </c>
      <c r="Y180" s="498" t="s">
        <v>450</v>
      </c>
      <c r="Z180" s="469">
        <f t="shared" si="122"/>
        <v>191</v>
      </c>
      <c r="AA180" s="499">
        <f t="shared" si="130"/>
        <v>2.753205103476815</v>
      </c>
      <c r="AB180" s="499">
        <f t="shared" si="130"/>
        <v>2.7071113594790139</v>
      </c>
      <c r="AC180" s="469" t="s">
        <v>451</v>
      </c>
      <c r="AD180" s="469" t="s">
        <v>454</v>
      </c>
      <c r="AG180" s="605">
        <f>+IF(Tabla3[[#This Row],[Amortización k | cupón de intereses]]="Amortización de K",Tabla3[[#This Row],[Valor Nominal]],0)</f>
        <v>0</v>
      </c>
      <c r="AH180" s="605">
        <f>+IF(AND(Tabla3[[#This Row],[Amortización k | cupón de intereses]]="Cupón de interés",Tabla3[[#This Row],[Estado]]="Vigente"),Tabla3[[#This Row],[Valor Nominal]],0)</f>
        <v>1536.16</v>
      </c>
      <c r="AI180" s="618">
        <f>+IF(Tabla3[[#This Row],[Amortización k | cupón de intereses]]="Amortización de K",SUMIFS($AH$7:$AH$557,Tabla3[Código Emisión],Tabla3[[#This Row],[Código Emisión]],Tabla3[Fecha de operación],Tabla3[[#This Row],[Fecha de operación]]),0)-Tabla3[[#This Row],[Accrued]]*Tabla3[[#This Row],[Valor Nominal]]</f>
        <v>0</v>
      </c>
      <c r="AJ180" s="605">
        <f>+IF(Tabla3[[#This Row],[Amortización k | cupón de intereses]]="Amortización de K",IF(Tabla3[[#This Row],[Precio Clean]]&gt;1,Tabla3[[#This Row],[Valor Nominal]]*(Tabla3[[#This Row],[Precio Clean]]-1),0),0)</f>
        <v>0</v>
      </c>
      <c r="AK180" s="605">
        <f>+IF(Tabla3[[#This Row],[Amortización k | cupón de intereses]]="Amortización de K",IF(Tabla3[[#This Row],[Precio Clean]]&lt;1,Tabla3[[#This Row],[Valor Nominal]]*(Tabla3[[#This Row],[Precio Clean]]-1),0),0)</f>
        <v>0</v>
      </c>
    </row>
    <row r="181" spans="1:37">
      <c r="A181" s="502"/>
      <c r="B181" s="437" t="str">
        <f t="shared" si="126"/>
        <v>Bancop S.A.</v>
      </c>
      <c r="C181" s="437" t="str">
        <f t="shared" si="126"/>
        <v>BCO_6,30%_16042029_AA3719_50K</v>
      </c>
      <c r="D181" s="437" t="s">
        <v>453</v>
      </c>
      <c r="E181" s="437" t="str">
        <f t="shared" si="127"/>
        <v>AA-py</v>
      </c>
      <c r="F181" s="437" t="s">
        <v>297</v>
      </c>
      <c r="G181" s="437" t="s">
        <v>298</v>
      </c>
      <c r="H181" s="437">
        <f t="shared" si="128"/>
        <v>1</v>
      </c>
      <c r="I181" s="492">
        <v>1570.68</v>
      </c>
      <c r="J181" s="451"/>
      <c r="K181" s="450"/>
      <c r="L181" s="451"/>
      <c r="M181" s="493"/>
      <c r="N181" s="493"/>
      <c r="O181" s="494">
        <f t="shared" si="129"/>
        <v>6.8107643723487862E-2</v>
      </c>
      <c r="P181" s="494">
        <f t="shared" si="125"/>
        <v>6.698586712486998E-2</v>
      </c>
      <c r="Q181" s="450">
        <f t="shared" si="125"/>
        <v>45909</v>
      </c>
      <c r="R181" s="450">
        <v>46125</v>
      </c>
      <c r="S181" s="509" t="s">
        <v>146</v>
      </c>
      <c r="T181" s="510">
        <f>Tabla3[[#This Row],[Cantidad]]*Tabla3[[#This Row],[Cortes]]</f>
        <v>1570.68</v>
      </c>
      <c r="U181" s="511">
        <f t="shared" si="98"/>
        <v>1566.9983838442017</v>
      </c>
      <c r="V181" s="511">
        <f t="shared" si="99"/>
        <v>1566.7155402974597</v>
      </c>
      <c r="W181" s="497">
        <f>IF(Tabla3[[#This Row],[Fecha de operación]]=$C$1,0,U181-V181)</f>
        <v>0.28284354674201495</v>
      </c>
      <c r="X181" s="512" t="str">
        <f t="shared" si="121"/>
        <v>Vigente</v>
      </c>
      <c r="Y181" s="498" t="s">
        <v>450</v>
      </c>
      <c r="Z181" s="469">
        <f t="shared" si="122"/>
        <v>13</v>
      </c>
      <c r="AA181" s="499">
        <f t="shared" si="130"/>
        <v>2.753205103476815</v>
      </c>
      <c r="AB181" s="499">
        <f t="shared" si="130"/>
        <v>2.7071113594790139</v>
      </c>
      <c r="AC181" s="469" t="s">
        <v>451</v>
      </c>
      <c r="AD181" s="469" t="s">
        <v>454</v>
      </c>
      <c r="AG181" s="605">
        <f>+IF(Tabla3[[#This Row],[Amortización k | cupón de intereses]]="Amortización de K",Tabla3[[#This Row],[Valor Nominal]],0)</f>
        <v>0</v>
      </c>
      <c r="AH181" s="605">
        <f>+IF(AND(Tabla3[[#This Row],[Amortización k | cupón de intereses]]="Cupón de interés",Tabla3[[#This Row],[Estado]]="Vigente"),Tabla3[[#This Row],[Valor Nominal]],0)</f>
        <v>1570.68</v>
      </c>
      <c r="AI181" s="618">
        <f>+IF(Tabla3[[#This Row],[Amortización k | cupón de intereses]]="Amortización de K",SUMIFS($AH$7:$AH$557,Tabla3[Código Emisión],Tabla3[[#This Row],[Código Emisión]],Tabla3[Fecha de operación],Tabla3[[#This Row],[Fecha de operación]]),0)-Tabla3[[#This Row],[Accrued]]*Tabla3[[#This Row],[Valor Nominal]]</f>
        <v>0</v>
      </c>
      <c r="AJ181" s="605">
        <f>+IF(Tabla3[[#This Row],[Amortización k | cupón de intereses]]="Amortización de K",IF(Tabla3[[#This Row],[Precio Clean]]&gt;1,Tabla3[[#This Row],[Valor Nominal]]*(Tabla3[[#This Row],[Precio Clean]]-1),0),0)</f>
        <v>0</v>
      </c>
      <c r="AK181" s="605">
        <f>+IF(Tabla3[[#This Row],[Amortización k | cupón de intereses]]="Amortización de K",IF(Tabla3[[#This Row],[Precio Clean]]&lt;1,Tabla3[[#This Row],[Valor Nominal]]*(Tabla3[[#This Row],[Precio Clean]]-1),0),0)</f>
        <v>0</v>
      </c>
    </row>
    <row r="182" spans="1:37">
      <c r="A182" s="502"/>
      <c r="B182" s="437" t="str">
        <f t="shared" si="126"/>
        <v>Bancop S.A.</v>
      </c>
      <c r="C182" s="437" t="str">
        <f t="shared" si="126"/>
        <v>BCO_6,30%_16042029_AA3719_50K</v>
      </c>
      <c r="D182" s="437" t="s">
        <v>453</v>
      </c>
      <c r="E182" s="437" t="str">
        <f t="shared" si="127"/>
        <v>AA-py</v>
      </c>
      <c r="F182" s="437" t="s">
        <v>297</v>
      </c>
      <c r="G182" s="437" t="s">
        <v>298</v>
      </c>
      <c r="H182" s="437">
        <f t="shared" si="128"/>
        <v>1</v>
      </c>
      <c r="I182" s="492">
        <v>1553.42</v>
      </c>
      <c r="J182" s="451"/>
      <c r="K182" s="450"/>
      <c r="L182" s="451"/>
      <c r="M182" s="493"/>
      <c r="N182" s="493"/>
      <c r="O182" s="494">
        <f t="shared" si="129"/>
        <v>6.8107643723487862E-2</v>
      </c>
      <c r="P182" s="494">
        <f t="shared" si="125"/>
        <v>6.698586712486998E-2</v>
      </c>
      <c r="Q182" s="450">
        <f t="shared" si="125"/>
        <v>45909</v>
      </c>
      <c r="R182" s="450">
        <v>45943</v>
      </c>
      <c r="S182" s="509" t="s">
        <v>146</v>
      </c>
      <c r="T182" s="510">
        <f>Tabla3[[#This Row],[Cantidad]]*Tabla3[[#This Row],[Cortes]]</f>
        <v>1553.42</v>
      </c>
      <c r="U182" s="511" t="b">
        <f t="shared" si="98"/>
        <v>0</v>
      </c>
      <c r="V182" s="511" t="b">
        <f t="shared" si="99"/>
        <v>0</v>
      </c>
      <c r="W182" s="497">
        <f>IF(Tabla3[[#This Row],[Fecha de operación]]=$C$1,0,U182-V182)</f>
        <v>0</v>
      </c>
      <c r="X182" s="512" t="str">
        <f t="shared" si="121"/>
        <v>Vencido</v>
      </c>
      <c r="Y182" s="498" t="s">
        <v>450</v>
      </c>
      <c r="Z182" s="469">
        <f t="shared" si="122"/>
        <v>-169</v>
      </c>
      <c r="AA182" s="499">
        <f t="shared" si="130"/>
        <v>2.753205103476815</v>
      </c>
      <c r="AB182" s="499">
        <f t="shared" si="130"/>
        <v>2.7071113594790139</v>
      </c>
      <c r="AC182" s="469" t="s">
        <v>451</v>
      </c>
      <c r="AD182" s="469" t="s">
        <v>454</v>
      </c>
      <c r="AG182" s="605">
        <f>+IF(Tabla3[[#This Row],[Amortización k | cupón de intereses]]="Amortización de K",Tabla3[[#This Row],[Valor Nominal]],0)</f>
        <v>0</v>
      </c>
      <c r="AH182" s="605">
        <f>+IF(AND(Tabla3[[#This Row],[Amortización k | cupón de intereses]]="Cupón de interés",Tabla3[[#This Row],[Estado]]="Vigente"),Tabla3[[#This Row],[Valor Nominal]],0)</f>
        <v>0</v>
      </c>
      <c r="AI182" s="618">
        <f>+IF(Tabla3[[#This Row],[Amortización k | cupón de intereses]]="Amortización de K",SUMIFS($AH$7:$AH$557,Tabla3[Código Emisión],Tabla3[[#This Row],[Código Emisión]],Tabla3[Fecha de operación],Tabla3[[#This Row],[Fecha de operación]]),0)-Tabla3[[#This Row],[Accrued]]*Tabla3[[#This Row],[Valor Nominal]]</f>
        <v>0</v>
      </c>
      <c r="AJ182" s="605">
        <f>+IF(Tabla3[[#This Row],[Amortización k | cupón de intereses]]="Amortización de K",IF(Tabla3[[#This Row],[Precio Clean]]&gt;1,Tabla3[[#This Row],[Valor Nominal]]*(Tabla3[[#This Row],[Precio Clean]]-1),0),0)</f>
        <v>0</v>
      </c>
      <c r="AK182" s="605">
        <f>+IF(Tabla3[[#This Row],[Amortización k | cupón de intereses]]="Amortización de K",IF(Tabla3[[#This Row],[Precio Clean]]&lt;1,Tabla3[[#This Row],[Valor Nominal]]*(Tabla3[[#This Row],[Precio Clean]]-1),0),0)</f>
        <v>0</v>
      </c>
    </row>
    <row r="183" spans="1:37" ht="15">
      <c r="A183" s="500">
        <f>+A173+1</f>
        <v>21</v>
      </c>
      <c r="B183" s="475" t="s">
        <v>447</v>
      </c>
      <c r="C183" s="475" t="s">
        <v>518</v>
      </c>
      <c r="D183" s="475" t="s">
        <v>453</v>
      </c>
      <c r="E183" s="475" t="s">
        <v>449</v>
      </c>
      <c r="F183" s="475" t="s">
        <v>297</v>
      </c>
      <c r="G183" s="475" t="s">
        <v>298</v>
      </c>
      <c r="H183" s="475">
        <v>5</v>
      </c>
      <c r="I183" s="477">
        <v>100000</v>
      </c>
      <c r="J183" s="478">
        <v>6.5000000000000002E-2</v>
      </c>
      <c r="K183" s="479">
        <f>_xlfn.MAXIFS(R:R,C:C,C183,AD:AD,"Cupón de interés",X:X,"Vencido")</f>
        <v>46093</v>
      </c>
      <c r="L183" s="478">
        <f>+Tabla3[[#This Row],[Tasa de Interés]]*($U$5-Tabla3[[#This Row],[Last coupon]])/365</f>
        <v>3.3835616438356165E-3</v>
      </c>
      <c r="M183" s="480">
        <f>+Tabla3[[#This Row],[Precio Dirty]]-Tabla3[[#This Row],[Accrued]]</f>
        <v>0.99964657036713622</v>
      </c>
      <c r="N183" s="481">
        <f>SUMIFS(U:U,C:C,C183,Q:Q,Q183)/SUMIFS(T:T,C:C,C183,Q:Q,Q183,AD:AD,"Amortización de K")</f>
        <v>1.0030301320109718</v>
      </c>
      <c r="O183" s="482">
        <v>6.7999967932701105E-2</v>
      </c>
      <c r="P183" s="482">
        <v>6.5000000000000002E-2</v>
      </c>
      <c r="Q183" s="484">
        <v>45912</v>
      </c>
      <c r="R183" s="484">
        <v>46248</v>
      </c>
      <c r="S183" s="504" t="s">
        <v>146</v>
      </c>
      <c r="T183" s="505">
        <f>Tabla3[[#This Row],[Cantidad]]*Tabla3[[#This Row],[Cortes]]</f>
        <v>500000</v>
      </c>
      <c r="U183" s="506">
        <f t="shared" si="98"/>
        <v>487892.6573667124</v>
      </c>
      <c r="V183" s="506">
        <f t="shared" si="99"/>
        <v>487804.72737093014</v>
      </c>
      <c r="W183" s="487">
        <f>IF(Tabla3[[#This Row],[Fecha de operación]]=$C$1,0,U183-V183)</f>
        <v>87.929995782265905</v>
      </c>
      <c r="X183" s="507" t="str">
        <f t="shared" si="121"/>
        <v>Vigente</v>
      </c>
      <c r="Y183" s="489" t="s">
        <v>450</v>
      </c>
      <c r="Z183" s="488">
        <f t="shared" si="122"/>
        <v>136</v>
      </c>
      <c r="AA183" s="508">
        <f>IF(Y183="Mensual",DURATION($C$1,$C$1+Z183*12,J183/12,O183/12,1)/12,DURATION($C$1,R183,J183,O183,IF(Y183="Cupón cero",1,IF(Y183="Al vencimiento",1,IF(Y183="Anual",1,IF(Y183="Semestral",2,IF(Y183="Trimestral",4,"")))))))</f>
        <v>0.36544400149472245</v>
      </c>
      <c r="AB183" s="508">
        <f t="shared" ref="AB183" si="131">IF(Y183="Mensual",MDURATION($C$1,$C$1+Z183*12,J183/12,O183/12,1)/12,MDURATION($C$1,R183,J183,O183,IF(Y183="Cupón cero",1,IF(Y183="Al vencimiento",1,IF(Y183="Anual",1,IF(Y183="Semestral",2,IF(Y183="Trimestral",4,"")))))))</f>
        <v>0.35933530420398285</v>
      </c>
      <c r="AC183" s="488" t="s">
        <v>451</v>
      </c>
      <c r="AD183" s="488" t="s">
        <v>452</v>
      </c>
      <c r="AG183" s="605">
        <f>+IF(Tabla3[[#This Row],[Amortización k | cupón de intereses]]="Amortización de K",Tabla3[[#This Row],[Valor Nominal]],0)</f>
        <v>500000</v>
      </c>
      <c r="AH183" s="605">
        <f>+IF(AND(Tabla3[[#This Row],[Amortización k | cupón de intereses]]="Cupón de interés",Tabla3[[#This Row],[Estado]]="Vigente"),Tabla3[[#This Row],[Valor Nominal]],0)</f>
        <v>0</v>
      </c>
      <c r="AI183" s="618">
        <f>+IF(Tabla3[[#This Row],[Amortización k | cupón de intereses]]="Amortización de K",SUMIFS($AH$7:$AH$557,Tabla3[Código Emisión],Tabla3[[#This Row],[Código Emisión]],Tabla3[Fecha de operación],Tabla3[[#This Row],[Fecha de operación]]),0)-Tabla3[[#This Row],[Accrued]]*Tabla3[[#This Row],[Valor Nominal]]</f>
        <v>12113.219178082192</v>
      </c>
      <c r="AJ183" s="605">
        <f>+IF(Tabla3[[#This Row],[Amortización k | cupón de intereses]]="Amortización de K",IF(Tabla3[[#This Row],[Precio Clean]]&gt;1,Tabla3[[#This Row],[Valor Nominal]]*(Tabla3[[#This Row],[Precio Clean]]-1),0),0)</f>
        <v>0</v>
      </c>
      <c r="AK183" s="605">
        <f>+IF(Tabla3[[#This Row],[Amortización k | cupón de intereses]]="Amortización de K",IF(Tabla3[[#This Row],[Precio Clean]]&lt;1,Tabla3[[#This Row],[Valor Nominal]]*(Tabla3[[#This Row],[Precio Clean]]-1),0),0)</f>
        <v>-176.71481643188881</v>
      </c>
    </row>
    <row r="184" spans="1:37">
      <c r="A184" s="502"/>
      <c r="B184" s="437" t="str">
        <f t="shared" ref="B184:C194" si="132">+B183</f>
        <v>Banco Basa SA</v>
      </c>
      <c r="C184" s="437" t="str">
        <f t="shared" si="132"/>
        <v>BASA_6,50%_14082026_AA3002-06_100K</v>
      </c>
      <c r="D184" s="437" t="s">
        <v>453</v>
      </c>
      <c r="E184" s="437" t="str">
        <f t="shared" ref="E184:E194" si="133">+E183</f>
        <v>AA-py</v>
      </c>
      <c r="F184" s="437" t="s">
        <v>297</v>
      </c>
      <c r="G184" s="437" t="s">
        <v>298</v>
      </c>
      <c r="H184" s="437">
        <f t="shared" ref="H184:H194" si="134">+H183</f>
        <v>5</v>
      </c>
      <c r="I184" s="445">
        <v>571</v>
      </c>
      <c r="J184" s="462"/>
      <c r="K184" s="450"/>
      <c r="L184" s="462"/>
      <c r="M184" s="493"/>
      <c r="N184" s="493"/>
      <c r="O184" s="516">
        <f t="shared" ref="O184:P194" si="135">+O183</f>
        <v>6.7999967932701105E-2</v>
      </c>
      <c r="P184" s="516">
        <f t="shared" si="135"/>
        <v>6.5000000000000002E-2</v>
      </c>
      <c r="Q184" s="450">
        <v>45912</v>
      </c>
      <c r="R184" s="450">
        <v>46248</v>
      </c>
      <c r="S184" s="509" t="s">
        <v>146</v>
      </c>
      <c r="T184" s="510">
        <f>Tabla3[[#This Row],[Cantidad]]*Tabla3[[#This Row],[Cortes]]</f>
        <v>2855</v>
      </c>
      <c r="U184" s="511">
        <f t="shared" si="98"/>
        <v>2785.867073563928</v>
      </c>
      <c r="V184" s="511">
        <f t="shared" si="99"/>
        <v>2785.3649932880112</v>
      </c>
      <c r="W184" s="497">
        <f>IF(Tabla3[[#This Row],[Fecha de operación]]=$C$1,0,U184-V184)</f>
        <v>0.50208027591679638</v>
      </c>
      <c r="X184" s="512" t="str">
        <f t="shared" si="121"/>
        <v>Vigente</v>
      </c>
      <c r="Y184" s="517" t="s">
        <v>450</v>
      </c>
      <c r="Z184" s="449">
        <f t="shared" si="122"/>
        <v>136</v>
      </c>
      <c r="AA184" s="518">
        <f t="shared" ref="AA184:AB194" si="136">+AA183</f>
        <v>0.36544400149472245</v>
      </c>
      <c r="AB184" s="518">
        <f t="shared" si="136"/>
        <v>0.35933530420398285</v>
      </c>
      <c r="AC184" s="449" t="s">
        <v>451</v>
      </c>
      <c r="AD184" s="449" t="s">
        <v>454</v>
      </c>
      <c r="AG184" s="605">
        <f>+IF(Tabla3[[#This Row],[Amortización k | cupón de intereses]]="Amortización de K",Tabla3[[#This Row],[Valor Nominal]],0)</f>
        <v>0</v>
      </c>
      <c r="AH184" s="605">
        <f>+IF(AND(Tabla3[[#This Row],[Amortización k | cupón de intereses]]="Cupón de interés",Tabla3[[#This Row],[Estado]]="Vigente"),Tabla3[[#This Row],[Valor Nominal]],0)</f>
        <v>2855</v>
      </c>
      <c r="AI184" s="618">
        <f>+IF(Tabla3[[#This Row],[Amortización k | cupón de intereses]]="Amortización de K",SUMIFS($AH$7:$AH$557,Tabla3[Código Emisión],Tabla3[[#This Row],[Código Emisión]],Tabla3[Fecha de operación],Tabla3[[#This Row],[Fecha de operación]]),0)-Tabla3[[#This Row],[Accrued]]*Tabla3[[#This Row],[Valor Nominal]]</f>
        <v>0</v>
      </c>
      <c r="AJ184" s="605">
        <f>+IF(Tabla3[[#This Row],[Amortización k | cupón de intereses]]="Amortización de K",IF(Tabla3[[#This Row],[Precio Clean]]&gt;1,Tabla3[[#This Row],[Valor Nominal]]*(Tabla3[[#This Row],[Precio Clean]]-1),0),0)</f>
        <v>0</v>
      </c>
      <c r="AK184" s="605">
        <f>+IF(Tabla3[[#This Row],[Amortización k | cupón de intereses]]="Amortización de K",IF(Tabla3[[#This Row],[Precio Clean]]&lt;1,Tabla3[[#This Row],[Valor Nominal]]*(Tabla3[[#This Row],[Precio Clean]]-1),0),0)</f>
        <v>0</v>
      </c>
    </row>
    <row r="185" spans="1:37">
      <c r="A185" s="502"/>
      <c r="B185" s="437" t="str">
        <f t="shared" si="132"/>
        <v>Banco Basa SA</v>
      </c>
      <c r="C185" s="437" t="str">
        <f t="shared" si="132"/>
        <v>BASA_6,50%_14082026_AA3002-06_100K</v>
      </c>
      <c r="D185" s="437" t="s">
        <v>453</v>
      </c>
      <c r="E185" s="437" t="str">
        <f t="shared" si="133"/>
        <v>AA-py</v>
      </c>
      <c r="F185" s="437" t="s">
        <v>297</v>
      </c>
      <c r="G185" s="437" t="s">
        <v>298</v>
      </c>
      <c r="H185" s="437">
        <f t="shared" si="134"/>
        <v>5</v>
      </c>
      <c r="I185" s="445">
        <v>552</v>
      </c>
      <c r="J185" s="462"/>
      <c r="K185" s="450"/>
      <c r="L185" s="462"/>
      <c r="M185" s="493"/>
      <c r="N185" s="493"/>
      <c r="O185" s="516">
        <f t="shared" si="135"/>
        <v>6.7999967932701105E-2</v>
      </c>
      <c r="P185" s="516">
        <f t="shared" si="135"/>
        <v>6.5000000000000002E-2</v>
      </c>
      <c r="Q185" s="450">
        <v>45912</v>
      </c>
      <c r="R185" s="450">
        <v>46216</v>
      </c>
      <c r="S185" s="509" t="s">
        <v>146</v>
      </c>
      <c r="T185" s="510">
        <f>Tabla3[[#This Row],[Cantidad]]*Tabla3[[#This Row],[Cortes]]</f>
        <v>2760</v>
      </c>
      <c r="U185" s="511">
        <f t="shared" si="98"/>
        <v>2708.7457049339673</v>
      </c>
      <c r="V185" s="511">
        <f t="shared" si="99"/>
        <v>2708.2575237842534</v>
      </c>
      <c r="W185" s="497">
        <f>IF(Tabla3[[#This Row],[Fecha de operación]]=$C$1,0,U185-V185)</f>
        <v>0.48818114971390969</v>
      </c>
      <c r="X185" s="512" t="str">
        <f t="shared" si="121"/>
        <v>Vigente</v>
      </c>
      <c r="Y185" s="517" t="s">
        <v>450</v>
      </c>
      <c r="Z185" s="449">
        <f t="shared" si="122"/>
        <v>104</v>
      </c>
      <c r="AA185" s="518">
        <f t="shared" si="136"/>
        <v>0.36544400149472245</v>
      </c>
      <c r="AB185" s="518">
        <f t="shared" si="136"/>
        <v>0.35933530420398285</v>
      </c>
      <c r="AC185" s="449" t="s">
        <v>451</v>
      </c>
      <c r="AD185" s="449" t="s">
        <v>454</v>
      </c>
      <c r="AG185" s="605">
        <f>+IF(Tabla3[[#This Row],[Amortización k | cupón de intereses]]="Amortización de K",Tabla3[[#This Row],[Valor Nominal]],0)</f>
        <v>0</v>
      </c>
      <c r="AH185" s="605">
        <f>+IF(AND(Tabla3[[#This Row],[Amortización k | cupón de intereses]]="Cupón de interés",Tabla3[[#This Row],[Estado]]="Vigente"),Tabla3[[#This Row],[Valor Nominal]],0)</f>
        <v>2760</v>
      </c>
      <c r="AI185" s="618">
        <f>+IF(Tabla3[[#This Row],[Amortización k | cupón de intereses]]="Amortización de K",SUMIFS($AH$7:$AH$557,Tabla3[Código Emisión],Tabla3[[#This Row],[Código Emisión]],Tabla3[Fecha de operación],Tabla3[[#This Row],[Fecha de operación]]),0)-Tabla3[[#This Row],[Accrued]]*Tabla3[[#This Row],[Valor Nominal]]</f>
        <v>0</v>
      </c>
      <c r="AJ185" s="605">
        <f>+IF(Tabla3[[#This Row],[Amortización k | cupón de intereses]]="Amortización de K",IF(Tabla3[[#This Row],[Precio Clean]]&gt;1,Tabla3[[#This Row],[Valor Nominal]]*(Tabla3[[#This Row],[Precio Clean]]-1),0),0)</f>
        <v>0</v>
      </c>
      <c r="AK185" s="605">
        <f>+IF(Tabla3[[#This Row],[Amortización k | cupón de intereses]]="Amortización de K",IF(Tabla3[[#This Row],[Precio Clean]]&lt;1,Tabla3[[#This Row],[Valor Nominal]]*(Tabla3[[#This Row],[Precio Clean]]-1),0),0)</f>
        <v>0</v>
      </c>
    </row>
    <row r="186" spans="1:37">
      <c r="A186" s="502"/>
      <c r="B186" s="437" t="str">
        <f t="shared" si="132"/>
        <v>Banco Basa SA</v>
      </c>
      <c r="C186" s="437" t="str">
        <f t="shared" si="132"/>
        <v>BASA_6,50%_14082026_AA3002-06_100K</v>
      </c>
      <c r="D186" s="437" t="s">
        <v>453</v>
      </c>
      <c r="E186" s="437" t="str">
        <f t="shared" si="133"/>
        <v>AA-py</v>
      </c>
      <c r="F186" s="437" t="s">
        <v>297</v>
      </c>
      <c r="G186" s="437" t="s">
        <v>298</v>
      </c>
      <c r="H186" s="437">
        <f t="shared" si="134"/>
        <v>5</v>
      </c>
      <c r="I186" s="445">
        <v>552</v>
      </c>
      <c r="J186" s="462"/>
      <c r="K186" s="450"/>
      <c r="L186" s="462"/>
      <c r="M186" s="493"/>
      <c r="N186" s="493"/>
      <c r="O186" s="516">
        <f t="shared" si="135"/>
        <v>6.7999967932701105E-2</v>
      </c>
      <c r="P186" s="516">
        <f t="shared" si="135"/>
        <v>6.5000000000000002E-2</v>
      </c>
      <c r="Q186" s="450">
        <v>45912</v>
      </c>
      <c r="R186" s="450">
        <v>46185</v>
      </c>
      <c r="S186" s="509" t="s">
        <v>146</v>
      </c>
      <c r="T186" s="510">
        <f>Tabla3[[#This Row],[Cantidad]]*Tabla3[[#This Row],[Cortes]]</f>
        <v>2760</v>
      </c>
      <c r="U186" s="511">
        <f t="shared" si="98"/>
        <v>2723.9230462872665</v>
      </c>
      <c r="V186" s="511">
        <f t="shared" si="99"/>
        <v>2723.4321298154669</v>
      </c>
      <c r="W186" s="497">
        <f>IF(Tabla3[[#This Row],[Fecha de operación]]=$C$1,0,U186-V186)</f>
        <v>0.49091647179966458</v>
      </c>
      <c r="X186" s="512" t="str">
        <f t="shared" si="121"/>
        <v>Vigente</v>
      </c>
      <c r="Y186" s="517" t="s">
        <v>450</v>
      </c>
      <c r="Z186" s="449">
        <f t="shared" si="122"/>
        <v>73</v>
      </c>
      <c r="AA186" s="518">
        <f t="shared" si="136"/>
        <v>0.36544400149472245</v>
      </c>
      <c r="AB186" s="518">
        <f t="shared" si="136"/>
        <v>0.35933530420398285</v>
      </c>
      <c r="AC186" s="449" t="s">
        <v>451</v>
      </c>
      <c r="AD186" s="449" t="s">
        <v>454</v>
      </c>
      <c r="AG186" s="605">
        <f>+IF(Tabla3[[#This Row],[Amortización k | cupón de intereses]]="Amortización de K",Tabla3[[#This Row],[Valor Nominal]],0)</f>
        <v>0</v>
      </c>
      <c r="AH186" s="605">
        <f>+IF(AND(Tabla3[[#This Row],[Amortización k | cupón de intereses]]="Cupón de interés",Tabla3[[#This Row],[Estado]]="Vigente"),Tabla3[[#This Row],[Valor Nominal]],0)</f>
        <v>2760</v>
      </c>
      <c r="AI186" s="618">
        <f>+IF(Tabla3[[#This Row],[Amortización k | cupón de intereses]]="Amortización de K",SUMIFS($AH$7:$AH$557,Tabla3[Código Emisión],Tabla3[[#This Row],[Código Emisión]],Tabla3[Fecha de operación],Tabla3[[#This Row],[Fecha de operación]]),0)-Tabla3[[#This Row],[Accrued]]*Tabla3[[#This Row],[Valor Nominal]]</f>
        <v>0</v>
      </c>
      <c r="AJ186" s="605">
        <f>+IF(Tabla3[[#This Row],[Amortización k | cupón de intereses]]="Amortización de K",IF(Tabla3[[#This Row],[Precio Clean]]&gt;1,Tabla3[[#This Row],[Valor Nominal]]*(Tabla3[[#This Row],[Precio Clean]]-1),0),0)</f>
        <v>0</v>
      </c>
      <c r="AK186" s="605">
        <f>+IF(Tabla3[[#This Row],[Amortización k | cupón de intereses]]="Amortización de K",IF(Tabla3[[#This Row],[Precio Clean]]&lt;1,Tabla3[[#This Row],[Valor Nominal]]*(Tabla3[[#This Row],[Precio Clean]]-1),0),0)</f>
        <v>0</v>
      </c>
    </row>
    <row r="187" spans="1:37">
      <c r="A187" s="502"/>
      <c r="B187" s="437" t="str">
        <f t="shared" si="132"/>
        <v>Banco Basa SA</v>
      </c>
      <c r="C187" s="437" t="str">
        <f t="shared" si="132"/>
        <v>BASA_6,50%_14082026_AA3002-06_100K</v>
      </c>
      <c r="D187" s="437" t="s">
        <v>453</v>
      </c>
      <c r="E187" s="437" t="str">
        <f t="shared" si="133"/>
        <v>AA-py</v>
      </c>
      <c r="F187" s="437" t="s">
        <v>297</v>
      </c>
      <c r="G187" s="437" t="s">
        <v>298</v>
      </c>
      <c r="H187" s="437">
        <f t="shared" si="134"/>
        <v>5</v>
      </c>
      <c r="I187" s="445">
        <v>516</v>
      </c>
      <c r="J187" s="462"/>
      <c r="K187" s="450"/>
      <c r="L187" s="462"/>
      <c r="M187" s="493"/>
      <c r="N187" s="493"/>
      <c r="O187" s="516">
        <f t="shared" si="135"/>
        <v>6.7999967932701105E-2</v>
      </c>
      <c r="P187" s="516">
        <f t="shared" si="135"/>
        <v>6.5000000000000002E-2</v>
      </c>
      <c r="Q187" s="450">
        <v>45912</v>
      </c>
      <c r="R187" s="450">
        <v>46154</v>
      </c>
      <c r="S187" s="509" t="s">
        <v>146</v>
      </c>
      <c r="T187" s="510">
        <f>Tabla3[[#This Row],[Cantidad]]*Tabla3[[#This Row],[Cortes]]</f>
        <v>2580</v>
      </c>
      <c r="U187" s="511">
        <f t="shared" si="98"/>
        <v>2560.542899735713</v>
      </c>
      <c r="V187" s="511">
        <f t="shared" si="99"/>
        <v>2560.0814282973242</v>
      </c>
      <c r="W187" s="497">
        <f>IF(Tabla3[[#This Row],[Fecha de operación]]=$C$1,0,U187-V187)</f>
        <v>0.46147143838879856</v>
      </c>
      <c r="X187" s="512" t="str">
        <f t="shared" si="121"/>
        <v>Vigente</v>
      </c>
      <c r="Y187" s="517" t="s">
        <v>450</v>
      </c>
      <c r="Z187" s="449">
        <f t="shared" si="122"/>
        <v>42</v>
      </c>
      <c r="AA187" s="518">
        <f t="shared" si="136"/>
        <v>0.36544400149472245</v>
      </c>
      <c r="AB187" s="518">
        <f t="shared" si="136"/>
        <v>0.35933530420398285</v>
      </c>
      <c r="AC187" s="449" t="s">
        <v>451</v>
      </c>
      <c r="AD187" s="449" t="s">
        <v>454</v>
      </c>
      <c r="AG187" s="605">
        <f>+IF(Tabla3[[#This Row],[Amortización k | cupón de intereses]]="Amortización de K",Tabla3[[#This Row],[Valor Nominal]],0)</f>
        <v>0</v>
      </c>
      <c r="AH187" s="605">
        <f>+IF(AND(Tabla3[[#This Row],[Amortización k | cupón de intereses]]="Cupón de interés",Tabla3[[#This Row],[Estado]]="Vigente"),Tabla3[[#This Row],[Valor Nominal]],0)</f>
        <v>2580</v>
      </c>
      <c r="AI187" s="618">
        <f>+IF(Tabla3[[#This Row],[Amortización k | cupón de intereses]]="Amortización de K",SUMIFS($AH$7:$AH$557,Tabla3[Código Emisión],Tabla3[[#This Row],[Código Emisión]],Tabla3[Fecha de operación],Tabla3[[#This Row],[Fecha de operación]]),0)-Tabla3[[#This Row],[Accrued]]*Tabla3[[#This Row],[Valor Nominal]]</f>
        <v>0</v>
      </c>
      <c r="AJ187" s="605">
        <f>+IF(Tabla3[[#This Row],[Amortización k | cupón de intereses]]="Amortización de K",IF(Tabla3[[#This Row],[Precio Clean]]&gt;1,Tabla3[[#This Row],[Valor Nominal]]*(Tabla3[[#This Row],[Precio Clean]]-1),0),0)</f>
        <v>0</v>
      </c>
      <c r="AK187" s="605">
        <f>+IF(Tabla3[[#This Row],[Amortización k | cupón de intereses]]="Amortización de K",IF(Tabla3[[#This Row],[Precio Clean]]&lt;1,Tabla3[[#This Row],[Valor Nominal]]*(Tabla3[[#This Row],[Precio Clean]]-1),0),0)</f>
        <v>0</v>
      </c>
    </row>
    <row r="188" spans="1:37">
      <c r="A188" s="502"/>
      <c r="B188" s="437" t="str">
        <f t="shared" si="132"/>
        <v>Banco Basa SA</v>
      </c>
      <c r="C188" s="437" t="str">
        <f t="shared" si="132"/>
        <v>BASA_6,50%_14082026_AA3002-06_100K</v>
      </c>
      <c r="D188" s="437" t="s">
        <v>453</v>
      </c>
      <c r="E188" s="437" t="str">
        <f t="shared" si="133"/>
        <v>AA-py</v>
      </c>
      <c r="F188" s="437" t="s">
        <v>297</v>
      </c>
      <c r="G188" s="437" t="s">
        <v>298</v>
      </c>
      <c r="H188" s="437">
        <f t="shared" si="134"/>
        <v>5</v>
      </c>
      <c r="I188" s="445">
        <v>570</v>
      </c>
      <c r="J188" s="462"/>
      <c r="K188" s="450"/>
      <c r="L188" s="462"/>
      <c r="M188" s="493"/>
      <c r="N188" s="493"/>
      <c r="O188" s="516">
        <f t="shared" si="135"/>
        <v>6.7999967932701105E-2</v>
      </c>
      <c r="P188" s="516">
        <f t="shared" si="135"/>
        <v>6.5000000000000002E-2</v>
      </c>
      <c r="Q188" s="450">
        <v>45912</v>
      </c>
      <c r="R188" s="450">
        <v>46125</v>
      </c>
      <c r="S188" s="509" t="s">
        <v>146</v>
      </c>
      <c r="T188" s="510">
        <f>Tabla3[[#This Row],[Cantidad]]*Tabla3[[#This Row],[Cortes]]</f>
        <v>2850</v>
      </c>
      <c r="U188" s="511">
        <f t="shared" si="98"/>
        <v>2843.3299142527071</v>
      </c>
      <c r="V188" s="511">
        <f t="shared" si="99"/>
        <v>2842.8174777903155</v>
      </c>
      <c r="W188" s="497">
        <f>IF(Tabla3[[#This Row],[Fecha de operación]]=$C$1,0,U188-V188)</f>
        <v>0.51243646239163354</v>
      </c>
      <c r="X188" s="512" t="str">
        <f t="shared" si="121"/>
        <v>Vigente</v>
      </c>
      <c r="Y188" s="517" t="s">
        <v>450</v>
      </c>
      <c r="Z188" s="449">
        <f t="shared" si="122"/>
        <v>13</v>
      </c>
      <c r="AA188" s="518">
        <f t="shared" si="136"/>
        <v>0.36544400149472245</v>
      </c>
      <c r="AB188" s="518">
        <f t="shared" si="136"/>
        <v>0.35933530420398285</v>
      </c>
      <c r="AC188" s="449" t="s">
        <v>451</v>
      </c>
      <c r="AD188" s="449" t="s">
        <v>454</v>
      </c>
      <c r="AG188" s="605">
        <f>+IF(Tabla3[[#This Row],[Amortización k | cupón de intereses]]="Amortización de K",Tabla3[[#This Row],[Valor Nominal]],0)</f>
        <v>0</v>
      </c>
      <c r="AH188" s="605">
        <f>+IF(AND(Tabla3[[#This Row],[Amortización k | cupón de intereses]]="Cupón de interés",Tabla3[[#This Row],[Estado]]="Vigente"),Tabla3[[#This Row],[Valor Nominal]],0)</f>
        <v>2850</v>
      </c>
      <c r="AI188" s="618">
        <f>+IF(Tabla3[[#This Row],[Amortización k | cupón de intereses]]="Amortización de K",SUMIFS($AH$7:$AH$557,Tabla3[Código Emisión],Tabla3[[#This Row],[Código Emisión]],Tabla3[Fecha de operación],Tabla3[[#This Row],[Fecha de operación]]),0)-Tabla3[[#This Row],[Accrued]]*Tabla3[[#This Row],[Valor Nominal]]</f>
        <v>0</v>
      </c>
      <c r="AJ188" s="605">
        <f>+IF(Tabla3[[#This Row],[Amortización k | cupón de intereses]]="Amortización de K",IF(Tabla3[[#This Row],[Precio Clean]]&gt;1,Tabla3[[#This Row],[Valor Nominal]]*(Tabla3[[#This Row],[Precio Clean]]-1),0),0)</f>
        <v>0</v>
      </c>
      <c r="AK188" s="605">
        <f>+IF(Tabla3[[#This Row],[Amortización k | cupón de intereses]]="Amortización de K",IF(Tabla3[[#This Row],[Precio Clean]]&lt;1,Tabla3[[#This Row],[Valor Nominal]]*(Tabla3[[#This Row],[Precio Clean]]-1),0),0)</f>
        <v>0</v>
      </c>
    </row>
    <row r="189" spans="1:37">
      <c r="A189" s="502"/>
      <c r="B189" s="437" t="str">
        <f t="shared" si="132"/>
        <v>Banco Basa SA</v>
      </c>
      <c r="C189" s="437" t="str">
        <f t="shared" si="132"/>
        <v>BASA_6,50%_14082026_AA3002-06_100K</v>
      </c>
      <c r="D189" s="437" t="s">
        <v>453</v>
      </c>
      <c r="E189" s="437" t="str">
        <f t="shared" si="133"/>
        <v>AA-py</v>
      </c>
      <c r="F189" s="437" t="s">
        <v>297</v>
      </c>
      <c r="G189" s="437" t="s">
        <v>298</v>
      </c>
      <c r="H189" s="437">
        <f t="shared" si="134"/>
        <v>5</v>
      </c>
      <c r="I189" s="445">
        <v>499</v>
      </c>
      <c r="J189" s="462"/>
      <c r="K189" s="450"/>
      <c r="L189" s="462"/>
      <c r="M189" s="493"/>
      <c r="N189" s="493"/>
      <c r="O189" s="516">
        <f t="shared" si="135"/>
        <v>6.7999967932701105E-2</v>
      </c>
      <c r="P189" s="516">
        <f t="shared" si="135"/>
        <v>6.5000000000000002E-2</v>
      </c>
      <c r="Q189" s="450">
        <v>45912</v>
      </c>
      <c r="R189" s="450">
        <v>46093</v>
      </c>
      <c r="S189" s="509" t="s">
        <v>146</v>
      </c>
      <c r="T189" s="510">
        <f>Tabla3[[#This Row],[Cantidad]]*Tabla3[[#This Row],[Cortes]]</f>
        <v>2495</v>
      </c>
      <c r="U189" s="511" t="b">
        <f t="shared" si="98"/>
        <v>0</v>
      </c>
      <c r="V189" s="511" t="b">
        <f t="shared" si="99"/>
        <v>0</v>
      </c>
      <c r="W189" s="497">
        <f>IF(Tabla3[[#This Row],[Fecha de operación]]=$C$1,0,U189-V189)</f>
        <v>0</v>
      </c>
      <c r="X189" s="512" t="str">
        <f t="shared" si="121"/>
        <v>Vencido</v>
      </c>
      <c r="Y189" s="517" t="s">
        <v>450</v>
      </c>
      <c r="Z189" s="449">
        <f t="shared" si="122"/>
        <v>-19</v>
      </c>
      <c r="AA189" s="518">
        <f t="shared" si="136"/>
        <v>0.36544400149472245</v>
      </c>
      <c r="AB189" s="518">
        <f t="shared" si="136"/>
        <v>0.35933530420398285</v>
      </c>
      <c r="AC189" s="449" t="s">
        <v>451</v>
      </c>
      <c r="AD189" s="449" t="s">
        <v>454</v>
      </c>
      <c r="AG189" s="605">
        <f>+IF(Tabla3[[#This Row],[Amortización k | cupón de intereses]]="Amortización de K",Tabla3[[#This Row],[Valor Nominal]],0)</f>
        <v>0</v>
      </c>
      <c r="AH189" s="605">
        <f>+IF(AND(Tabla3[[#This Row],[Amortización k | cupón de intereses]]="Cupón de interés",Tabla3[[#This Row],[Estado]]="Vigente"),Tabla3[[#This Row],[Valor Nominal]],0)</f>
        <v>0</v>
      </c>
      <c r="AI189" s="618">
        <f>+IF(Tabla3[[#This Row],[Amortización k | cupón de intereses]]="Amortización de K",SUMIFS($AH$7:$AH$557,Tabla3[Código Emisión],Tabla3[[#This Row],[Código Emisión]],Tabla3[Fecha de operación],Tabla3[[#This Row],[Fecha de operación]]),0)-Tabla3[[#This Row],[Accrued]]*Tabla3[[#This Row],[Valor Nominal]]</f>
        <v>0</v>
      </c>
      <c r="AJ189" s="605">
        <f>+IF(Tabla3[[#This Row],[Amortización k | cupón de intereses]]="Amortización de K",IF(Tabla3[[#This Row],[Precio Clean]]&gt;1,Tabla3[[#This Row],[Valor Nominal]]*(Tabla3[[#This Row],[Precio Clean]]-1),0),0)</f>
        <v>0</v>
      </c>
      <c r="AK189" s="605">
        <f>+IF(Tabla3[[#This Row],[Amortización k | cupón de intereses]]="Amortización de K",IF(Tabla3[[#This Row],[Precio Clean]]&lt;1,Tabla3[[#This Row],[Valor Nominal]]*(Tabla3[[#This Row],[Precio Clean]]-1),0),0)</f>
        <v>0</v>
      </c>
    </row>
    <row r="190" spans="1:37">
      <c r="A190" s="502"/>
      <c r="B190" s="437" t="str">
        <f t="shared" si="132"/>
        <v>Banco Basa SA</v>
      </c>
      <c r="C190" s="437" t="str">
        <f t="shared" si="132"/>
        <v>BASA_6,50%_14082026_AA3002-06_100K</v>
      </c>
      <c r="D190" s="437" t="s">
        <v>453</v>
      </c>
      <c r="E190" s="437" t="str">
        <f t="shared" si="133"/>
        <v>AA-py</v>
      </c>
      <c r="F190" s="437" t="s">
        <v>297</v>
      </c>
      <c r="G190" s="437" t="s">
        <v>298</v>
      </c>
      <c r="H190" s="437">
        <f t="shared" si="134"/>
        <v>5</v>
      </c>
      <c r="I190" s="445">
        <v>552</v>
      </c>
      <c r="J190" s="462"/>
      <c r="K190" s="450"/>
      <c r="L190" s="462"/>
      <c r="M190" s="493"/>
      <c r="N190" s="493"/>
      <c r="O190" s="516">
        <f t="shared" si="135"/>
        <v>6.7999967932701105E-2</v>
      </c>
      <c r="P190" s="516">
        <f t="shared" si="135"/>
        <v>6.5000000000000002E-2</v>
      </c>
      <c r="Q190" s="450">
        <v>45912</v>
      </c>
      <c r="R190" s="450">
        <v>46065</v>
      </c>
      <c r="S190" s="509" t="s">
        <v>146</v>
      </c>
      <c r="T190" s="510">
        <f>Tabla3[[#This Row],[Cantidad]]*Tabla3[[#This Row],[Cortes]]</f>
        <v>2760</v>
      </c>
      <c r="U190" s="511" t="b">
        <f t="shared" si="98"/>
        <v>0</v>
      </c>
      <c r="V190" s="511" t="b">
        <f t="shared" si="99"/>
        <v>0</v>
      </c>
      <c r="W190" s="497">
        <f>IF(Tabla3[[#This Row],[Fecha de operación]]=$C$1,0,U190-V190)</f>
        <v>0</v>
      </c>
      <c r="X190" s="512" t="str">
        <f t="shared" si="121"/>
        <v>Vencido</v>
      </c>
      <c r="Y190" s="517" t="s">
        <v>450</v>
      </c>
      <c r="Z190" s="449">
        <f t="shared" si="122"/>
        <v>-47</v>
      </c>
      <c r="AA190" s="518">
        <f t="shared" si="136"/>
        <v>0.36544400149472245</v>
      </c>
      <c r="AB190" s="518">
        <f t="shared" si="136"/>
        <v>0.35933530420398285</v>
      </c>
      <c r="AC190" s="449" t="s">
        <v>451</v>
      </c>
      <c r="AD190" s="449" t="s">
        <v>454</v>
      </c>
      <c r="AG190" s="605">
        <f>+IF(Tabla3[[#This Row],[Amortización k | cupón de intereses]]="Amortización de K",Tabla3[[#This Row],[Valor Nominal]],0)</f>
        <v>0</v>
      </c>
      <c r="AH190" s="605">
        <f>+IF(AND(Tabla3[[#This Row],[Amortización k | cupón de intereses]]="Cupón de interés",Tabla3[[#This Row],[Estado]]="Vigente"),Tabla3[[#This Row],[Valor Nominal]],0)</f>
        <v>0</v>
      </c>
      <c r="AI190" s="618">
        <f>+IF(Tabla3[[#This Row],[Amortización k | cupón de intereses]]="Amortización de K",SUMIFS($AH$7:$AH$557,Tabla3[Código Emisión],Tabla3[[#This Row],[Código Emisión]],Tabla3[Fecha de operación],Tabla3[[#This Row],[Fecha de operación]]),0)-Tabla3[[#This Row],[Accrued]]*Tabla3[[#This Row],[Valor Nominal]]</f>
        <v>0</v>
      </c>
      <c r="AJ190" s="605">
        <f>+IF(Tabla3[[#This Row],[Amortización k | cupón de intereses]]="Amortización de K",IF(Tabla3[[#This Row],[Precio Clean]]&gt;1,Tabla3[[#This Row],[Valor Nominal]]*(Tabla3[[#This Row],[Precio Clean]]-1),0),0)</f>
        <v>0</v>
      </c>
      <c r="AK190" s="605">
        <f>+IF(Tabla3[[#This Row],[Amortización k | cupón de intereses]]="Amortización de K",IF(Tabla3[[#This Row],[Precio Clean]]&lt;1,Tabla3[[#This Row],[Valor Nominal]]*(Tabla3[[#This Row],[Precio Clean]]-1),0),0)</f>
        <v>0</v>
      </c>
    </row>
    <row r="191" spans="1:37">
      <c r="A191" s="502"/>
      <c r="B191" s="437" t="str">
        <f t="shared" si="132"/>
        <v>Banco Basa SA</v>
      </c>
      <c r="C191" s="437" t="str">
        <f t="shared" si="132"/>
        <v>BASA_6,50%_14082026_AA3002-06_100K</v>
      </c>
      <c r="D191" s="437" t="s">
        <v>453</v>
      </c>
      <c r="E191" s="437" t="str">
        <f t="shared" si="133"/>
        <v>AA-py</v>
      </c>
      <c r="F191" s="437" t="s">
        <v>297</v>
      </c>
      <c r="G191" s="437" t="s">
        <v>298</v>
      </c>
      <c r="H191" s="437">
        <f t="shared" si="134"/>
        <v>5</v>
      </c>
      <c r="I191" s="445">
        <v>552</v>
      </c>
      <c r="J191" s="462"/>
      <c r="K191" s="450"/>
      <c r="L191" s="462"/>
      <c r="M191" s="493"/>
      <c r="N191" s="493"/>
      <c r="O191" s="516">
        <f t="shared" si="135"/>
        <v>6.7999967932701105E-2</v>
      </c>
      <c r="P191" s="516">
        <f t="shared" si="135"/>
        <v>6.5000000000000002E-2</v>
      </c>
      <c r="Q191" s="450">
        <v>45912</v>
      </c>
      <c r="R191" s="450">
        <v>46034</v>
      </c>
      <c r="S191" s="509" t="s">
        <v>146</v>
      </c>
      <c r="T191" s="510">
        <f>Tabla3[[#This Row],[Cantidad]]*Tabla3[[#This Row],[Cortes]]</f>
        <v>2760</v>
      </c>
      <c r="U191" s="511" t="b">
        <f t="shared" si="98"/>
        <v>0</v>
      </c>
      <c r="V191" s="511" t="b">
        <f t="shared" si="99"/>
        <v>0</v>
      </c>
      <c r="W191" s="497">
        <f>IF(Tabla3[[#This Row],[Fecha de operación]]=$C$1,0,U191-V191)</f>
        <v>0</v>
      </c>
      <c r="X191" s="512" t="str">
        <f t="shared" si="121"/>
        <v>Vencido</v>
      </c>
      <c r="Y191" s="517" t="s">
        <v>450</v>
      </c>
      <c r="Z191" s="449">
        <f t="shared" si="122"/>
        <v>-78</v>
      </c>
      <c r="AA191" s="518">
        <f t="shared" si="136"/>
        <v>0.36544400149472245</v>
      </c>
      <c r="AB191" s="518">
        <f t="shared" si="136"/>
        <v>0.35933530420398285</v>
      </c>
      <c r="AC191" s="449" t="s">
        <v>451</v>
      </c>
      <c r="AD191" s="449" t="s">
        <v>454</v>
      </c>
      <c r="AG191" s="605">
        <f>+IF(Tabla3[[#This Row],[Amortización k | cupón de intereses]]="Amortización de K",Tabla3[[#This Row],[Valor Nominal]],0)</f>
        <v>0</v>
      </c>
      <c r="AH191" s="605">
        <f>+IF(AND(Tabla3[[#This Row],[Amortización k | cupón de intereses]]="Cupón de interés",Tabla3[[#This Row],[Estado]]="Vigente"),Tabla3[[#This Row],[Valor Nominal]],0)</f>
        <v>0</v>
      </c>
      <c r="AI191" s="618">
        <f>+IF(Tabla3[[#This Row],[Amortización k | cupón de intereses]]="Amortización de K",SUMIFS($AH$7:$AH$557,Tabla3[Código Emisión],Tabla3[[#This Row],[Código Emisión]],Tabla3[Fecha de operación],Tabla3[[#This Row],[Fecha de operación]]),0)-Tabla3[[#This Row],[Accrued]]*Tabla3[[#This Row],[Valor Nominal]]</f>
        <v>0</v>
      </c>
      <c r="AJ191" s="605">
        <f>+IF(Tabla3[[#This Row],[Amortización k | cupón de intereses]]="Amortización de K",IF(Tabla3[[#This Row],[Precio Clean]]&gt;1,Tabla3[[#This Row],[Valor Nominal]]*(Tabla3[[#This Row],[Precio Clean]]-1),0),0)</f>
        <v>0</v>
      </c>
      <c r="AK191" s="605">
        <f>+IF(Tabla3[[#This Row],[Amortización k | cupón de intereses]]="Amortización de K",IF(Tabla3[[#This Row],[Precio Clean]]&lt;1,Tabla3[[#This Row],[Valor Nominal]]*(Tabla3[[#This Row],[Precio Clean]]-1),0),0)</f>
        <v>0</v>
      </c>
    </row>
    <row r="192" spans="1:37">
      <c r="A192" s="502"/>
      <c r="B192" s="437" t="str">
        <f t="shared" si="132"/>
        <v>Banco Basa SA</v>
      </c>
      <c r="C192" s="437" t="str">
        <f t="shared" si="132"/>
        <v>BASA_6,50%_14082026_AA3002-06_100K</v>
      </c>
      <c r="D192" s="437" t="s">
        <v>453</v>
      </c>
      <c r="E192" s="437" t="str">
        <f t="shared" si="133"/>
        <v>AA-py</v>
      </c>
      <c r="F192" s="437" t="s">
        <v>297</v>
      </c>
      <c r="G192" s="437" t="s">
        <v>298</v>
      </c>
      <c r="H192" s="437">
        <f t="shared" si="134"/>
        <v>5</v>
      </c>
      <c r="I192" s="445">
        <v>534</v>
      </c>
      <c r="J192" s="462"/>
      <c r="K192" s="450"/>
      <c r="L192" s="462"/>
      <c r="M192" s="493"/>
      <c r="N192" s="493"/>
      <c r="O192" s="516">
        <f t="shared" si="135"/>
        <v>6.7999967932701105E-2</v>
      </c>
      <c r="P192" s="516">
        <f t="shared" si="135"/>
        <v>6.5000000000000002E-2</v>
      </c>
      <c r="Q192" s="450">
        <v>45912</v>
      </c>
      <c r="R192" s="450">
        <v>46003</v>
      </c>
      <c r="S192" s="509" t="s">
        <v>146</v>
      </c>
      <c r="T192" s="510">
        <f>Tabla3[[#This Row],[Cantidad]]*Tabla3[[#This Row],[Cortes]]</f>
        <v>2670</v>
      </c>
      <c r="U192" s="511" t="b">
        <f t="shared" si="98"/>
        <v>0</v>
      </c>
      <c r="V192" s="511" t="b">
        <f t="shared" si="99"/>
        <v>0</v>
      </c>
      <c r="W192" s="497">
        <f>IF(Tabla3[[#This Row],[Fecha de operación]]=$C$1,0,U192-V192)</f>
        <v>0</v>
      </c>
      <c r="X192" s="512" t="str">
        <f t="shared" si="121"/>
        <v>Vencido</v>
      </c>
      <c r="Y192" s="517" t="s">
        <v>450</v>
      </c>
      <c r="Z192" s="449">
        <f t="shared" si="122"/>
        <v>-109</v>
      </c>
      <c r="AA192" s="518">
        <f t="shared" si="136"/>
        <v>0.36544400149472245</v>
      </c>
      <c r="AB192" s="518">
        <f t="shared" si="136"/>
        <v>0.35933530420398285</v>
      </c>
      <c r="AC192" s="449" t="s">
        <v>451</v>
      </c>
      <c r="AD192" s="449" t="s">
        <v>454</v>
      </c>
      <c r="AG192" s="605">
        <f>+IF(Tabla3[[#This Row],[Amortización k | cupón de intereses]]="Amortización de K",Tabla3[[#This Row],[Valor Nominal]],0)</f>
        <v>0</v>
      </c>
      <c r="AH192" s="605">
        <f>+IF(AND(Tabla3[[#This Row],[Amortización k | cupón de intereses]]="Cupón de interés",Tabla3[[#This Row],[Estado]]="Vigente"),Tabla3[[#This Row],[Valor Nominal]],0)</f>
        <v>0</v>
      </c>
      <c r="AI192" s="618">
        <f>+IF(Tabla3[[#This Row],[Amortización k | cupón de intereses]]="Amortización de K",SUMIFS($AH$7:$AH$557,Tabla3[Código Emisión],Tabla3[[#This Row],[Código Emisión]],Tabla3[Fecha de operación],Tabla3[[#This Row],[Fecha de operación]]),0)-Tabla3[[#This Row],[Accrued]]*Tabla3[[#This Row],[Valor Nominal]]</f>
        <v>0</v>
      </c>
      <c r="AJ192" s="605">
        <f>+IF(Tabla3[[#This Row],[Amortización k | cupón de intereses]]="Amortización de K",IF(Tabla3[[#This Row],[Precio Clean]]&gt;1,Tabla3[[#This Row],[Valor Nominal]]*(Tabla3[[#This Row],[Precio Clean]]-1),0),0)</f>
        <v>0</v>
      </c>
      <c r="AK192" s="605">
        <f>+IF(Tabla3[[#This Row],[Amortización k | cupón de intereses]]="Amortización de K",IF(Tabla3[[#This Row],[Precio Clean]]&lt;1,Tabla3[[#This Row],[Valor Nominal]]*(Tabla3[[#This Row],[Precio Clean]]-1),0),0)</f>
        <v>0</v>
      </c>
    </row>
    <row r="193" spans="1:37">
      <c r="A193" s="502"/>
      <c r="B193" s="437" t="str">
        <f t="shared" si="132"/>
        <v>Banco Basa SA</v>
      </c>
      <c r="C193" s="437" t="str">
        <f t="shared" si="132"/>
        <v>BASA_6,50%_14082026_AA3002-06_100K</v>
      </c>
      <c r="D193" s="437" t="s">
        <v>453</v>
      </c>
      <c r="E193" s="437" t="str">
        <f t="shared" si="133"/>
        <v>AA-py</v>
      </c>
      <c r="F193" s="437" t="s">
        <v>297</v>
      </c>
      <c r="G193" s="437" t="s">
        <v>298</v>
      </c>
      <c r="H193" s="437">
        <f t="shared" si="134"/>
        <v>5</v>
      </c>
      <c r="I193" s="445">
        <v>534</v>
      </c>
      <c r="J193" s="462"/>
      <c r="K193" s="450"/>
      <c r="L193" s="462"/>
      <c r="M193" s="493"/>
      <c r="N193" s="493"/>
      <c r="O193" s="516">
        <f t="shared" si="135"/>
        <v>6.7999967932701105E-2</v>
      </c>
      <c r="P193" s="516">
        <f t="shared" si="135"/>
        <v>6.5000000000000002E-2</v>
      </c>
      <c r="Q193" s="450">
        <v>45912</v>
      </c>
      <c r="R193" s="450">
        <v>45973</v>
      </c>
      <c r="S193" s="509" t="s">
        <v>146</v>
      </c>
      <c r="T193" s="510">
        <f>Tabla3[[#This Row],[Cantidad]]*Tabla3[[#This Row],[Cortes]]</f>
        <v>2670</v>
      </c>
      <c r="U193" s="511" t="b">
        <f t="shared" si="98"/>
        <v>0</v>
      </c>
      <c r="V193" s="511" t="b">
        <f t="shared" si="99"/>
        <v>0</v>
      </c>
      <c r="W193" s="497">
        <f>IF(Tabla3[[#This Row],[Fecha de operación]]=$C$1,0,U193-V193)</f>
        <v>0</v>
      </c>
      <c r="X193" s="512" t="str">
        <f t="shared" si="121"/>
        <v>Vencido</v>
      </c>
      <c r="Y193" s="517" t="s">
        <v>450</v>
      </c>
      <c r="Z193" s="449">
        <f t="shared" si="122"/>
        <v>-139</v>
      </c>
      <c r="AA193" s="518">
        <f t="shared" si="136"/>
        <v>0.36544400149472245</v>
      </c>
      <c r="AB193" s="518">
        <f t="shared" si="136"/>
        <v>0.35933530420398285</v>
      </c>
      <c r="AC193" s="449" t="s">
        <v>451</v>
      </c>
      <c r="AD193" s="449" t="s">
        <v>454</v>
      </c>
      <c r="AG193" s="605">
        <f>+IF(Tabla3[[#This Row],[Amortización k | cupón de intereses]]="Amortización de K",Tabla3[[#This Row],[Valor Nominal]],0)</f>
        <v>0</v>
      </c>
      <c r="AH193" s="605">
        <f>+IF(AND(Tabla3[[#This Row],[Amortización k | cupón de intereses]]="Cupón de interés",Tabla3[[#This Row],[Estado]]="Vigente"),Tabla3[[#This Row],[Valor Nominal]],0)</f>
        <v>0</v>
      </c>
      <c r="AI193" s="618">
        <f>+IF(Tabla3[[#This Row],[Amortización k | cupón de intereses]]="Amortización de K",SUMIFS($AH$7:$AH$557,Tabla3[Código Emisión],Tabla3[[#This Row],[Código Emisión]],Tabla3[Fecha de operación],Tabla3[[#This Row],[Fecha de operación]]),0)-Tabla3[[#This Row],[Accrued]]*Tabla3[[#This Row],[Valor Nominal]]</f>
        <v>0</v>
      </c>
      <c r="AJ193" s="605">
        <f>+IF(Tabla3[[#This Row],[Amortización k | cupón de intereses]]="Amortización de K",IF(Tabla3[[#This Row],[Precio Clean]]&gt;1,Tabla3[[#This Row],[Valor Nominal]]*(Tabla3[[#This Row],[Precio Clean]]-1),0),0)</f>
        <v>0</v>
      </c>
      <c r="AK193" s="605">
        <f>+IF(Tabla3[[#This Row],[Amortización k | cupón de intereses]]="Amortización de K",IF(Tabla3[[#This Row],[Precio Clean]]&lt;1,Tabla3[[#This Row],[Valor Nominal]]*(Tabla3[[#This Row],[Precio Clean]]-1),0),0)</f>
        <v>0</v>
      </c>
    </row>
    <row r="194" spans="1:37">
      <c r="A194" s="502"/>
      <c r="B194" s="437" t="str">
        <f t="shared" si="132"/>
        <v>Banco Basa SA</v>
      </c>
      <c r="C194" s="437" t="str">
        <f t="shared" si="132"/>
        <v>BASA_6,50%_14082026_AA3002-06_100K</v>
      </c>
      <c r="D194" s="437" t="s">
        <v>453</v>
      </c>
      <c r="E194" s="437" t="str">
        <f t="shared" si="133"/>
        <v>AA-py</v>
      </c>
      <c r="F194" s="437" t="s">
        <v>297</v>
      </c>
      <c r="G194" s="437" t="s">
        <v>298</v>
      </c>
      <c r="H194" s="437">
        <f t="shared" si="134"/>
        <v>5</v>
      </c>
      <c r="I194" s="445">
        <v>552</v>
      </c>
      <c r="J194" s="462"/>
      <c r="K194" s="450"/>
      <c r="L194" s="462"/>
      <c r="M194" s="493"/>
      <c r="N194" s="493"/>
      <c r="O194" s="516">
        <f t="shared" si="135"/>
        <v>6.7999967932701105E-2</v>
      </c>
      <c r="P194" s="516">
        <f t="shared" si="135"/>
        <v>6.5000000000000002E-2</v>
      </c>
      <c r="Q194" s="450">
        <v>45912</v>
      </c>
      <c r="R194" s="450">
        <v>45943</v>
      </c>
      <c r="S194" s="509" t="s">
        <v>146</v>
      </c>
      <c r="T194" s="510">
        <f>Tabla3[[#This Row],[Cantidad]]*Tabla3[[#This Row],[Cortes]]</f>
        <v>2760</v>
      </c>
      <c r="U194" s="511" t="b">
        <f t="shared" si="98"/>
        <v>0</v>
      </c>
      <c r="V194" s="511" t="b">
        <f t="shared" si="99"/>
        <v>0</v>
      </c>
      <c r="W194" s="497">
        <f>IF(Tabla3[[#This Row],[Fecha de operación]]=$C$1,0,U194-V194)</f>
        <v>0</v>
      </c>
      <c r="X194" s="512" t="str">
        <f t="shared" si="121"/>
        <v>Vencido</v>
      </c>
      <c r="Y194" s="517" t="s">
        <v>450</v>
      </c>
      <c r="Z194" s="449">
        <f t="shared" si="122"/>
        <v>-169</v>
      </c>
      <c r="AA194" s="518">
        <f t="shared" si="136"/>
        <v>0.36544400149472245</v>
      </c>
      <c r="AB194" s="518">
        <f t="shared" si="136"/>
        <v>0.35933530420398285</v>
      </c>
      <c r="AC194" s="449" t="s">
        <v>451</v>
      </c>
      <c r="AD194" s="449" t="s">
        <v>454</v>
      </c>
      <c r="AG194" s="605">
        <f>+IF(Tabla3[[#This Row],[Amortización k | cupón de intereses]]="Amortización de K",Tabla3[[#This Row],[Valor Nominal]],0)</f>
        <v>0</v>
      </c>
      <c r="AH194" s="605">
        <f>+IF(AND(Tabla3[[#This Row],[Amortización k | cupón de intereses]]="Cupón de interés",Tabla3[[#This Row],[Estado]]="Vigente"),Tabla3[[#This Row],[Valor Nominal]],0)</f>
        <v>0</v>
      </c>
      <c r="AI194" s="618">
        <f>+IF(Tabla3[[#This Row],[Amortización k | cupón de intereses]]="Amortización de K",SUMIFS($AH$7:$AH$557,Tabla3[Código Emisión],Tabla3[[#This Row],[Código Emisión]],Tabla3[Fecha de operación],Tabla3[[#This Row],[Fecha de operación]]),0)-Tabla3[[#This Row],[Accrued]]*Tabla3[[#This Row],[Valor Nominal]]</f>
        <v>0</v>
      </c>
      <c r="AJ194" s="605">
        <f>+IF(Tabla3[[#This Row],[Amortización k | cupón de intereses]]="Amortización de K",IF(Tabla3[[#This Row],[Precio Clean]]&gt;1,Tabla3[[#This Row],[Valor Nominal]]*(Tabla3[[#This Row],[Precio Clean]]-1),0),0)</f>
        <v>0</v>
      </c>
      <c r="AK194" s="605">
        <f>+IF(Tabla3[[#This Row],[Amortización k | cupón de intereses]]="Amortización de K",IF(Tabla3[[#This Row],[Precio Clean]]&lt;1,Tabla3[[#This Row],[Valor Nominal]]*(Tabla3[[#This Row],[Precio Clean]]-1),0),0)</f>
        <v>0</v>
      </c>
    </row>
    <row r="195" spans="1:37" ht="15">
      <c r="A195" s="500">
        <f>+A183+1</f>
        <v>22</v>
      </c>
      <c r="B195" s="475" t="s">
        <v>504</v>
      </c>
      <c r="C195" s="475" t="s">
        <v>563</v>
      </c>
      <c r="D195" s="475" t="s">
        <v>453</v>
      </c>
      <c r="E195" s="475" t="s">
        <v>487</v>
      </c>
      <c r="F195" s="475" t="s">
        <v>297</v>
      </c>
      <c r="G195" s="475" t="s">
        <v>298</v>
      </c>
      <c r="H195" s="475">
        <v>4</v>
      </c>
      <c r="I195" s="477">
        <v>100000</v>
      </c>
      <c r="J195" s="478">
        <v>6.5000000000000002E-2</v>
      </c>
      <c r="K195" s="479">
        <f>_xlfn.MAXIFS(R:R,C:C,C195,AD:AD,"Cupón de interés",X:X,"Vencido")</f>
        <v>46098</v>
      </c>
      <c r="L195" s="478">
        <f>+Tabla3[[#This Row],[Tasa de Interés]]*($U$5-Tabla3[[#This Row],[Last coupon]])/365</f>
        <v>2.4931506849315069E-3</v>
      </c>
      <c r="M195" s="480">
        <f>+Tabla3[[#This Row],[Precio Dirty]]-Tabla3[[#This Row],[Accrued]]</f>
        <v>1.0034794723939464</v>
      </c>
      <c r="N195" s="481">
        <f>SUMIFS(U:U,C:C,C195,Q:Q,Q195)/SUMIFS(T:T,C:C,C195,Q:Q,Q195,AD:AD,"Amortización de K")</f>
        <v>1.0059726230788779</v>
      </c>
      <c r="O195" s="482">
        <v>6.5596756339073192E-2</v>
      </c>
      <c r="P195" s="482">
        <f>+NOMINAL(Tabla3[[#This Row],[YTM]],4)</f>
        <v>6.4042245700841605E-2</v>
      </c>
      <c r="Q195" s="484">
        <v>45933</v>
      </c>
      <c r="R195" s="484">
        <v>47630</v>
      </c>
      <c r="S195" s="504" t="s">
        <v>146</v>
      </c>
      <c r="T195" s="505">
        <f>Tabla3[[#This Row],[Cantidad]]*Tabla3[[#This Row],[Cortes]]</f>
        <v>400000</v>
      </c>
      <c r="U195" s="506">
        <f t="shared" si="98"/>
        <v>307116.9657315932</v>
      </c>
      <c r="V195" s="506">
        <f t="shared" si="99"/>
        <v>307063.51101617276</v>
      </c>
      <c r="W195" s="487">
        <f>IF(Tabla3[[#This Row],[Fecha de operación]]=$C$1,0,U195-V195)</f>
        <v>53.454715420433786</v>
      </c>
      <c r="X195" s="507" t="str">
        <f t="shared" si="121"/>
        <v>Vigente</v>
      </c>
      <c r="Y195" s="489" t="s">
        <v>450</v>
      </c>
      <c r="Z195" s="488">
        <f t="shared" si="122"/>
        <v>1518</v>
      </c>
      <c r="AA195" s="508">
        <f t="shared" ref="AA195" si="137">IF(Y195="Mensual",DURATION($C$1,$C$1+Z195*12,J195/12,O195/12,1)/12,DURATION($C$1,R195,J195,O195,IF(Y195="Cupón cero",1,IF(Y195="Al vencimiento",1,IF(Y195="Anual",1,IF(Y195="Semestral",2,IF(Y195="Trimestral",4,"")))))))</f>
        <v>3.6523408398371933</v>
      </c>
      <c r="AB195" s="508">
        <f t="shared" ref="AB195" si="138">IF(Y195="Mensual",MDURATION($C$1,$C$1+Z195*12,J195/12,O195/12,1)/12,MDURATION($C$1,R195,J195,O195,IF(Y195="Cupón cero",1,IF(Y195="Al vencimiento",1,IF(Y195="Anual",1,IF(Y195="Semestral",2,IF(Y195="Trimestral",4,"")))))))</f>
        <v>3.5934118002652062</v>
      </c>
      <c r="AC195" s="488" t="s">
        <v>451</v>
      </c>
      <c r="AD195" s="488" t="s">
        <v>452</v>
      </c>
      <c r="AG195" s="605">
        <f>+IF(Tabla3[[#This Row],[Amortización k | cupón de intereses]]="Amortización de K",Tabla3[[#This Row],[Valor Nominal]],0)</f>
        <v>400000</v>
      </c>
      <c r="AH195" s="605">
        <f>+IF(AND(Tabla3[[#This Row],[Amortización k | cupón de intereses]]="Cupón de interés",Tabla3[[#This Row],[Estado]]="Vigente"),Tabla3[[#This Row],[Valor Nominal]],0)</f>
        <v>0</v>
      </c>
      <c r="AI195" s="618">
        <f>+IF(Tabla3[[#This Row],[Amortización k | cupón de intereses]]="Amortización de K",SUMIFS($AH$7:$AH$557,Tabla3[Código Emisión],Tabla3[[#This Row],[Código Emisión]],Tabla3[Fecha de operación],Tabla3[[#This Row],[Fecha de operación]]),0)-Tabla3[[#This Row],[Accrued]]*Tabla3[[#This Row],[Valor Nominal]]</f>
        <v>108131.5397260274</v>
      </c>
      <c r="AJ195" s="605">
        <f>+IF(Tabla3[[#This Row],[Amortización k | cupón de intereses]]="Amortización de K",IF(Tabla3[[#This Row],[Precio Clean]]&gt;1,Tabla3[[#This Row],[Valor Nominal]]*(Tabla3[[#This Row],[Precio Clean]]-1),0),0)</f>
        <v>1391.7889575785657</v>
      </c>
      <c r="AK195" s="605">
        <f>+IF(Tabla3[[#This Row],[Amortización k | cupón de intereses]]="Amortización de K",IF(Tabla3[[#This Row],[Precio Clean]]&lt;1,Tabla3[[#This Row],[Valor Nominal]]*(Tabla3[[#This Row],[Precio Clean]]-1),0),0)</f>
        <v>0</v>
      </c>
    </row>
    <row r="196" spans="1:37">
      <c r="A196" s="502"/>
      <c r="B196" s="437" t="str">
        <f>+B195</f>
        <v>Sudameris Bank SAECA</v>
      </c>
      <c r="C196" s="437" t="str">
        <f t="shared" ref="C196:C239" si="139">+C195</f>
        <v>SUD_6,50%_270530_BE1754-57_100K</v>
      </c>
      <c r="D196" s="437" t="s">
        <v>453</v>
      </c>
      <c r="E196" s="437" t="str">
        <f>+E195</f>
        <v>AA+py</v>
      </c>
      <c r="F196" s="437" t="s">
        <v>297</v>
      </c>
      <c r="G196" s="437" t="s">
        <v>298</v>
      </c>
      <c r="H196" s="437">
        <v>4</v>
      </c>
      <c r="I196" s="492">
        <v>1620.55</v>
      </c>
      <c r="J196" s="451"/>
      <c r="K196" s="450"/>
      <c r="L196" s="451"/>
      <c r="M196" s="493"/>
      <c r="N196" s="493"/>
      <c r="O196" s="494">
        <f t="shared" ref="O196:Q211" si="140">+O195</f>
        <v>6.5596756339073192E-2</v>
      </c>
      <c r="P196" s="494">
        <f t="shared" si="140"/>
        <v>6.4042245700841605E-2</v>
      </c>
      <c r="Q196" s="450">
        <f t="shared" si="140"/>
        <v>45933</v>
      </c>
      <c r="R196" s="450">
        <v>47630</v>
      </c>
      <c r="S196" s="509" t="s">
        <v>146</v>
      </c>
      <c r="T196" s="510">
        <f>Tabla3[[#This Row],[Cantidad]]*Tabla3[[#This Row],[Cortes]]</f>
        <v>6482.2</v>
      </c>
      <c r="U196" s="511">
        <f t="shared" si="98"/>
        <v>4976.9839881633343</v>
      </c>
      <c r="V196" s="511">
        <f t="shared" si="99"/>
        <v>4976.1177277725874</v>
      </c>
      <c r="W196" s="497">
        <f>IF(Tabla3[[#This Row],[Fecha de operación]]=$C$1,0,U196-V196)</f>
        <v>0.86626039074690198</v>
      </c>
      <c r="X196" s="512" t="str">
        <f t="shared" si="121"/>
        <v>Vigente</v>
      </c>
      <c r="Y196" s="498" t="s">
        <v>450</v>
      </c>
      <c r="Z196" s="469">
        <f t="shared" si="122"/>
        <v>1518</v>
      </c>
      <c r="AA196" s="499">
        <f>+AA195</f>
        <v>3.6523408398371933</v>
      </c>
      <c r="AB196" s="499">
        <f>+AB195</f>
        <v>3.5934118002652062</v>
      </c>
      <c r="AC196" s="469" t="s">
        <v>451</v>
      </c>
      <c r="AD196" s="469" t="s">
        <v>454</v>
      </c>
      <c r="AG196" s="605">
        <f>+IF(Tabla3[[#This Row],[Amortización k | cupón de intereses]]="Amortización de K",Tabla3[[#This Row],[Valor Nominal]],0)</f>
        <v>0</v>
      </c>
      <c r="AH196" s="605">
        <f>+IF(AND(Tabla3[[#This Row],[Amortización k | cupón de intereses]]="Cupón de interés",Tabla3[[#This Row],[Estado]]="Vigente"),Tabla3[[#This Row],[Valor Nominal]],0)</f>
        <v>6482.2</v>
      </c>
      <c r="AI196" s="618">
        <f>+IF(Tabla3[[#This Row],[Amortización k | cupón de intereses]]="Amortización de K",SUMIFS($AH$7:$AH$557,Tabla3[Código Emisión],Tabla3[[#This Row],[Código Emisión]],Tabla3[Fecha de operación],Tabla3[[#This Row],[Fecha de operación]]),0)-Tabla3[[#This Row],[Accrued]]*Tabla3[[#This Row],[Valor Nominal]]</f>
        <v>0</v>
      </c>
      <c r="AJ196" s="605">
        <f>+IF(Tabla3[[#This Row],[Amortización k | cupón de intereses]]="Amortización de K",IF(Tabla3[[#This Row],[Precio Clean]]&gt;1,Tabla3[[#This Row],[Valor Nominal]]*(Tabla3[[#This Row],[Precio Clean]]-1),0),0)</f>
        <v>0</v>
      </c>
      <c r="AK196" s="605">
        <f>+IF(Tabla3[[#This Row],[Amortización k | cupón de intereses]]="Amortización de K",IF(Tabla3[[#This Row],[Precio Clean]]&lt;1,Tabla3[[#This Row],[Valor Nominal]]*(Tabla3[[#This Row],[Precio Clean]]-1),0),0)</f>
        <v>0</v>
      </c>
    </row>
    <row r="197" spans="1:37">
      <c r="A197" s="502"/>
      <c r="B197" s="437" t="str">
        <f t="shared" ref="B197:B214" si="141">+B196</f>
        <v>Sudameris Bank SAECA</v>
      </c>
      <c r="C197" s="437" t="str">
        <f t="shared" si="139"/>
        <v>SUD_6,50%_270530_BE1754-57_100K</v>
      </c>
      <c r="D197" s="437" t="s">
        <v>453</v>
      </c>
      <c r="E197" s="437" t="str">
        <f t="shared" ref="E197:E214" si="142">+E196</f>
        <v>AA+py</v>
      </c>
      <c r="F197" s="437" t="s">
        <v>297</v>
      </c>
      <c r="G197" s="437" t="s">
        <v>298</v>
      </c>
      <c r="H197" s="437">
        <v>4</v>
      </c>
      <c r="I197" s="492">
        <v>1620.55</v>
      </c>
      <c r="J197" s="451"/>
      <c r="K197" s="450"/>
      <c r="L197" s="451"/>
      <c r="M197" s="493"/>
      <c r="N197" s="493"/>
      <c r="O197" s="494">
        <f t="shared" si="140"/>
        <v>6.5596756339073192E-2</v>
      </c>
      <c r="P197" s="494">
        <f t="shared" si="140"/>
        <v>6.4042245700841605E-2</v>
      </c>
      <c r="Q197" s="450">
        <f t="shared" si="140"/>
        <v>45933</v>
      </c>
      <c r="R197" s="450">
        <v>47539</v>
      </c>
      <c r="S197" s="509" t="s">
        <v>146</v>
      </c>
      <c r="T197" s="510">
        <f>Tabla3[[#This Row],[Cantidad]]*Tabla3[[#This Row],[Cortes]]</f>
        <v>6482.2</v>
      </c>
      <c r="U197" s="511">
        <f t="shared" si="98"/>
        <v>5056.4482492286552</v>
      </c>
      <c r="V197" s="511">
        <f t="shared" si="99"/>
        <v>5055.5681578225785</v>
      </c>
      <c r="W197" s="497">
        <f>IF(Tabla3[[#This Row],[Fecha de operación]]=$C$1,0,U197-V197)</f>
        <v>0.88009140607664449</v>
      </c>
      <c r="X197" s="512" t="str">
        <f t="shared" si="121"/>
        <v>Vigente</v>
      </c>
      <c r="Y197" s="498" t="s">
        <v>450</v>
      </c>
      <c r="Z197" s="469">
        <f t="shared" si="122"/>
        <v>1427</v>
      </c>
      <c r="AA197" s="499">
        <f t="shared" ref="AA197:AB212" si="143">+AA196</f>
        <v>3.6523408398371933</v>
      </c>
      <c r="AB197" s="499">
        <f t="shared" si="143"/>
        <v>3.5934118002652062</v>
      </c>
      <c r="AC197" s="469" t="s">
        <v>451</v>
      </c>
      <c r="AD197" s="469" t="s">
        <v>454</v>
      </c>
      <c r="AG197" s="605">
        <f>+IF(Tabla3[[#This Row],[Amortización k | cupón de intereses]]="Amortización de K",Tabla3[[#This Row],[Valor Nominal]],0)</f>
        <v>0</v>
      </c>
      <c r="AH197" s="605">
        <f>+IF(AND(Tabla3[[#This Row],[Amortización k | cupón de intereses]]="Cupón de interés",Tabla3[[#This Row],[Estado]]="Vigente"),Tabla3[[#This Row],[Valor Nominal]],0)</f>
        <v>6482.2</v>
      </c>
      <c r="AI197" s="618">
        <f>+IF(Tabla3[[#This Row],[Amortización k | cupón de intereses]]="Amortización de K",SUMIFS($AH$7:$AH$557,Tabla3[Código Emisión],Tabla3[[#This Row],[Código Emisión]],Tabla3[Fecha de operación],Tabla3[[#This Row],[Fecha de operación]]),0)-Tabla3[[#This Row],[Accrued]]*Tabla3[[#This Row],[Valor Nominal]]</f>
        <v>0</v>
      </c>
      <c r="AJ197" s="605">
        <f>+IF(Tabla3[[#This Row],[Amortización k | cupón de intereses]]="Amortización de K",IF(Tabla3[[#This Row],[Precio Clean]]&gt;1,Tabla3[[#This Row],[Valor Nominal]]*(Tabla3[[#This Row],[Precio Clean]]-1),0),0)</f>
        <v>0</v>
      </c>
      <c r="AK197" s="605">
        <f>+IF(Tabla3[[#This Row],[Amortización k | cupón de intereses]]="Amortización de K",IF(Tabla3[[#This Row],[Precio Clean]]&lt;1,Tabla3[[#This Row],[Valor Nominal]]*(Tabla3[[#This Row],[Precio Clean]]-1),0),0)</f>
        <v>0</v>
      </c>
    </row>
    <row r="198" spans="1:37">
      <c r="A198" s="502"/>
      <c r="B198" s="437" t="str">
        <f t="shared" si="141"/>
        <v>Sudameris Bank SAECA</v>
      </c>
      <c r="C198" s="437" t="str">
        <f t="shared" si="139"/>
        <v>SUD_6,50%_270530_BE1754-57_100K</v>
      </c>
      <c r="D198" s="437" t="s">
        <v>453</v>
      </c>
      <c r="E198" s="437" t="str">
        <f t="shared" si="142"/>
        <v>AA+py</v>
      </c>
      <c r="F198" s="437" t="s">
        <v>297</v>
      </c>
      <c r="G198" s="437" t="s">
        <v>298</v>
      </c>
      <c r="H198" s="437">
        <v>4</v>
      </c>
      <c r="I198" s="492">
        <v>1602.74</v>
      </c>
      <c r="J198" s="451"/>
      <c r="K198" s="450"/>
      <c r="L198" s="451"/>
      <c r="M198" s="493"/>
      <c r="N198" s="493"/>
      <c r="O198" s="494">
        <f t="shared" si="140"/>
        <v>6.5596756339073192E-2</v>
      </c>
      <c r="P198" s="494">
        <f t="shared" si="140"/>
        <v>6.4042245700841605E-2</v>
      </c>
      <c r="Q198" s="450">
        <f t="shared" si="140"/>
        <v>45933</v>
      </c>
      <c r="R198" s="450">
        <v>47448</v>
      </c>
      <c r="S198" s="509" t="s">
        <v>146</v>
      </c>
      <c r="T198" s="510">
        <f>Tabla3[[#This Row],[Cantidad]]*Tabla3[[#This Row],[Cortes]]</f>
        <v>6410.96</v>
      </c>
      <c r="U198" s="511">
        <f t="shared" si="98"/>
        <v>5080.7231493489408</v>
      </c>
      <c r="V198" s="511">
        <f t="shared" si="99"/>
        <v>5079.8388328168603</v>
      </c>
      <c r="W198" s="497">
        <f>IF(Tabla3[[#This Row],[Fecha de operación]]=$C$1,0,U198-V198)</f>
        <v>0.88431653208044736</v>
      </c>
      <c r="X198" s="512" t="str">
        <f t="shared" si="121"/>
        <v>Vigente</v>
      </c>
      <c r="Y198" s="498" t="s">
        <v>450</v>
      </c>
      <c r="Z198" s="469">
        <f t="shared" si="122"/>
        <v>1336</v>
      </c>
      <c r="AA198" s="499">
        <f t="shared" si="143"/>
        <v>3.6523408398371933</v>
      </c>
      <c r="AB198" s="499">
        <f t="shared" si="143"/>
        <v>3.5934118002652062</v>
      </c>
      <c r="AC198" s="469" t="s">
        <v>451</v>
      </c>
      <c r="AD198" s="469" t="s">
        <v>454</v>
      </c>
      <c r="AG198" s="605">
        <f>+IF(Tabla3[[#This Row],[Amortización k | cupón de intereses]]="Amortización de K",Tabla3[[#This Row],[Valor Nominal]],0)</f>
        <v>0</v>
      </c>
      <c r="AH198" s="605">
        <f>+IF(AND(Tabla3[[#This Row],[Amortización k | cupón de intereses]]="Cupón de interés",Tabla3[[#This Row],[Estado]]="Vigente"),Tabla3[[#This Row],[Valor Nominal]],0)</f>
        <v>6410.96</v>
      </c>
      <c r="AI198" s="618">
        <f>+IF(Tabla3[[#This Row],[Amortización k | cupón de intereses]]="Amortización de K",SUMIFS($AH$7:$AH$557,Tabla3[Código Emisión],Tabla3[[#This Row],[Código Emisión]],Tabla3[Fecha de operación],Tabla3[[#This Row],[Fecha de operación]]),0)-Tabla3[[#This Row],[Accrued]]*Tabla3[[#This Row],[Valor Nominal]]</f>
        <v>0</v>
      </c>
      <c r="AJ198" s="605">
        <f>+IF(Tabla3[[#This Row],[Amortización k | cupón de intereses]]="Amortización de K",IF(Tabla3[[#This Row],[Precio Clean]]&gt;1,Tabla3[[#This Row],[Valor Nominal]]*(Tabla3[[#This Row],[Precio Clean]]-1),0),0)</f>
        <v>0</v>
      </c>
      <c r="AK198" s="605">
        <f>+IF(Tabla3[[#This Row],[Amortización k | cupón de intereses]]="Amortización de K",IF(Tabla3[[#This Row],[Precio Clean]]&lt;1,Tabla3[[#This Row],[Valor Nominal]]*(Tabla3[[#This Row],[Precio Clean]]-1),0),0)</f>
        <v>0</v>
      </c>
    </row>
    <row r="199" spans="1:37">
      <c r="A199" s="502"/>
      <c r="B199" s="437" t="str">
        <f t="shared" si="141"/>
        <v>Sudameris Bank SAECA</v>
      </c>
      <c r="C199" s="437" t="str">
        <f t="shared" si="139"/>
        <v>SUD_6,50%_270530_BE1754-57_100K</v>
      </c>
      <c r="D199" s="437" t="s">
        <v>453</v>
      </c>
      <c r="E199" s="437" t="str">
        <f t="shared" si="142"/>
        <v>AA+py</v>
      </c>
      <c r="F199" s="437" t="s">
        <v>297</v>
      </c>
      <c r="G199" s="437" t="s">
        <v>298</v>
      </c>
      <c r="H199" s="437">
        <v>4</v>
      </c>
      <c r="I199" s="492">
        <v>1602.74</v>
      </c>
      <c r="J199" s="451"/>
      <c r="K199" s="450"/>
      <c r="L199" s="451"/>
      <c r="M199" s="493"/>
      <c r="N199" s="493"/>
      <c r="O199" s="494">
        <f t="shared" si="140"/>
        <v>6.5596756339073192E-2</v>
      </c>
      <c r="P199" s="494">
        <f t="shared" si="140"/>
        <v>6.4042245700841605E-2</v>
      </c>
      <c r="Q199" s="450">
        <f t="shared" si="140"/>
        <v>45933</v>
      </c>
      <c r="R199" s="450">
        <v>47358</v>
      </c>
      <c r="S199" s="509" t="s">
        <v>146</v>
      </c>
      <c r="T199" s="510">
        <f>Tabla3[[#This Row],[Cantidad]]*Tabla3[[#This Row],[Cortes]]</f>
        <v>6410.96</v>
      </c>
      <c r="U199" s="511">
        <f t="shared" si="98"/>
        <v>5160.9453101816162</v>
      </c>
      <c r="V199" s="511">
        <f t="shared" si="99"/>
        <v>5160.0470307192636</v>
      </c>
      <c r="W199" s="497">
        <f>IF(Tabla3[[#This Row],[Fecha de operación]]=$C$1,0,U199-V199)</f>
        <v>0.89827946235254785</v>
      </c>
      <c r="X199" s="512" t="str">
        <f t="shared" si="121"/>
        <v>Vigente</v>
      </c>
      <c r="Y199" s="498" t="s">
        <v>450</v>
      </c>
      <c r="Z199" s="469">
        <f t="shared" si="122"/>
        <v>1246</v>
      </c>
      <c r="AA199" s="499">
        <f t="shared" si="143"/>
        <v>3.6523408398371933</v>
      </c>
      <c r="AB199" s="499">
        <f t="shared" si="143"/>
        <v>3.5934118002652062</v>
      </c>
      <c r="AC199" s="469" t="s">
        <v>451</v>
      </c>
      <c r="AD199" s="469" t="s">
        <v>454</v>
      </c>
      <c r="AG199" s="605">
        <f>+IF(Tabla3[[#This Row],[Amortización k | cupón de intereses]]="Amortización de K",Tabla3[[#This Row],[Valor Nominal]],0)</f>
        <v>0</v>
      </c>
      <c r="AH199" s="605">
        <f>+IF(AND(Tabla3[[#This Row],[Amortización k | cupón de intereses]]="Cupón de interés",Tabla3[[#This Row],[Estado]]="Vigente"),Tabla3[[#This Row],[Valor Nominal]],0)</f>
        <v>6410.96</v>
      </c>
      <c r="AI199" s="618">
        <f>+IF(Tabla3[[#This Row],[Amortización k | cupón de intereses]]="Amortización de K",SUMIFS($AH$7:$AH$557,Tabla3[Código Emisión],Tabla3[[#This Row],[Código Emisión]],Tabla3[Fecha de operación],Tabla3[[#This Row],[Fecha de operación]]),0)-Tabla3[[#This Row],[Accrued]]*Tabla3[[#This Row],[Valor Nominal]]</f>
        <v>0</v>
      </c>
      <c r="AJ199" s="605">
        <f>+IF(Tabla3[[#This Row],[Amortización k | cupón de intereses]]="Amortización de K",IF(Tabla3[[#This Row],[Precio Clean]]&gt;1,Tabla3[[#This Row],[Valor Nominal]]*(Tabla3[[#This Row],[Precio Clean]]-1),0),0)</f>
        <v>0</v>
      </c>
      <c r="AK199" s="605">
        <f>+IF(Tabla3[[#This Row],[Amortización k | cupón de intereses]]="Amortización de K",IF(Tabla3[[#This Row],[Precio Clean]]&lt;1,Tabla3[[#This Row],[Valor Nominal]]*(Tabla3[[#This Row],[Precio Clean]]-1),0),0)</f>
        <v>0</v>
      </c>
    </row>
    <row r="200" spans="1:37">
      <c r="A200" s="502"/>
      <c r="B200" s="437" t="str">
        <f t="shared" si="141"/>
        <v>Sudameris Bank SAECA</v>
      </c>
      <c r="C200" s="437" t="str">
        <f t="shared" si="139"/>
        <v>SUD_6,50%_270530_BE1754-57_100K</v>
      </c>
      <c r="D200" s="437" t="s">
        <v>453</v>
      </c>
      <c r="E200" s="437" t="str">
        <f t="shared" si="142"/>
        <v>AA+py</v>
      </c>
      <c r="F200" s="437" t="s">
        <v>297</v>
      </c>
      <c r="G200" s="437" t="s">
        <v>298</v>
      </c>
      <c r="H200" s="437">
        <v>4</v>
      </c>
      <c r="I200" s="492">
        <v>1584.93</v>
      </c>
      <c r="J200" s="451"/>
      <c r="K200" s="450"/>
      <c r="L200" s="451"/>
      <c r="M200" s="493"/>
      <c r="N200" s="493"/>
      <c r="O200" s="494">
        <f t="shared" si="140"/>
        <v>6.5596756339073192E-2</v>
      </c>
      <c r="P200" s="494">
        <f t="shared" si="140"/>
        <v>6.4042245700841605E-2</v>
      </c>
      <c r="Q200" s="450">
        <f t="shared" si="140"/>
        <v>45933</v>
      </c>
      <c r="R200" s="450">
        <v>47268</v>
      </c>
      <c r="S200" s="509" t="s">
        <v>146</v>
      </c>
      <c r="T200" s="510">
        <f>Tabla3[[#This Row],[Cantidad]]*Tabla3[[#This Row],[Cortes]]</f>
        <v>6339.72</v>
      </c>
      <c r="U200" s="511">
        <f t="shared" si="98"/>
        <v>5184.1790569356826</v>
      </c>
      <c r="V200" s="511">
        <f t="shared" si="99"/>
        <v>5183.2767335634871</v>
      </c>
      <c r="W200" s="497">
        <f>IF(Tabla3[[#This Row],[Fecha de operación]]=$C$1,0,U200-V200)</f>
        <v>0.90232337219549663</v>
      </c>
      <c r="X200" s="512" t="str">
        <f t="shared" si="121"/>
        <v>Vigente</v>
      </c>
      <c r="Y200" s="498" t="s">
        <v>450</v>
      </c>
      <c r="Z200" s="469">
        <f t="shared" si="122"/>
        <v>1156</v>
      </c>
      <c r="AA200" s="499">
        <f t="shared" si="143"/>
        <v>3.6523408398371933</v>
      </c>
      <c r="AB200" s="499">
        <f t="shared" si="143"/>
        <v>3.5934118002652062</v>
      </c>
      <c r="AC200" s="469" t="s">
        <v>451</v>
      </c>
      <c r="AD200" s="469" t="s">
        <v>454</v>
      </c>
      <c r="AG200" s="605">
        <f>+IF(Tabla3[[#This Row],[Amortización k | cupón de intereses]]="Amortización de K",Tabla3[[#This Row],[Valor Nominal]],0)</f>
        <v>0</v>
      </c>
      <c r="AH200" s="605">
        <f>+IF(AND(Tabla3[[#This Row],[Amortización k | cupón de intereses]]="Cupón de interés",Tabla3[[#This Row],[Estado]]="Vigente"),Tabla3[[#This Row],[Valor Nominal]],0)</f>
        <v>6339.72</v>
      </c>
      <c r="AI200" s="618">
        <f>+IF(Tabla3[[#This Row],[Amortización k | cupón de intereses]]="Amortización de K",SUMIFS($AH$7:$AH$557,Tabla3[Código Emisión],Tabla3[[#This Row],[Código Emisión]],Tabla3[Fecha de operación],Tabla3[[#This Row],[Fecha de operación]]),0)-Tabla3[[#This Row],[Accrued]]*Tabla3[[#This Row],[Valor Nominal]]</f>
        <v>0</v>
      </c>
      <c r="AJ200" s="605">
        <f>+IF(Tabla3[[#This Row],[Amortización k | cupón de intereses]]="Amortización de K",IF(Tabla3[[#This Row],[Precio Clean]]&gt;1,Tabla3[[#This Row],[Valor Nominal]]*(Tabla3[[#This Row],[Precio Clean]]-1),0),0)</f>
        <v>0</v>
      </c>
      <c r="AK200" s="605">
        <f>+IF(Tabla3[[#This Row],[Amortización k | cupón de intereses]]="Amortización de K",IF(Tabla3[[#This Row],[Precio Clean]]&lt;1,Tabla3[[#This Row],[Valor Nominal]]*(Tabla3[[#This Row],[Precio Clean]]-1),0),0)</f>
        <v>0</v>
      </c>
    </row>
    <row r="201" spans="1:37">
      <c r="A201" s="502"/>
      <c r="B201" s="437" t="str">
        <f t="shared" si="141"/>
        <v>Sudameris Bank SAECA</v>
      </c>
      <c r="C201" s="437" t="str">
        <f t="shared" si="139"/>
        <v>SUD_6,50%_270530_BE1754-57_100K</v>
      </c>
      <c r="D201" s="437" t="s">
        <v>453</v>
      </c>
      <c r="E201" s="437" t="str">
        <f t="shared" si="142"/>
        <v>AA+py</v>
      </c>
      <c r="F201" s="437" t="s">
        <v>297</v>
      </c>
      <c r="G201" s="437" t="s">
        <v>298</v>
      </c>
      <c r="H201" s="437">
        <v>4</v>
      </c>
      <c r="I201" s="492">
        <v>1620.55</v>
      </c>
      <c r="J201" s="451"/>
      <c r="K201" s="450"/>
      <c r="L201" s="451"/>
      <c r="M201" s="493"/>
      <c r="N201" s="493"/>
      <c r="O201" s="494">
        <f t="shared" si="140"/>
        <v>6.5596756339073192E-2</v>
      </c>
      <c r="P201" s="494">
        <f t="shared" si="140"/>
        <v>6.4042245700841605E-2</v>
      </c>
      <c r="Q201" s="450">
        <f t="shared" si="140"/>
        <v>45933</v>
      </c>
      <c r="R201" s="450">
        <v>47179</v>
      </c>
      <c r="S201" s="509" t="s">
        <v>146</v>
      </c>
      <c r="T201" s="510">
        <f>Tabla3[[#This Row],[Cantidad]]*Tabla3[[#This Row],[Cortes]]</f>
        <v>6482.2</v>
      </c>
      <c r="U201" s="511">
        <f t="shared" si="98"/>
        <v>5383.4473722632792</v>
      </c>
      <c r="V201" s="511">
        <f t="shared" si="99"/>
        <v>5382.5103655870771</v>
      </c>
      <c r="W201" s="497">
        <f>IF(Tabla3[[#This Row],[Fecha de operación]]=$C$1,0,U201-V201)</f>
        <v>0.93700667620214517</v>
      </c>
      <c r="X201" s="512" t="str">
        <f t="shared" si="121"/>
        <v>Vigente</v>
      </c>
      <c r="Y201" s="498" t="s">
        <v>450</v>
      </c>
      <c r="Z201" s="469">
        <f t="shared" si="122"/>
        <v>1067</v>
      </c>
      <c r="AA201" s="499">
        <f t="shared" si="143"/>
        <v>3.6523408398371933</v>
      </c>
      <c r="AB201" s="499">
        <f t="shared" si="143"/>
        <v>3.5934118002652062</v>
      </c>
      <c r="AC201" s="469" t="s">
        <v>451</v>
      </c>
      <c r="AD201" s="469" t="s">
        <v>454</v>
      </c>
      <c r="AG201" s="605">
        <f>+IF(Tabla3[[#This Row],[Amortización k | cupón de intereses]]="Amortización de K",Tabla3[[#This Row],[Valor Nominal]],0)</f>
        <v>0</v>
      </c>
      <c r="AH201" s="605">
        <f>+IF(AND(Tabla3[[#This Row],[Amortización k | cupón de intereses]]="Cupón de interés",Tabla3[[#This Row],[Estado]]="Vigente"),Tabla3[[#This Row],[Valor Nominal]],0)</f>
        <v>6482.2</v>
      </c>
      <c r="AI201" s="618">
        <f>+IF(Tabla3[[#This Row],[Amortización k | cupón de intereses]]="Amortización de K",SUMIFS($AH$7:$AH$557,Tabla3[Código Emisión],Tabla3[[#This Row],[Código Emisión]],Tabla3[Fecha de operación],Tabla3[[#This Row],[Fecha de operación]]),0)-Tabla3[[#This Row],[Accrued]]*Tabla3[[#This Row],[Valor Nominal]]</f>
        <v>0</v>
      </c>
      <c r="AJ201" s="605">
        <f>+IF(Tabla3[[#This Row],[Amortización k | cupón de intereses]]="Amortización de K",IF(Tabla3[[#This Row],[Precio Clean]]&gt;1,Tabla3[[#This Row],[Valor Nominal]]*(Tabla3[[#This Row],[Precio Clean]]-1),0),0)</f>
        <v>0</v>
      </c>
      <c r="AK201" s="605">
        <f>+IF(Tabla3[[#This Row],[Amortización k | cupón de intereses]]="Amortización de K",IF(Tabla3[[#This Row],[Precio Clean]]&lt;1,Tabla3[[#This Row],[Valor Nominal]]*(Tabla3[[#This Row],[Precio Clean]]-1),0),0)</f>
        <v>0</v>
      </c>
    </row>
    <row r="202" spans="1:37">
      <c r="A202" s="502"/>
      <c r="B202" s="437" t="str">
        <f t="shared" si="141"/>
        <v>Sudameris Bank SAECA</v>
      </c>
      <c r="C202" s="437" t="str">
        <f t="shared" si="139"/>
        <v>SUD_6,50%_270530_BE1754-57_100K</v>
      </c>
      <c r="D202" s="437" t="s">
        <v>453</v>
      </c>
      <c r="E202" s="437" t="str">
        <f t="shared" si="142"/>
        <v>AA+py</v>
      </c>
      <c r="F202" s="437" t="s">
        <v>297</v>
      </c>
      <c r="G202" s="437" t="s">
        <v>298</v>
      </c>
      <c r="H202" s="437">
        <v>4</v>
      </c>
      <c r="I202" s="492">
        <v>1567.12</v>
      </c>
      <c r="J202" s="451"/>
      <c r="K202" s="450"/>
      <c r="L202" s="451"/>
      <c r="M202" s="493"/>
      <c r="N202" s="493"/>
      <c r="O202" s="494">
        <f t="shared" si="140"/>
        <v>6.5596756339073192E-2</v>
      </c>
      <c r="P202" s="494">
        <f t="shared" si="140"/>
        <v>6.4042245700841605E-2</v>
      </c>
      <c r="Q202" s="450">
        <f t="shared" si="140"/>
        <v>45933</v>
      </c>
      <c r="R202" s="450">
        <v>47088</v>
      </c>
      <c r="S202" s="509" t="s">
        <v>146</v>
      </c>
      <c r="T202" s="510">
        <f>Tabla3[[#This Row],[Cantidad]]*Tabla3[[#This Row],[Cortes]]</f>
        <v>6268.48</v>
      </c>
      <c r="U202" s="511">
        <f t="shared" ref="U202:U265" si="144">IF(X202="VIgente",(T202/(1+O202)^((R202-$U$5)/365)))</f>
        <v>5289.0736317912315</v>
      </c>
      <c r="V202" s="511">
        <f t="shared" ref="V202:V265" si="145">IF(X202="VIgente",(T202/(1+O202)^((R202-$V$5)/365)))</f>
        <v>5288.1530511741639</v>
      </c>
      <c r="W202" s="497">
        <f>IF(Tabla3[[#This Row],[Fecha de operación]]=$C$1,0,U202-V202)</f>
        <v>0.92058061706757144</v>
      </c>
      <c r="X202" s="512" t="str">
        <f t="shared" si="121"/>
        <v>Vigente</v>
      </c>
      <c r="Y202" s="498" t="s">
        <v>450</v>
      </c>
      <c r="Z202" s="469">
        <f t="shared" si="122"/>
        <v>976</v>
      </c>
      <c r="AA202" s="499">
        <f t="shared" si="143"/>
        <v>3.6523408398371933</v>
      </c>
      <c r="AB202" s="499">
        <f t="shared" si="143"/>
        <v>3.5934118002652062</v>
      </c>
      <c r="AC202" s="469" t="s">
        <v>451</v>
      </c>
      <c r="AD202" s="469" t="s">
        <v>454</v>
      </c>
      <c r="AG202" s="605">
        <f>+IF(Tabla3[[#This Row],[Amortización k | cupón de intereses]]="Amortización de K",Tabla3[[#This Row],[Valor Nominal]],0)</f>
        <v>0</v>
      </c>
      <c r="AH202" s="605">
        <f>+IF(AND(Tabla3[[#This Row],[Amortización k | cupón de intereses]]="Cupón de interés",Tabla3[[#This Row],[Estado]]="Vigente"),Tabla3[[#This Row],[Valor Nominal]],0)</f>
        <v>6268.48</v>
      </c>
      <c r="AI202" s="618">
        <f>+IF(Tabla3[[#This Row],[Amortización k | cupón de intereses]]="Amortización de K",SUMIFS($AH$7:$AH$557,Tabla3[Código Emisión],Tabla3[[#This Row],[Código Emisión]],Tabla3[Fecha de operación],Tabla3[[#This Row],[Fecha de operación]]),0)-Tabla3[[#This Row],[Accrued]]*Tabla3[[#This Row],[Valor Nominal]]</f>
        <v>0</v>
      </c>
      <c r="AJ202" s="605">
        <f>+IF(Tabla3[[#This Row],[Amortización k | cupón de intereses]]="Amortización de K",IF(Tabla3[[#This Row],[Precio Clean]]&gt;1,Tabla3[[#This Row],[Valor Nominal]]*(Tabla3[[#This Row],[Precio Clean]]-1),0),0)</f>
        <v>0</v>
      </c>
      <c r="AK202" s="605">
        <f>+IF(Tabla3[[#This Row],[Amortización k | cupón de intereses]]="Amortización de K",IF(Tabla3[[#This Row],[Precio Clean]]&lt;1,Tabla3[[#This Row],[Valor Nominal]]*(Tabla3[[#This Row],[Precio Clean]]-1),0),0)</f>
        <v>0</v>
      </c>
    </row>
    <row r="203" spans="1:37">
      <c r="A203" s="502"/>
      <c r="B203" s="437" t="str">
        <f t="shared" si="141"/>
        <v>Sudameris Bank SAECA</v>
      </c>
      <c r="C203" s="437" t="str">
        <f t="shared" si="139"/>
        <v>SUD_6,50%_270530_BE1754-57_100K</v>
      </c>
      <c r="D203" s="437" t="s">
        <v>453</v>
      </c>
      <c r="E203" s="437" t="str">
        <f t="shared" si="142"/>
        <v>AA+py</v>
      </c>
      <c r="F203" s="437" t="s">
        <v>297</v>
      </c>
      <c r="G203" s="437" t="s">
        <v>298</v>
      </c>
      <c r="H203" s="437">
        <v>4</v>
      </c>
      <c r="I203" s="492">
        <v>1620.55</v>
      </c>
      <c r="J203" s="451"/>
      <c r="K203" s="450"/>
      <c r="L203" s="451"/>
      <c r="M203" s="493"/>
      <c r="N203" s="493"/>
      <c r="O203" s="494">
        <f t="shared" si="140"/>
        <v>6.5596756339073192E-2</v>
      </c>
      <c r="P203" s="494">
        <f t="shared" si="140"/>
        <v>6.4042245700841605E-2</v>
      </c>
      <c r="Q203" s="450">
        <f t="shared" si="140"/>
        <v>45933</v>
      </c>
      <c r="R203" s="450">
        <v>47000</v>
      </c>
      <c r="S203" s="509" t="s">
        <v>146</v>
      </c>
      <c r="T203" s="510">
        <f>Tabla3[[#This Row],[Cantidad]]*Tabla3[[#This Row],[Cortes]]</f>
        <v>6482.2</v>
      </c>
      <c r="U203" s="511">
        <f t="shared" si="144"/>
        <v>5553.8267429042035</v>
      </c>
      <c r="V203" s="511">
        <f t="shared" si="145"/>
        <v>5552.8600811395918</v>
      </c>
      <c r="W203" s="497">
        <f>IF(Tabla3[[#This Row],[Fecha de operación]]=$C$1,0,U203-V203)</f>
        <v>0.96666176461167197</v>
      </c>
      <c r="X203" s="512" t="str">
        <f t="shared" si="121"/>
        <v>Vigente</v>
      </c>
      <c r="Y203" s="498" t="s">
        <v>450</v>
      </c>
      <c r="Z203" s="469">
        <f t="shared" si="122"/>
        <v>888</v>
      </c>
      <c r="AA203" s="499">
        <f t="shared" si="143"/>
        <v>3.6523408398371933</v>
      </c>
      <c r="AB203" s="499">
        <f t="shared" si="143"/>
        <v>3.5934118002652062</v>
      </c>
      <c r="AC203" s="469" t="s">
        <v>451</v>
      </c>
      <c r="AD203" s="469" t="s">
        <v>454</v>
      </c>
      <c r="AG203" s="605">
        <f>+IF(Tabla3[[#This Row],[Amortización k | cupón de intereses]]="Amortización de K",Tabla3[[#This Row],[Valor Nominal]],0)</f>
        <v>0</v>
      </c>
      <c r="AH203" s="605">
        <f>+IF(AND(Tabla3[[#This Row],[Amortización k | cupón de intereses]]="Cupón de interés",Tabla3[[#This Row],[Estado]]="Vigente"),Tabla3[[#This Row],[Valor Nominal]],0)</f>
        <v>6482.2</v>
      </c>
      <c r="AI203" s="618">
        <f>+IF(Tabla3[[#This Row],[Amortización k | cupón de intereses]]="Amortización de K",SUMIFS($AH$7:$AH$557,Tabla3[Código Emisión],Tabla3[[#This Row],[Código Emisión]],Tabla3[Fecha de operación],Tabla3[[#This Row],[Fecha de operación]]),0)-Tabla3[[#This Row],[Accrued]]*Tabla3[[#This Row],[Valor Nominal]]</f>
        <v>0</v>
      </c>
      <c r="AJ203" s="605">
        <f>+IF(Tabla3[[#This Row],[Amortización k | cupón de intereses]]="Amortización de K",IF(Tabla3[[#This Row],[Precio Clean]]&gt;1,Tabla3[[#This Row],[Valor Nominal]]*(Tabla3[[#This Row],[Precio Clean]]-1),0),0)</f>
        <v>0</v>
      </c>
      <c r="AK203" s="605">
        <f>+IF(Tabla3[[#This Row],[Amortización k | cupón de intereses]]="Amortización de K",IF(Tabla3[[#This Row],[Precio Clean]]&lt;1,Tabla3[[#This Row],[Valor Nominal]]*(Tabla3[[#This Row],[Precio Clean]]-1),0),0)</f>
        <v>0</v>
      </c>
    </row>
    <row r="204" spans="1:37">
      <c r="A204" s="502"/>
      <c r="B204" s="437" t="str">
        <f t="shared" si="141"/>
        <v>Sudameris Bank SAECA</v>
      </c>
      <c r="C204" s="437" t="str">
        <f t="shared" si="139"/>
        <v>SUD_6,50%_270530_BE1754-57_100K</v>
      </c>
      <c r="D204" s="437" t="s">
        <v>453</v>
      </c>
      <c r="E204" s="437" t="str">
        <f t="shared" si="142"/>
        <v>AA+py</v>
      </c>
      <c r="F204" s="437" t="s">
        <v>297</v>
      </c>
      <c r="G204" s="437" t="s">
        <v>298</v>
      </c>
      <c r="H204" s="437">
        <v>4</v>
      </c>
      <c r="I204" s="492">
        <v>1620.55</v>
      </c>
      <c r="J204" s="451"/>
      <c r="K204" s="450"/>
      <c r="L204" s="451"/>
      <c r="M204" s="493"/>
      <c r="N204" s="493"/>
      <c r="O204" s="494">
        <f t="shared" si="140"/>
        <v>6.5596756339073192E-2</v>
      </c>
      <c r="P204" s="494">
        <f t="shared" si="140"/>
        <v>6.4042245700841605E-2</v>
      </c>
      <c r="Q204" s="450">
        <f t="shared" si="140"/>
        <v>45933</v>
      </c>
      <c r="R204" s="450">
        <v>46909</v>
      </c>
      <c r="S204" s="509" t="s">
        <v>146</v>
      </c>
      <c r="T204" s="510">
        <f>Tabla3[[#This Row],[Cantidad]]*Tabla3[[#This Row],[Cortes]]</f>
        <v>6482.2</v>
      </c>
      <c r="U204" s="511">
        <f t="shared" si="144"/>
        <v>5642.5010764482358</v>
      </c>
      <c r="V204" s="511">
        <f t="shared" si="145"/>
        <v>5641.5189806249628</v>
      </c>
      <c r="W204" s="497">
        <f>IF(Tabla3[[#This Row],[Fecha de operación]]=$C$1,0,U204-V204)</f>
        <v>0.98209582327308453</v>
      </c>
      <c r="X204" s="512" t="str">
        <f t="shared" si="121"/>
        <v>Vigente</v>
      </c>
      <c r="Y204" s="498" t="s">
        <v>450</v>
      </c>
      <c r="Z204" s="469">
        <f t="shared" si="122"/>
        <v>797</v>
      </c>
      <c r="AA204" s="499">
        <f t="shared" si="143"/>
        <v>3.6523408398371933</v>
      </c>
      <c r="AB204" s="499">
        <f t="shared" si="143"/>
        <v>3.5934118002652062</v>
      </c>
      <c r="AC204" s="469" t="s">
        <v>451</v>
      </c>
      <c r="AD204" s="469" t="s">
        <v>454</v>
      </c>
      <c r="AG204" s="605">
        <f>+IF(Tabla3[[#This Row],[Amortización k | cupón de intereses]]="Amortización de K",Tabla3[[#This Row],[Valor Nominal]],0)</f>
        <v>0</v>
      </c>
      <c r="AH204" s="605">
        <f>+IF(AND(Tabla3[[#This Row],[Amortización k | cupón de intereses]]="Cupón de interés",Tabla3[[#This Row],[Estado]]="Vigente"),Tabla3[[#This Row],[Valor Nominal]],0)</f>
        <v>6482.2</v>
      </c>
      <c r="AI204" s="618">
        <f>+IF(Tabla3[[#This Row],[Amortización k | cupón de intereses]]="Amortización de K",SUMIFS($AH$7:$AH$557,Tabla3[Código Emisión],Tabla3[[#This Row],[Código Emisión]],Tabla3[Fecha de operación],Tabla3[[#This Row],[Fecha de operación]]),0)-Tabla3[[#This Row],[Accrued]]*Tabla3[[#This Row],[Valor Nominal]]</f>
        <v>0</v>
      </c>
      <c r="AJ204" s="605">
        <f>+IF(Tabla3[[#This Row],[Amortización k | cupón de intereses]]="Amortización de K",IF(Tabla3[[#This Row],[Precio Clean]]&gt;1,Tabla3[[#This Row],[Valor Nominal]]*(Tabla3[[#This Row],[Precio Clean]]-1),0),0)</f>
        <v>0</v>
      </c>
      <c r="AK204" s="605">
        <f>+IF(Tabla3[[#This Row],[Amortización k | cupón de intereses]]="Amortización de K",IF(Tabla3[[#This Row],[Precio Clean]]&lt;1,Tabla3[[#This Row],[Valor Nominal]]*(Tabla3[[#This Row],[Precio Clean]]-1),0),0)</f>
        <v>0</v>
      </c>
    </row>
    <row r="205" spans="1:37">
      <c r="A205" s="502"/>
      <c r="B205" s="437" t="str">
        <f t="shared" si="141"/>
        <v>Sudameris Bank SAECA</v>
      </c>
      <c r="C205" s="437" t="str">
        <f t="shared" si="139"/>
        <v>SUD_6,50%_270530_BE1754-57_100K</v>
      </c>
      <c r="D205" s="437" t="s">
        <v>453</v>
      </c>
      <c r="E205" s="437" t="str">
        <f t="shared" si="142"/>
        <v>AA+py</v>
      </c>
      <c r="F205" s="437" t="s">
        <v>297</v>
      </c>
      <c r="G205" s="437" t="s">
        <v>298</v>
      </c>
      <c r="H205" s="437">
        <v>4</v>
      </c>
      <c r="I205" s="492">
        <v>1602.74</v>
      </c>
      <c r="J205" s="451"/>
      <c r="K205" s="450"/>
      <c r="L205" s="451"/>
      <c r="M205" s="493"/>
      <c r="N205" s="493"/>
      <c r="O205" s="494">
        <f t="shared" si="140"/>
        <v>6.5596756339073192E-2</v>
      </c>
      <c r="P205" s="494">
        <f t="shared" si="140"/>
        <v>6.4042245700841605E-2</v>
      </c>
      <c r="Q205" s="450">
        <f t="shared" si="140"/>
        <v>45933</v>
      </c>
      <c r="R205" s="450">
        <v>46818</v>
      </c>
      <c r="S205" s="509" t="s">
        <v>146</v>
      </c>
      <c r="T205" s="510">
        <f>Tabla3[[#This Row],[Cantidad]]*Tabla3[[#This Row],[Cortes]]</f>
        <v>6410.96</v>
      </c>
      <c r="U205" s="511">
        <f t="shared" si="144"/>
        <v>5669.5894877812852</v>
      </c>
      <c r="V205" s="511">
        <f t="shared" si="145"/>
        <v>5668.6026771311535</v>
      </c>
      <c r="W205" s="497">
        <f>IF(Tabla3[[#This Row],[Fecha de operación]]=$C$1,0,U205-V205)</f>
        <v>0.98681065013170155</v>
      </c>
      <c r="X205" s="512" t="str">
        <f t="shared" si="121"/>
        <v>Vigente</v>
      </c>
      <c r="Y205" s="498" t="s">
        <v>450</v>
      </c>
      <c r="Z205" s="469">
        <f t="shared" si="122"/>
        <v>706</v>
      </c>
      <c r="AA205" s="499">
        <f t="shared" si="143"/>
        <v>3.6523408398371933</v>
      </c>
      <c r="AB205" s="499">
        <f t="shared" si="143"/>
        <v>3.5934118002652062</v>
      </c>
      <c r="AC205" s="469" t="s">
        <v>451</v>
      </c>
      <c r="AD205" s="469" t="s">
        <v>454</v>
      </c>
      <c r="AG205" s="605">
        <f>+IF(Tabla3[[#This Row],[Amortización k | cupón de intereses]]="Amortización de K",Tabla3[[#This Row],[Valor Nominal]],0)</f>
        <v>0</v>
      </c>
      <c r="AH205" s="605">
        <f>+IF(AND(Tabla3[[#This Row],[Amortización k | cupón de intereses]]="Cupón de interés",Tabla3[[#This Row],[Estado]]="Vigente"),Tabla3[[#This Row],[Valor Nominal]],0)</f>
        <v>6410.96</v>
      </c>
      <c r="AI205" s="618">
        <f>+IF(Tabla3[[#This Row],[Amortización k | cupón de intereses]]="Amortización de K",SUMIFS($AH$7:$AH$557,Tabla3[Código Emisión],Tabla3[[#This Row],[Código Emisión]],Tabla3[Fecha de operación],Tabla3[[#This Row],[Fecha de operación]]),0)-Tabla3[[#This Row],[Accrued]]*Tabla3[[#This Row],[Valor Nominal]]</f>
        <v>0</v>
      </c>
      <c r="AJ205" s="605">
        <f>+IF(Tabla3[[#This Row],[Amortización k | cupón de intereses]]="Amortización de K",IF(Tabla3[[#This Row],[Precio Clean]]&gt;1,Tabla3[[#This Row],[Valor Nominal]]*(Tabla3[[#This Row],[Precio Clean]]-1),0),0)</f>
        <v>0</v>
      </c>
      <c r="AK205" s="605">
        <f>+IF(Tabla3[[#This Row],[Amortización k | cupón de intereses]]="Amortización de K",IF(Tabla3[[#This Row],[Precio Clean]]&lt;1,Tabla3[[#This Row],[Valor Nominal]]*(Tabla3[[#This Row],[Precio Clean]]-1),0),0)</f>
        <v>0</v>
      </c>
    </row>
    <row r="206" spans="1:37">
      <c r="A206" s="502"/>
      <c r="B206" s="437" t="str">
        <f t="shared" si="141"/>
        <v>Sudameris Bank SAECA</v>
      </c>
      <c r="C206" s="437" t="str">
        <f t="shared" si="139"/>
        <v>SUD_6,50%_270530_BE1754-57_100K</v>
      </c>
      <c r="D206" s="437" t="s">
        <v>453</v>
      </c>
      <c r="E206" s="437" t="str">
        <f t="shared" si="142"/>
        <v>AA+py</v>
      </c>
      <c r="F206" s="437" t="s">
        <v>297</v>
      </c>
      <c r="G206" s="437" t="s">
        <v>298</v>
      </c>
      <c r="H206" s="437">
        <v>4</v>
      </c>
      <c r="I206" s="492">
        <v>1602.74</v>
      </c>
      <c r="J206" s="451"/>
      <c r="K206" s="450"/>
      <c r="L206" s="451"/>
      <c r="M206" s="493"/>
      <c r="N206" s="493"/>
      <c r="O206" s="494">
        <f t="shared" si="140"/>
        <v>6.5596756339073192E-2</v>
      </c>
      <c r="P206" s="494">
        <f t="shared" si="140"/>
        <v>6.4042245700841605E-2</v>
      </c>
      <c r="Q206" s="450">
        <f t="shared" si="140"/>
        <v>45933</v>
      </c>
      <c r="R206" s="450">
        <v>46728</v>
      </c>
      <c r="S206" s="509" t="s">
        <v>146</v>
      </c>
      <c r="T206" s="510">
        <f>Tabla3[[#This Row],[Cantidad]]*Tabla3[[#This Row],[Cortes]]</f>
        <v>6410.96</v>
      </c>
      <c r="U206" s="511">
        <f t="shared" si="144"/>
        <v>5759.1095632458027</v>
      </c>
      <c r="V206" s="511">
        <f t="shared" si="145"/>
        <v>5758.1071713328538</v>
      </c>
      <c r="W206" s="497">
        <f>IF(Tabla3[[#This Row],[Fecha de operación]]=$C$1,0,U206-V206)</f>
        <v>1.0023919129489514</v>
      </c>
      <c r="X206" s="512" t="str">
        <f t="shared" si="121"/>
        <v>Vigente</v>
      </c>
      <c r="Y206" s="498" t="s">
        <v>450</v>
      </c>
      <c r="Z206" s="469">
        <f t="shared" si="122"/>
        <v>616</v>
      </c>
      <c r="AA206" s="499">
        <f t="shared" si="143"/>
        <v>3.6523408398371933</v>
      </c>
      <c r="AB206" s="499">
        <f t="shared" si="143"/>
        <v>3.5934118002652062</v>
      </c>
      <c r="AC206" s="469" t="s">
        <v>451</v>
      </c>
      <c r="AD206" s="469" t="s">
        <v>454</v>
      </c>
      <c r="AG206" s="605">
        <f>+IF(Tabla3[[#This Row],[Amortización k | cupón de intereses]]="Amortización de K",Tabla3[[#This Row],[Valor Nominal]],0)</f>
        <v>0</v>
      </c>
      <c r="AH206" s="605">
        <f>+IF(AND(Tabla3[[#This Row],[Amortización k | cupón de intereses]]="Cupón de interés",Tabla3[[#This Row],[Estado]]="Vigente"),Tabla3[[#This Row],[Valor Nominal]],0)</f>
        <v>6410.96</v>
      </c>
      <c r="AI206" s="618">
        <f>+IF(Tabla3[[#This Row],[Amortización k | cupón de intereses]]="Amortización de K",SUMIFS($AH$7:$AH$557,Tabla3[Código Emisión],Tabla3[[#This Row],[Código Emisión]],Tabla3[Fecha de operación],Tabla3[[#This Row],[Fecha de operación]]),0)-Tabla3[[#This Row],[Accrued]]*Tabla3[[#This Row],[Valor Nominal]]</f>
        <v>0</v>
      </c>
      <c r="AJ206" s="605">
        <f>+IF(Tabla3[[#This Row],[Amortización k | cupón de intereses]]="Amortización de K",IF(Tabla3[[#This Row],[Precio Clean]]&gt;1,Tabla3[[#This Row],[Valor Nominal]]*(Tabla3[[#This Row],[Precio Clean]]-1),0),0)</f>
        <v>0</v>
      </c>
      <c r="AK206" s="605">
        <f>+IF(Tabla3[[#This Row],[Amortización k | cupón de intereses]]="Amortización de K",IF(Tabla3[[#This Row],[Precio Clean]]&lt;1,Tabla3[[#This Row],[Valor Nominal]]*(Tabla3[[#This Row],[Precio Clean]]-1),0),0)</f>
        <v>0</v>
      </c>
    </row>
    <row r="207" spans="1:37">
      <c r="A207" s="502"/>
      <c r="B207" s="437" t="str">
        <f t="shared" si="141"/>
        <v>Sudameris Bank SAECA</v>
      </c>
      <c r="C207" s="437" t="str">
        <f t="shared" si="139"/>
        <v>SUD_6,50%_270530_BE1754-57_100K</v>
      </c>
      <c r="D207" s="437" t="s">
        <v>453</v>
      </c>
      <c r="E207" s="437" t="str">
        <f t="shared" si="142"/>
        <v>AA+py</v>
      </c>
      <c r="F207" s="437" t="s">
        <v>297</v>
      </c>
      <c r="G207" s="437" t="s">
        <v>298</v>
      </c>
      <c r="H207" s="437">
        <v>4</v>
      </c>
      <c r="I207" s="492">
        <v>1602.74</v>
      </c>
      <c r="J207" s="451"/>
      <c r="K207" s="450"/>
      <c r="L207" s="451"/>
      <c r="M207" s="493"/>
      <c r="N207" s="493"/>
      <c r="O207" s="494">
        <f t="shared" si="140"/>
        <v>6.5596756339073192E-2</v>
      </c>
      <c r="P207" s="494">
        <f t="shared" si="140"/>
        <v>6.4042245700841605E-2</v>
      </c>
      <c r="Q207" s="450">
        <f t="shared" si="140"/>
        <v>45933</v>
      </c>
      <c r="R207" s="450">
        <v>46638</v>
      </c>
      <c r="S207" s="509" t="s">
        <v>146</v>
      </c>
      <c r="T207" s="510">
        <f>Tabla3[[#This Row],[Cantidad]]*Tabla3[[#This Row],[Cortes]]</f>
        <v>6410.96</v>
      </c>
      <c r="U207" s="511">
        <f t="shared" si="144"/>
        <v>5850.0431173984034</v>
      </c>
      <c r="V207" s="511">
        <f t="shared" si="145"/>
        <v>5849.0248982020366</v>
      </c>
      <c r="W207" s="497">
        <f>IF(Tabla3[[#This Row],[Fecha de operación]]=$C$1,0,U207-V207)</f>
        <v>1.0182191963667719</v>
      </c>
      <c r="X207" s="512" t="str">
        <f t="shared" si="121"/>
        <v>Vigente</v>
      </c>
      <c r="Y207" s="498" t="s">
        <v>450</v>
      </c>
      <c r="Z207" s="469">
        <f t="shared" si="122"/>
        <v>526</v>
      </c>
      <c r="AA207" s="499">
        <f t="shared" si="143"/>
        <v>3.6523408398371933</v>
      </c>
      <c r="AB207" s="499">
        <f t="shared" si="143"/>
        <v>3.5934118002652062</v>
      </c>
      <c r="AC207" s="469" t="s">
        <v>451</v>
      </c>
      <c r="AD207" s="469" t="s">
        <v>454</v>
      </c>
      <c r="AG207" s="605">
        <f>+IF(Tabla3[[#This Row],[Amortización k | cupón de intereses]]="Amortización de K",Tabla3[[#This Row],[Valor Nominal]],0)</f>
        <v>0</v>
      </c>
      <c r="AH207" s="605">
        <f>+IF(AND(Tabla3[[#This Row],[Amortización k | cupón de intereses]]="Cupón de interés",Tabla3[[#This Row],[Estado]]="Vigente"),Tabla3[[#This Row],[Valor Nominal]],0)</f>
        <v>6410.96</v>
      </c>
      <c r="AI207" s="618">
        <f>+IF(Tabla3[[#This Row],[Amortización k | cupón de intereses]]="Amortización de K",SUMIFS($AH$7:$AH$557,Tabla3[Código Emisión],Tabla3[[#This Row],[Código Emisión]],Tabla3[Fecha de operación],Tabla3[[#This Row],[Fecha de operación]]),0)-Tabla3[[#This Row],[Accrued]]*Tabla3[[#This Row],[Valor Nominal]]</f>
        <v>0</v>
      </c>
      <c r="AJ207" s="605">
        <f>+IF(Tabla3[[#This Row],[Amortización k | cupón de intereses]]="Amortización de K",IF(Tabla3[[#This Row],[Precio Clean]]&gt;1,Tabla3[[#This Row],[Valor Nominal]]*(Tabla3[[#This Row],[Precio Clean]]-1),0),0)</f>
        <v>0</v>
      </c>
      <c r="AK207" s="605">
        <f>+IF(Tabla3[[#This Row],[Amortización k | cupón de intereses]]="Amortización de K",IF(Tabla3[[#This Row],[Precio Clean]]&lt;1,Tabla3[[#This Row],[Valor Nominal]]*(Tabla3[[#This Row],[Precio Clean]]-1),0),0)</f>
        <v>0</v>
      </c>
    </row>
    <row r="208" spans="1:37">
      <c r="A208" s="502"/>
      <c r="B208" s="437" t="str">
        <f t="shared" si="141"/>
        <v>Sudameris Bank SAECA</v>
      </c>
      <c r="C208" s="437" t="str">
        <f t="shared" si="139"/>
        <v>SUD_6,50%_270530_BE1754-57_100K</v>
      </c>
      <c r="D208" s="437" t="s">
        <v>453</v>
      </c>
      <c r="E208" s="437" t="str">
        <f t="shared" si="142"/>
        <v>AA+py</v>
      </c>
      <c r="F208" s="437" t="s">
        <v>297</v>
      </c>
      <c r="G208" s="437" t="s">
        <v>298</v>
      </c>
      <c r="H208" s="437">
        <v>4</v>
      </c>
      <c r="I208" s="492">
        <v>1602.74</v>
      </c>
      <c r="J208" s="451"/>
      <c r="K208" s="450"/>
      <c r="L208" s="451"/>
      <c r="M208" s="493"/>
      <c r="N208" s="493"/>
      <c r="O208" s="494">
        <f t="shared" si="140"/>
        <v>6.5596756339073192E-2</v>
      </c>
      <c r="P208" s="494">
        <f t="shared" si="140"/>
        <v>6.4042245700841605E-2</v>
      </c>
      <c r="Q208" s="450">
        <f t="shared" si="140"/>
        <v>45933</v>
      </c>
      <c r="R208" s="450">
        <v>46548</v>
      </c>
      <c r="S208" s="509" t="s">
        <v>146</v>
      </c>
      <c r="T208" s="510">
        <f>Tabla3[[#This Row],[Cantidad]]*Tabla3[[#This Row],[Cortes]]</f>
        <v>6410.96</v>
      </c>
      <c r="U208" s="511">
        <f t="shared" si="144"/>
        <v>5942.4124683838354</v>
      </c>
      <c r="V208" s="511">
        <f t="shared" si="145"/>
        <v>5941.3781719989001</v>
      </c>
      <c r="W208" s="497">
        <f>IF(Tabla3[[#This Row],[Fecha de operación]]=$C$1,0,U208-V208)</f>
        <v>1.03429638493526</v>
      </c>
      <c r="X208" s="512" t="str">
        <f t="shared" si="121"/>
        <v>Vigente</v>
      </c>
      <c r="Y208" s="498" t="s">
        <v>450</v>
      </c>
      <c r="Z208" s="469">
        <f t="shared" si="122"/>
        <v>436</v>
      </c>
      <c r="AA208" s="499">
        <f t="shared" si="143"/>
        <v>3.6523408398371933</v>
      </c>
      <c r="AB208" s="499">
        <f t="shared" si="143"/>
        <v>3.5934118002652062</v>
      </c>
      <c r="AC208" s="469" t="s">
        <v>451</v>
      </c>
      <c r="AD208" s="469" t="s">
        <v>454</v>
      </c>
      <c r="AG208" s="605">
        <f>+IF(Tabla3[[#This Row],[Amortización k | cupón de intereses]]="Amortización de K",Tabla3[[#This Row],[Valor Nominal]],0)</f>
        <v>0</v>
      </c>
      <c r="AH208" s="605">
        <f>+IF(AND(Tabla3[[#This Row],[Amortización k | cupón de intereses]]="Cupón de interés",Tabla3[[#This Row],[Estado]]="Vigente"),Tabla3[[#This Row],[Valor Nominal]],0)</f>
        <v>6410.96</v>
      </c>
      <c r="AI208" s="618">
        <f>+IF(Tabla3[[#This Row],[Amortización k | cupón de intereses]]="Amortización de K",SUMIFS($AH$7:$AH$557,Tabla3[Código Emisión],Tabla3[[#This Row],[Código Emisión]],Tabla3[Fecha de operación],Tabla3[[#This Row],[Fecha de operación]]),0)-Tabla3[[#This Row],[Accrued]]*Tabla3[[#This Row],[Valor Nominal]]</f>
        <v>0</v>
      </c>
      <c r="AJ208" s="605">
        <f>+IF(Tabla3[[#This Row],[Amortización k | cupón de intereses]]="Amortización de K",IF(Tabla3[[#This Row],[Precio Clean]]&gt;1,Tabla3[[#This Row],[Valor Nominal]]*(Tabla3[[#This Row],[Precio Clean]]-1),0),0)</f>
        <v>0</v>
      </c>
      <c r="AK208" s="605">
        <f>+IF(Tabla3[[#This Row],[Amortización k | cupón de intereses]]="Amortización de K",IF(Tabla3[[#This Row],[Precio Clean]]&lt;1,Tabla3[[#This Row],[Valor Nominal]]*(Tabla3[[#This Row],[Precio Clean]]-1),0),0)</f>
        <v>0</v>
      </c>
    </row>
    <row r="209" spans="1:37">
      <c r="A209" s="502"/>
      <c r="B209" s="437" t="str">
        <f t="shared" si="141"/>
        <v>Sudameris Bank SAECA</v>
      </c>
      <c r="C209" s="437" t="str">
        <f t="shared" si="139"/>
        <v>SUD_6,50%_270530_BE1754-57_100K</v>
      </c>
      <c r="D209" s="437" t="s">
        <v>453</v>
      </c>
      <c r="E209" s="437" t="str">
        <f t="shared" si="142"/>
        <v>AA+py</v>
      </c>
      <c r="F209" s="437" t="s">
        <v>297</v>
      </c>
      <c r="G209" s="437" t="s">
        <v>298</v>
      </c>
      <c r="H209" s="437">
        <v>4</v>
      </c>
      <c r="I209" s="492">
        <v>1567.12</v>
      </c>
      <c r="J209" s="451"/>
      <c r="K209" s="450"/>
      <c r="L209" s="451"/>
      <c r="M209" s="493"/>
      <c r="N209" s="493"/>
      <c r="O209" s="494">
        <f t="shared" si="140"/>
        <v>6.5596756339073192E-2</v>
      </c>
      <c r="P209" s="494">
        <f t="shared" si="140"/>
        <v>6.4042245700841605E-2</v>
      </c>
      <c r="Q209" s="450">
        <f t="shared" si="140"/>
        <v>45933</v>
      </c>
      <c r="R209" s="450">
        <v>46458</v>
      </c>
      <c r="S209" s="509" t="s">
        <v>146</v>
      </c>
      <c r="T209" s="510">
        <f>Tabla3[[#This Row],[Cantidad]]*Tabla3[[#This Row],[Cortes]]</f>
        <v>6268.48</v>
      </c>
      <c r="U209" s="511">
        <f t="shared" si="144"/>
        <v>5902.0882227655648</v>
      </c>
      <c r="V209" s="511">
        <f t="shared" si="145"/>
        <v>5901.0609449478688</v>
      </c>
      <c r="W209" s="497">
        <f>IF(Tabla3[[#This Row],[Fecha de operación]]=$C$1,0,U209-V209)</f>
        <v>1.0272778176959037</v>
      </c>
      <c r="X209" s="512" t="str">
        <f t="shared" si="121"/>
        <v>Vigente</v>
      </c>
      <c r="Y209" s="498" t="s">
        <v>450</v>
      </c>
      <c r="Z209" s="469">
        <f t="shared" si="122"/>
        <v>346</v>
      </c>
      <c r="AA209" s="499">
        <f t="shared" si="143"/>
        <v>3.6523408398371933</v>
      </c>
      <c r="AB209" s="499">
        <f t="shared" si="143"/>
        <v>3.5934118002652062</v>
      </c>
      <c r="AC209" s="469" t="s">
        <v>451</v>
      </c>
      <c r="AD209" s="469" t="s">
        <v>454</v>
      </c>
      <c r="AG209" s="605">
        <f>+IF(Tabla3[[#This Row],[Amortización k | cupón de intereses]]="Amortización de K",Tabla3[[#This Row],[Valor Nominal]],0)</f>
        <v>0</v>
      </c>
      <c r="AH209" s="605">
        <f>+IF(AND(Tabla3[[#This Row],[Amortización k | cupón de intereses]]="Cupón de interés",Tabla3[[#This Row],[Estado]]="Vigente"),Tabla3[[#This Row],[Valor Nominal]],0)</f>
        <v>6268.48</v>
      </c>
      <c r="AI209" s="618">
        <f>+IF(Tabla3[[#This Row],[Amortización k | cupón de intereses]]="Amortización de K",SUMIFS($AH$7:$AH$557,Tabla3[Código Emisión],Tabla3[[#This Row],[Código Emisión]],Tabla3[Fecha de operación],Tabla3[[#This Row],[Fecha de operación]]),0)-Tabla3[[#This Row],[Accrued]]*Tabla3[[#This Row],[Valor Nominal]]</f>
        <v>0</v>
      </c>
      <c r="AJ209" s="605">
        <f>+IF(Tabla3[[#This Row],[Amortización k | cupón de intereses]]="Amortización de K",IF(Tabla3[[#This Row],[Precio Clean]]&gt;1,Tabla3[[#This Row],[Valor Nominal]]*(Tabla3[[#This Row],[Precio Clean]]-1),0),0)</f>
        <v>0</v>
      </c>
      <c r="AK209" s="605">
        <f>+IF(Tabla3[[#This Row],[Amortización k | cupón de intereses]]="Amortización de K",IF(Tabla3[[#This Row],[Precio Clean]]&lt;1,Tabla3[[#This Row],[Valor Nominal]]*(Tabla3[[#This Row],[Precio Clean]]-1),0),0)</f>
        <v>0</v>
      </c>
    </row>
    <row r="210" spans="1:37">
      <c r="A210" s="502"/>
      <c r="B210" s="437" t="str">
        <f t="shared" si="141"/>
        <v>Sudameris Bank SAECA</v>
      </c>
      <c r="C210" s="437" t="str">
        <f t="shared" si="139"/>
        <v>SUD_6,50%_270530_BE1754-57_100K</v>
      </c>
      <c r="D210" s="437" t="s">
        <v>453</v>
      </c>
      <c r="E210" s="437" t="str">
        <f t="shared" si="142"/>
        <v>AA+py</v>
      </c>
      <c r="F210" s="437" t="s">
        <v>297</v>
      </c>
      <c r="G210" s="437" t="s">
        <v>298</v>
      </c>
      <c r="H210" s="437">
        <v>4</v>
      </c>
      <c r="I210" s="492">
        <v>1620.55</v>
      </c>
      <c r="J210" s="451"/>
      <c r="K210" s="450"/>
      <c r="L210" s="451"/>
      <c r="M210" s="493"/>
      <c r="N210" s="493"/>
      <c r="O210" s="494">
        <f t="shared" si="140"/>
        <v>6.5596756339073192E-2</v>
      </c>
      <c r="P210" s="494">
        <f t="shared" si="140"/>
        <v>6.4042245700841605E-2</v>
      </c>
      <c r="Q210" s="450">
        <f t="shared" si="140"/>
        <v>45933</v>
      </c>
      <c r="R210" s="450">
        <v>46370</v>
      </c>
      <c r="S210" s="509" t="s">
        <v>146</v>
      </c>
      <c r="T210" s="510">
        <f>Tabla3[[#This Row],[Cantidad]]*Tabla3[[#This Row],[Cortes]]</f>
        <v>6482.2</v>
      </c>
      <c r="U210" s="511">
        <f t="shared" si="144"/>
        <v>6197.5267679293256</v>
      </c>
      <c r="V210" s="511">
        <f t="shared" si="145"/>
        <v>6196.4480680636216</v>
      </c>
      <c r="W210" s="497">
        <f>IF(Tabla3[[#This Row],[Fecha de operación]]=$C$1,0,U210-V210)</f>
        <v>1.0786998657040385</v>
      </c>
      <c r="X210" s="512" t="str">
        <f t="shared" si="121"/>
        <v>Vigente</v>
      </c>
      <c r="Y210" s="498" t="s">
        <v>450</v>
      </c>
      <c r="Z210" s="469">
        <f t="shared" si="122"/>
        <v>258</v>
      </c>
      <c r="AA210" s="499">
        <f t="shared" si="143"/>
        <v>3.6523408398371933</v>
      </c>
      <c r="AB210" s="499">
        <f t="shared" si="143"/>
        <v>3.5934118002652062</v>
      </c>
      <c r="AC210" s="469" t="s">
        <v>451</v>
      </c>
      <c r="AD210" s="469" t="s">
        <v>454</v>
      </c>
      <c r="AG210" s="605">
        <f>+IF(Tabla3[[#This Row],[Amortización k | cupón de intereses]]="Amortización de K",Tabla3[[#This Row],[Valor Nominal]],0)</f>
        <v>0</v>
      </c>
      <c r="AH210" s="605">
        <f>+IF(AND(Tabla3[[#This Row],[Amortización k | cupón de intereses]]="Cupón de interés",Tabla3[[#This Row],[Estado]]="Vigente"),Tabla3[[#This Row],[Valor Nominal]],0)</f>
        <v>6482.2</v>
      </c>
      <c r="AI210" s="618">
        <f>+IF(Tabla3[[#This Row],[Amortización k | cupón de intereses]]="Amortización de K",SUMIFS($AH$7:$AH$557,Tabla3[Código Emisión],Tabla3[[#This Row],[Código Emisión]],Tabla3[Fecha de operación],Tabla3[[#This Row],[Fecha de operación]]),0)-Tabla3[[#This Row],[Accrued]]*Tabla3[[#This Row],[Valor Nominal]]</f>
        <v>0</v>
      </c>
      <c r="AJ210" s="605">
        <f>+IF(Tabla3[[#This Row],[Amortización k | cupón de intereses]]="Amortización de K",IF(Tabla3[[#This Row],[Precio Clean]]&gt;1,Tabla3[[#This Row],[Valor Nominal]]*(Tabla3[[#This Row],[Precio Clean]]-1),0),0)</f>
        <v>0</v>
      </c>
      <c r="AK210" s="605">
        <f>+IF(Tabla3[[#This Row],[Amortización k | cupón de intereses]]="Amortización de K",IF(Tabla3[[#This Row],[Precio Clean]]&lt;1,Tabla3[[#This Row],[Valor Nominal]]*(Tabla3[[#This Row],[Precio Clean]]-1),0),0)</f>
        <v>0</v>
      </c>
    </row>
    <row r="211" spans="1:37">
      <c r="A211" s="502"/>
      <c r="B211" s="437" t="str">
        <f t="shared" si="141"/>
        <v>Sudameris Bank SAECA</v>
      </c>
      <c r="C211" s="437" t="str">
        <f t="shared" si="139"/>
        <v>SUD_6,50%_270530_BE1754-57_100K</v>
      </c>
      <c r="D211" s="437" t="s">
        <v>453</v>
      </c>
      <c r="E211" s="437" t="str">
        <f t="shared" si="142"/>
        <v>AA+py</v>
      </c>
      <c r="F211" s="437" t="s">
        <v>297</v>
      </c>
      <c r="G211" s="437" t="s">
        <v>298</v>
      </c>
      <c r="H211" s="437">
        <v>4</v>
      </c>
      <c r="I211" s="492">
        <v>1620.55</v>
      </c>
      <c r="J211" s="451"/>
      <c r="K211" s="450"/>
      <c r="L211" s="451"/>
      <c r="M211" s="493"/>
      <c r="N211" s="493"/>
      <c r="O211" s="494">
        <f t="shared" si="140"/>
        <v>6.5596756339073192E-2</v>
      </c>
      <c r="P211" s="494">
        <f t="shared" si="140"/>
        <v>6.4042245700841605E-2</v>
      </c>
      <c r="Q211" s="450">
        <f t="shared" si="140"/>
        <v>45933</v>
      </c>
      <c r="R211" s="450">
        <v>46279</v>
      </c>
      <c r="S211" s="509" t="s">
        <v>146</v>
      </c>
      <c r="T211" s="510">
        <f>Tabla3[[#This Row],[Cantidad]]*Tabla3[[#This Row],[Cortes]]</f>
        <v>6482.2</v>
      </c>
      <c r="U211" s="511">
        <f t="shared" si="144"/>
        <v>6296.478640432294</v>
      </c>
      <c r="V211" s="511">
        <f t="shared" si="145"/>
        <v>6295.3827176685563</v>
      </c>
      <c r="W211" s="497">
        <f>IF(Tabla3[[#This Row],[Fecha de operación]]=$C$1,0,U211-V211)</f>
        <v>1.0959227637376898</v>
      </c>
      <c r="X211" s="512" t="str">
        <f t="shared" si="121"/>
        <v>Vigente</v>
      </c>
      <c r="Y211" s="498" t="s">
        <v>450</v>
      </c>
      <c r="Z211" s="469">
        <f t="shared" si="122"/>
        <v>167</v>
      </c>
      <c r="AA211" s="499">
        <f t="shared" si="143"/>
        <v>3.6523408398371933</v>
      </c>
      <c r="AB211" s="499">
        <f t="shared" si="143"/>
        <v>3.5934118002652062</v>
      </c>
      <c r="AC211" s="469" t="s">
        <v>451</v>
      </c>
      <c r="AD211" s="469" t="s">
        <v>454</v>
      </c>
      <c r="AG211" s="605">
        <f>+IF(Tabla3[[#This Row],[Amortización k | cupón de intereses]]="Amortización de K",Tabla3[[#This Row],[Valor Nominal]],0)</f>
        <v>0</v>
      </c>
      <c r="AH211" s="605">
        <f>+IF(AND(Tabla3[[#This Row],[Amortización k | cupón de intereses]]="Cupón de interés",Tabla3[[#This Row],[Estado]]="Vigente"),Tabla3[[#This Row],[Valor Nominal]],0)</f>
        <v>6482.2</v>
      </c>
      <c r="AI211" s="618">
        <f>+IF(Tabla3[[#This Row],[Amortización k | cupón de intereses]]="Amortización de K",SUMIFS($AH$7:$AH$557,Tabla3[Código Emisión],Tabla3[[#This Row],[Código Emisión]],Tabla3[Fecha de operación],Tabla3[[#This Row],[Fecha de operación]]),0)-Tabla3[[#This Row],[Accrued]]*Tabla3[[#This Row],[Valor Nominal]]</f>
        <v>0</v>
      </c>
      <c r="AJ211" s="605">
        <f>+IF(Tabla3[[#This Row],[Amortización k | cupón de intereses]]="Amortización de K",IF(Tabla3[[#This Row],[Precio Clean]]&gt;1,Tabla3[[#This Row],[Valor Nominal]]*(Tabla3[[#This Row],[Precio Clean]]-1),0),0)</f>
        <v>0</v>
      </c>
      <c r="AK211" s="605">
        <f>+IF(Tabla3[[#This Row],[Amortización k | cupón de intereses]]="Amortización de K",IF(Tabla3[[#This Row],[Precio Clean]]&lt;1,Tabla3[[#This Row],[Valor Nominal]]*(Tabla3[[#This Row],[Precio Clean]]-1),0),0)</f>
        <v>0</v>
      </c>
    </row>
    <row r="212" spans="1:37">
      <c r="A212" s="502"/>
      <c r="B212" s="437" t="str">
        <f t="shared" si="141"/>
        <v>Sudameris Bank SAECA</v>
      </c>
      <c r="C212" s="437" t="str">
        <f t="shared" si="139"/>
        <v>SUD_6,50%_270530_BE1754-57_100K</v>
      </c>
      <c r="D212" s="437" t="s">
        <v>453</v>
      </c>
      <c r="E212" s="437" t="str">
        <f t="shared" si="142"/>
        <v>AA+py</v>
      </c>
      <c r="F212" s="437" t="s">
        <v>297</v>
      </c>
      <c r="G212" s="437" t="s">
        <v>298</v>
      </c>
      <c r="H212" s="437">
        <v>4</v>
      </c>
      <c r="I212" s="492">
        <v>1602.74</v>
      </c>
      <c r="J212" s="451"/>
      <c r="K212" s="450"/>
      <c r="L212" s="451"/>
      <c r="M212" s="493"/>
      <c r="N212" s="493"/>
      <c r="O212" s="494">
        <f t="shared" ref="O212:Q214" si="146">+O211</f>
        <v>6.5596756339073192E-2</v>
      </c>
      <c r="P212" s="494">
        <f t="shared" si="146"/>
        <v>6.4042245700841605E-2</v>
      </c>
      <c r="Q212" s="450">
        <f t="shared" si="146"/>
        <v>45933</v>
      </c>
      <c r="R212" s="450">
        <v>46188</v>
      </c>
      <c r="S212" s="509" t="s">
        <v>146</v>
      </c>
      <c r="T212" s="510">
        <f>Tabla3[[#This Row],[Cantidad]]*Tabla3[[#This Row],[Cortes]]</f>
        <v>6410.96</v>
      </c>
      <c r="U212" s="511">
        <f t="shared" si="144"/>
        <v>6326.7066547562463</v>
      </c>
      <c r="V212" s="511">
        <f t="shared" si="145"/>
        <v>6325.6054707074491</v>
      </c>
      <c r="W212" s="497">
        <f>IF(Tabla3[[#This Row],[Fecha de operación]]=$C$1,0,U212-V212)</f>
        <v>1.1011840487972222</v>
      </c>
      <c r="X212" s="512" t="str">
        <f t="shared" si="121"/>
        <v>Vigente</v>
      </c>
      <c r="Y212" s="498" t="s">
        <v>450</v>
      </c>
      <c r="Z212" s="469">
        <f t="shared" si="122"/>
        <v>76</v>
      </c>
      <c r="AA212" s="499">
        <f t="shared" si="143"/>
        <v>3.6523408398371933</v>
      </c>
      <c r="AB212" s="499">
        <f t="shared" si="143"/>
        <v>3.5934118002652062</v>
      </c>
      <c r="AC212" s="469" t="s">
        <v>451</v>
      </c>
      <c r="AD212" s="469" t="s">
        <v>454</v>
      </c>
      <c r="AG212" s="605">
        <f>+IF(Tabla3[[#This Row],[Amortización k | cupón de intereses]]="Amortización de K",Tabla3[[#This Row],[Valor Nominal]],0)</f>
        <v>0</v>
      </c>
      <c r="AH212" s="605">
        <f>+IF(AND(Tabla3[[#This Row],[Amortización k | cupón de intereses]]="Cupón de interés",Tabla3[[#This Row],[Estado]]="Vigente"),Tabla3[[#This Row],[Valor Nominal]],0)</f>
        <v>6410.96</v>
      </c>
      <c r="AI212" s="618">
        <f>+IF(Tabla3[[#This Row],[Amortización k | cupón de intereses]]="Amortización de K",SUMIFS($AH$7:$AH$557,Tabla3[Código Emisión],Tabla3[[#This Row],[Código Emisión]],Tabla3[Fecha de operación],Tabla3[[#This Row],[Fecha de operación]]),0)-Tabla3[[#This Row],[Accrued]]*Tabla3[[#This Row],[Valor Nominal]]</f>
        <v>0</v>
      </c>
      <c r="AJ212" s="605">
        <f>+IF(Tabla3[[#This Row],[Amortización k | cupón de intereses]]="Amortización de K",IF(Tabla3[[#This Row],[Precio Clean]]&gt;1,Tabla3[[#This Row],[Valor Nominal]]*(Tabla3[[#This Row],[Precio Clean]]-1),0),0)</f>
        <v>0</v>
      </c>
      <c r="AK212" s="605">
        <f>+IF(Tabla3[[#This Row],[Amortización k | cupón de intereses]]="Amortización de K",IF(Tabla3[[#This Row],[Precio Clean]]&lt;1,Tabla3[[#This Row],[Valor Nominal]]*(Tabla3[[#This Row],[Precio Clean]]-1),0),0)</f>
        <v>0</v>
      </c>
    </row>
    <row r="213" spans="1:37">
      <c r="A213" s="502"/>
      <c r="B213" s="437" t="str">
        <f t="shared" si="141"/>
        <v>Sudameris Bank SAECA</v>
      </c>
      <c r="C213" s="437" t="str">
        <f t="shared" si="139"/>
        <v>SUD_6,50%_270530_BE1754-57_100K</v>
      </c>
      <c r="D213" s="437" t="s">
        <v>453</v>
      </c>
      <c r="E213" s="437" t="str">
        <f t="shared" si="142"/>
        <v>AA+py</v>
      </c>
      <c r="F213" s="437" t="s">
        <v>297</v>
      </c>
      <c r="G213" s="437" t="s">
        <v>298</v>
      </c>
      <c r="H213" s="437">
        <v>4</v>
      </c>
      <c r="I213" s="492">
        <v>1602.74</v>
      </c>
      <c r="J213" s="451"/>
      <c r="K213" s="450"/>
      <c r="L213" s="451"/>
      <c r="M213" s="493"/>
      <c r="N213" s="493"/>
      <c r="O213" s="494">
        <f t="shared" si="146"/>
        <v>6.5596756339073192E-2</v>
      </c>
      <c r="P213" s="494">
        <f t="shared" si="146"/>
        <v>6.4042245700841605E-2</v>
      </c>
      <c r="Q213" s="450">
        <f t="shared" si="146"/>
        <v>45933</v>
      </c>
      <c r="R213" s="450">
        <v>46098</v>
      </c>
      <c r="S213" s="509" t="s">
        <v>146</v>
      </c>
      <c r="T213" s="510">
        <f>Tabla3[[#This Row],[Cantidad]]*Tabla3[[#This Row],[Cortes]]</f>
        <v>6410.96</v>
      </c>
      <c r="U213" s="511" t="b">
        <f t="shared" si="144"/>
        <v>0</v>
      </c>
      <c r="V213" s="511" t="b">
        <f t="shared" si="145"/>
        <v>0</v>
      </c>
      <c r="W213" s="497">
        <f>IF(Tabla3[[#This Row],[Fecha de operación]]=$C$1,0,U213-V213)</f>
        <v>0</v>
      </c>
      <c r="X213" s="512" t="str">
        <f t="shared" si="121"/>
        <v>Vencido</v>
      </c>
      <c r="Y213" s="498" t="s">
        <v>450</v>
      </c>
      <c r="Z213" s="469">
        <f t="shared" si="122"/>
        <v>-14</v>
      </c>
      <c r="AA213" s="499">
        <f t="shared" ref="AA213:AB214" si="147">+AA212</f>
        <v>3.6523408398371933</v>
      </c>
      <c r="AB213" s="499">
        <f t="shared" si="147"/>
        <v>3.5934118002652062</v>
      </c>
      <c r="AC213" s="469" t="s">
        <v>451</v>
      </c>
      <c r="AD213" s="469" t="s">
        <v>454</v>
      </c>
      <c r="AG213" s="605">
        <f>+IF(Tabla3[[#This Row],[Amortización k | cupón de intereses]]="Amortización de K",Tabla3[[#This Row],[Valor Nominal]],0)</f>
        <v>0</v>
      </c>
      <c r="AH213" s="605">
        <f>+IF(AND(Tabla3[[#This Row],[Amortización k | cupón de intereses]]="Cupón de interés",Tabla3[[#This Row],[Estado]]="Vigente"),Tabla3[[#This Row],[Valor Nominal]],0)</f>
        <v>0</v>
      </c>
      <c r="AI213" s="618">
        <f>+IF(Tabla3[[#This Row],[Amortización k | cupón de intereses]]="Amortización de K",SUMIFS($AH$7:$AH$557,Tabla3[Código Emisión],Tabla3[[#This Row],[Código Emisión]],Tabla3[Fecha de operación],Tabla3[[#This Row],[Fecha de operación]]),0)-Tabla3[[#This Row],[Accrued]]*Tabla3[[#This Row],[Valor Nominal]]</f>
        <v>0</v>
      </c>
      <c r="AJ213" s="605">
        <f>+IF(Tabla3[[#This Row],[Amortización k | cupón de intereses]]="Amortización de K",IF(Tabla3[[#This Row],[Precio Clean]]&gt;1,Tabla3[[#This Row],[Valor Nominal]]*(Tabla3[[#This Row],[Precio Clean]]-1),0),0)</f>
        <v>0</v>
      </c>
      <c r="AK213" s="605">
        <f>+IF(Tabla3[[#This Row],[Amortización k | cupón de intereses]]="Amortización de K",IF(Tabla3[[#This Row],[Precio Clean]]&lt;1,Tabla3[[#This Row],[Valor Nominal]]*(Tabla3[[#This Row],[Precio Clean]]-1),0),0)</f>
        <v>0</v>
      </c>
    </row>
    <row r="214" spans="1:37">
      <c r="A214" s="502"/>
      <c r="B214" s="437" t="str">
        <f t="shared" si="141"/>
        <v>Sudameris Bank SAECA</v>
      </c>
      <c r="C214" s="437" t="str">
        <f t="shared" si="139"/>
        <v>SUD_6,50%_270530_BE1754-57_100K</v>
      </c>
      <c r="D214" s="437" t="s">
        <v>453</v>
      </c>
      <c r="E214" s="437" t="str">
        <f t="shared" si="142"/>
        <v>AA+py</v>
      </c>
      <c r="F214" s="437" t="s">
        <v>297</v>
      </c>
      <c r="G214" s="437" t="s">
        <v>298</v>
      </c>
      <c r="H214" s="437">
        <v>4</v>
      </c>
      <c r="I214" s="492">
        <v>1602.74</v>
      </c>
      <c r="J214" s="451"/>
      <c r="K214" s="450"/>
      <c r="L214" s="451"/>
      <c r="M214" s="493"/>
      <c r="N214" s="493"/>
      <c r="O214" s="494">
        <f t="shared" si="146"/>
        <v>6.5596756339073192E-2</v>
      </c>
      <c r="P214" s="494">
        <f t="shared" si="146"/>
        <v>6.4042245700841605E-2</v>
      </c>
      <c r="Q214" s="450">
        <f t="shared" si="146"/>
        <v>45933</v>
      </c>
      <c r="R214" s="450">
        <v>46008</v>
      </c>
      <c r="S214" s="509" t="s">
        <v>146</v>
      </c>
      <c r="T214" s="510">
        <f>Tabla3[[#This Row],[Cantidad]]*Tabla3[[#This Row],[Cortes]]</f>
        <v>6410.96</v>
      </c>
      <c r="U214" s="511" t="b">
        <f t="shared" si="144"/>
        <v>0</v>
      </c>
      <c r="V214" s="511" t="b">
        <f t="shared" si="145"/>
        <v>0</v>
      </c>
      <c r="W214" s="497">
        <f>IF(Tabla3[[#This Row],[Fecha de operación]]=$C$1,0,U214-V214)</f>
        <v>0</v>
      </c>
      <c r="X214" s="512" t="str">
        <f t="shared" si="121"/>
        <v>Vencido</v>
      </c>
      <c r="Y214" s="498" t="s">
        <v>450</v>
      </c>
      <c r="Z214" s="469">
        <f t="shared" si="122"/>
        <v>-104</v>
      </c>
      <c r="AA214" s="499">
        <f t="shared" si="147"/>
        <v>3.6523408398371933</v>
      </c>
      <c r="AB214" s="499">
        <f t="shared" si="147"/>
        <v>3.5934118002652062</v>
      </c>
      <c r="AC214" s="469" t="s">
        <v>451</v>
      </c>
      <c r="AD214" s="469" t="s">
        <v>454</v>
      </c>
      <c r="AG214" s="605">
        <f>+IF(Tabla3[[#This Row],[Amortización k | cupón de intereses]]="Amortización de K",Tabla3[[#This Row],[Valor Nominal]],0)</f>
        <v>0</v>
      </c>
      <c r="AH214" s="605">
        <f>+IF(AND(Tabla3[[#This Row],[Amortización k | cupón de intereses]]="Cupón de interés",Tabla3[[#This Row],[Estado]]="Vigente"),Tabla3[[#This Row],[Valor Nominal]],0)</f>
        <v>0</v>
      </c>
      <c r="AI214" s="618">
        <f>+IF(Tabla3[[#This Row],[Amortización k | cupón de intereses]]="Amortización de K",SUMIFS($AH$7:$AH$557,Tabla3[Código Emisión],Tabla3[[#This Row],[Código Emisión]],Tabla3[Fecha de operación],Tabla3[[#This Row],[Fecha de operación]]),0)-Tabla3[[#This Row],[Accrued]]*Tabla3[[#This Row],[Valor Nominal]]</f>
        <v>0</v>
      </c>
      <c r="AJ214" s="605">
        <f>+IF(Tabla3[[#This Row],[Amortización k | cupón de intereses]]="Amortización de K",IF(Tabla3[[#This Row],[Precio Clean]]&gt;1,Tabla3[[#This Row],[Valor Nominal]]*(Tabla3[[#This Row],[Precio Clean]]-1),0),0)</f>
        <v>0</v>
      </c>
      <c r="AK214" s="605">
        <f>+IF(Tabla3[[#This Row],[Amortización k | cupón de intereses]]="Amortización de K",IF(Tabla3[[#This Row],[Precio Clean]]&lt;1,Tabla3[[#This Row],[Valor Nominal]]*(Tabla3[[#This Row],[Precio Clean]]-1),0),0)</f>
        <v>0</v>
      </c>
    </row>
    <row r="215" spans="1:37" ht="15">
      <c r="A215" s="500">
        <f>+A195+1</f>
        <v>23</v>
      </c>
      <c r="B215" s="475" t="s">
        <v>516</v>
      </c>
      <c r="C215" s="475" t="s">
        <v>564</v>
      </c>
      <c r="D215" s="475" t="s">
        <v>453</v>
      </c>
      <c r="E215" s="475" t="s">
        <v>449</v>
      </c>
      <c r="F215" s="475" t="s">
        <v>297</v>
      </c>
      <c r="G215" s="475" t="s">
        <v>298</v>
      </c>
      <c r="H215" s="475">
        <v>2</v>
      </c>
      <c r="I215" s="477">
        <v>250000</v>
      </c>
      <c r="J215" s="478">
        <v>6.5000000000000002E-2</v>
      </c>
      <c r="K215" s="479">
        <f>_xlfn.MAXIFS(R:R,C:C,C215,AD:AD,"Cupón de interés",X:X,"Vencido")</f>
        <v>46083</v>
      </c>
      <c r="L215" s="478">
        <f>+Tabla3[[#This Row],[Tasa de Interés]]*($U$5-Tabla3[[#This Row],[Last coupon]])/365</f>
        <v>5.1643835616438354E-3</v>
      </c>
      <c r="M215" s="480">
        <f>+Tabla3[[#This Row],[Precio Dirty]]-Tabla3[[#This Row],[Accrued]]</f>
        <v>1.0030733197786335</v>
      </c>
      <c r="N215" s="481">
        <f>SUMIFS(U:U,C:C,C215,Q:Q,Q215)/SUMIFS(T:T,C:C,C215,Q:Q,Q215,AD:AD,"Amortización de K")</f>
        <v>1.0082377033402772</v>
      </c>
      <c r="O215" s="482">
        <v>6.5560713410377516E-2</v>
      </c>
      <c r="P215" s="482">
        <v>6.3669465351994248E-2</v>
      </c>
      <c r="Q215" s="484">
        <v>45933</v>
      </c>
      <c r="R215" s="484">
        <v>47028</v>
      </c>
      <c r="S215" s="504" t="s">
        <v>146</v>
      </c>
      <c r="T215" s="505">
        <f>Tabla3[[#This Row],[Cantidad]]*Tabla3[[#This Row],[Cortes]]</f>
        <v>500000</v>
      </c>
      <c r="U215" s="506">
        <f t="shared" si="144"/>
        <v>426343.9023351252</v>
      </c>
      <c r="V215" s="506">
        <f t="shared" si="145"/>
        <v>426269.73528289224</v>
      </c>
      <c r="W215" s="487">
        <f>IF(Tabla3[[#This Row],[Fecha de operación]]=$C$1,0,U215-V215)</f>
        <v>74.167052232951391</v>
      </c>
      <c r="X215" s="507" t="str">
        <f t="shared" si="121"/>
        <v>Vigente</v>
      </c>
      <c r="Y215" s="489" t="s">
        <v>450</v>
      </c>
      <c r="Z215" s="488">
        <f t="shared" si="122"/>
        <v>916</v>
      </c>
      <c r="AA215" s="508">
        <f t="shared" ref="AA215" si="148">IF(Y215="Mensual",DURATION($C$1,$C$1+Z215*12,J215/12,O215/12,1)/12,DURATION($C$1,R215,J215,O215,IF(Y215="Cupón cero",1,IF(Y215="Al vencimiento",1,IF(Y215="Anual",1,IF(Y215="Semestral",2,IF(Y215="Trimestral",4,"")))))))</f>
        <v>2.2929492205809012</v>
      </c>
      <c r="AB215" s="508">
        <f t="shared" ref="AB215" si="149">IF(Y215="Mensual",MDURATION($C$1,$C$1+Z215*12,J215/12,O215/12,1)/12,MDURATION($C$1,R215,J215,O215,IF(Y215="Cupón cero",1,IF(Y215="Al vencimiento",1,IF(Y215="Anual",1,IF(Y215="Semestral",2,IF(Y215="Trimestral",4,"")))))))</f>
        <v>2.2559734139672667</v>
      </c>
      <c r="AC215" s="488" t="s">
        <v>451</v>
      </c>
      <c r="AD215" s="488" t="s">
        <v>452</v>
      </c>
      <c r="AG215" s="605">
        <f>+IF(Tabla3[[#This Row],[Amortización k | cupón de intereses]]="Amortización de K",Tabla3[[#This Row],[Valor Nominal]],0)</f>
        <v>500000</v>
      </c>
      <c r="AH215" s="605">
        <f>+IF(AND(Tabla3[[#This Row],[Amortización k | cupón de intereses]]="Cupón de interés",Tabla3[[#This Row],[Estado]]="Vigente"),Tabla3[[#This Row],[Valor Nominal]],0)</f>
        <v>0</v>
      </c>
      <c r="AI215" s="618">
        <f>+IF(Tabla3[[#This Row],[Amortización k | cupón de intereses]]="Amortización de K",SUMIFS($AH$7:$AH$557,Tabla3[Código Emisión],Tabla3[[#This Row],[Código Emisión]],Tabla3[Fecha de operación],Tabla3[[#This Row],[Fecha de operación]]),0)-Tabla3[[#This Row],[Accrued]]*Tabla3[[#This Row],[Valor Nominal]]</f>
        <v>81561.39452054791</v>
      </c>
      <c r="AJ215" s="605">
        <f>+IF(Tabla3[[#This Row],[Amortización k | cupón de intereses]]="Amortización de K",IF(Tabla3[[#This Row],[Precio Clean]]&gt;1,Tabla3[[#This Row],[Valor Nominal]]*(Tabla3[[#This Row],[Precio Clean]]-1),0),0)</f>
        <v>1536.6598893167272</v>
      </c>
      <c r="AK215" s="605">
        <f>+IF(Tabla3[[#This Row],[Amortización k | cupón de intereses]]="Amortización de K",IF(Tabla3[[#This Row],[Precio Clean]]&lt;1,Tabla3[[#This Row],[Valor Nominal]]*(Tabla3[[#This Row],[Precio Clean]]-1),0),0)</f>
        <v>0</v>
      </c>
    </row>
    <row r="216" spans="1:37">
      <c r="A216" s="502"/>
      <c r="B216" s="437" t="str">
        <f>+B215</f>
        <v>Bancop S.A.</v>
      </c>
      <c r="C216" s="437" t="str">
        <f t="shared" si="139"/>
        <v>BCO_6,50%_02102028_AA4088-91_250K</v>
      </c>
      <c r="D216" s="437" t="s">
        <v>453</v>
      </c>
      <c r="E216" s="437" t="str">
        <f>+E215</f>
        <v>AA-py</v>
      </c>
      <c r="F216" s="437" t="s">
        <v>297</v>
      </c>
      <c r="G216" s="437" t="s">
        <v>298</v>
      </c>
      <c r="H216" s="437">
        <v>2</v>
      </c>
      <c r="I216" s="492">
        <v>2003.3</v>
      </c>
      <c r="J216" s="451"/>
      <c r="K216" s="450"/>
      <c r="L216" s="451"/>
      <c r="M216" s="493"/>
      <c r="N216" s="493"/>
      <c r="O216" s="494">
        <f t="shared" ref="O216:Q231" si="150">+O215</f>
        <v>6.5560713410377516E-2</v>
      </c>
      <c r="P216" s="494">
        <f t="shared" si="150"/>
        <v>6.3669465351994248E-2</v>
      </c>
      <c r="Q216" s="450">
        <f t="shared" si="150"/>
        <v>45933</v>
      </c>
      <c r="R216" s="450">
        <v>47028</v>
      </c>
      <c r="S216" s="509" t="s">
        <v>146</v>
      </c>
      <c r="T216" s="510">
        <f>Tabla3[[#This Row],[Cantidad]]*Tabla3[[#This Row],[Cortes]]</f>
        <v>4006.6</v>
      </c>
      <c r="U216" s="511">
        <f t="shared" si="144"/>
        <v>3416.3789581918249</v>
      </c>
      <c r="V216" s="511">
        <f t="shared" si="145"/>
        <v>3415.7846427688719</v>
      </c>
      <c r="W216" s="497">
        <f>IF(Tabla3[[#This Row],[Fecha de operación]]=$C$1,0,U216-V216)</f>
        <v>0.59431542295305917</v>
      </c>
      <c r="X216" s="512" t="str">
        <f t="shared" si="121"/>
        <v>Vigente</v>
      </c>
      <c r="Y216" s="498" t="s">
        <v>450</v>
      </c>
      <c r="Z216" s="469">
        <f t="shared" si="122"/>
        <v>916</v>
      </c>
      <c r="AA216" s="499">
        <f>+AA215</f>
        <v>2.2929492205809012</v>
      </c>
      <c r="AB216" s="499">
        <f>+AB215</f>
        <v>2.2559734139672667</v>
      </c>
      <c r="AC216" s="469" t="s">
        <v>451</v>
      </c>
      <c r="AD216" s="469" t="s">
        <v>454</v>
      </c>
      <c r="AG216" s="605">
        <f>+IF(Tabla3[[#This Row],[Amortización k | cupón de intereses]]="Amortización de K",Tabla3[[#This Row],[Valor Nominal]],0)</f>
        <v>0</v>
      </c>
      <c r="AH216" s="605">
        <f>+IF(AND(Tabla3[[#This Row],[Amortización k | cupón de intereses]]="Cupón de interés",Tabla3[[#This Row],[Estado]]="Vigente"),Tabla3[[#This Row],[Valor Nominal]],0)</f>
        <v>4006.6</v>
      </c>
      <c r="AI216" s="618">
        <f>+IF(Tabla3[[#This Row],[Amortización k | cupón de intereses]]="Amortización de K",SUMIFS($AH$7:$AH$557,Tabla3[Código Emisión],Tabla3[[#This Row],[Código Emisión]],Tabla3[Fecha de operación],Tabla3[[#This Row],[Fecha de operación]]),0)-Tabla3[[#This Row],[Accrued]]*Tabla3[[#This Row],[Valor Nominal]]</f>
        <v>0</v>
      </c>
      <c r="AJ216" s="605">
        <f>+IF(Tabla3[[#This Row],[Amortización k | cupón de intereses]]="Amortización de K",IF(Tabla3[[#This Row],[Precio Clean]]&gt;1,Tabla3[[#This Row],[Valor Nominal]]*(Tabla3[[#This Row],[Precio Clean]]-1),0),0)</f>
        <v>0</v>
      </c>
      <c r="AK216" s="605">
        <f>+IF(Tabla3[[#This Row],[Amortización k | cupón de intereses]]="Amortización de K",IF(Tabla3[[#This Row],[Precio Clean]]&lt;1,Tabla3[[#This Row],[Valor Nominal]]*(Tabla3[[#This Row],[Precio Clean]]-1),0),0)</f>
        <v>0</v>
      </c>
    </row>
    <row r="217" spans="1:37">
      <c r="A217" s="502"/>
      <c r="B217" s="437" t="str">
        <f t="shared" ref="B217:C240" si="151">+B216</f>
        <v>Bancop S.A.</v>
      </c>
      <c r="C217" s="437" t="str">
        <f t="shared" si="139"/>
        <v>BCO_6,50%_02102028_AA4088-91_250K</v>
      </c>
      <c r="D217" s="437" t="s">
        <v>453</v>
      </c>
      <c r="E217" s="437" t="str">
        <f t="shared" ref="E217:E251" si="152">+E216</f>
        <v>AA-py</v>
      </c>
      <c r="F217" s="437" t="s">
        <v>297</v>
      </c>
      <c r="G217" s="437" t="s">
        <v>298</v>
      </c>
      <c r="H217" s="437">
        <v>2</v>
      </c>
      <c r="I217" s="492">
        <v>1335.6164383561643</v>
      </c>
      <c r="J217" s="451"/>
      <c r="K217" s="450"/>
      <c r="L217" s="451"/>
      <c r="M217" s="493"/>
      <c r="N217" s="493"/>
      <c r="O217" s="494">
        <f t="shared" si="150"/>
        <v>6.5560713410377516E-2</v>
      </c>
      <c r="P217" s="494">
        <f t="shared" si="150"/>
        <v>6.3669465351994248E-2</v>
      </c>
      <c r="Q217" s="450">
        <f t="shared" si="150"/>
        <v>45933</v>
      </c>
      <c r="R217" s="450">
        <v>46983</v>
      </c>
      <c r="S217" s="509" t="s">
        <v>146</v>
      </c>
      <c r="T217" s="510">
        <f>Tabla3[[#This Row],[Cantidad]]*Tabla3[[#This Row],[Cortes]]</f>
        <v>2671.2328767123286</v>
      </c>
      <c r="U217" s="511">
        <f t="shared" si="144"/>
        <v>2295.629806195986</v>
      </c>
      <c r="V217" s="511">
        <f t="shared" si="145"/>
        <v>2295.2304569973435</v>
      </c>
      <c r="W217" s="497">
        <f>IF(Tabla3[[#This Row],[Fecha de operación]]=$C$1,0,U217-V217)</f>
        <v>0.3993491986425397</v>
      </c>
      <c r="X217" s="512" t="str">
        <f t="shared" si="121"/>
        <v>Vigente</v>
      </c>
      <c r="Y217" s="498" t="s">
        <v>450</v>
      </c>
      <c r="Z217" s="469">
        <f t="shared" si="122"/>
        <v>871</v>
      </c>
      <c r="AA217" s="499">
        <f t="shared" ref="AA217:AB232" si="153">+AA216</f>
        <v>2.2929492205809012</v>
      </c>
      <c r="AB217" s="499">
        <f t="shared" si="153"/>
        <v>2.2559734139672667</v>
      </c>
      <c r="AC217" s="469" t="s">
        <v>451</v>
      </c>
      <c r="AD217" s="469" t="s">
        <v>454</v>
      </c>
      <c r="AG217" s="605">
        <f>+IF(Tabla3[[#This Row],[Amortización k | cupón de intereses]]="Amortización de K",Tabla3[[#This Row],[Valor Nominal]],0)</f>
        <v>0</v>
      </c>
      <c r="AH217" s="605">
        <f>+IF(AND(Tabla3[[#This Row],[Amortización k | cupón de intereses]]="Cupón de interés",Tabla3[[#This Row],[Estado]]="Vigente"),Tabla3[[#This Row],[Valor Nominal]],0)</f>
        <v>2671.2328767123286</v>
      </c>
      <c r="AI217" s="618">
        <f>+IF(Tabla3[[#This Row],[Amortización k | cupón de intereses]]="Amortización de K",SUMIFS($AH$7:$AH$557,Tabla3[Código Emisión],Tabla3[[#This Row],[Código Emisión]],Tabla3[Fecha de operación],Tabla3[[#This Row],[Fecha de operación]]),0)-Tabla3[[#This Row],[Accrued]]*Tabla3[[#This Row],[Valor Nominal]]</f>
        <v>0</v>
      </c>
      <c r="AJ217" s="605">
        <f>+IF(Tabla3[[#This Row],[Amortización k | cupón de intereses]]="Amortización de K",IF(Tabla3[[#This Row],[Precio Clean]]&gt;1,Tabla3[[#This Row],[Valor Nominal]]*(Tabla3[[#This Row],[Precio Clean]]-1),0),0)</f>
        <v>0</v>
      </c>
      <c r="AK217" s="605">
        <f>+IF(Tabla3[[#This Row],[Amortización k | cupón de intereses]]="Amortización de K",IF(Tabla3[[#This Row],[Precio Clean]]&lt;1,Tabla3[[#This Row],[Valor Nominal]]*(Tabla3[[#This Row],[Precio Clean]]-1),0),0)</f>
        <v>0</v>
      </c>
    </row>
    <row r="218" spans="1:37">
      <c r="A218" s="502"/>
      <c r="B218" s="437" t="str">
        <f t="shared" si="151"/>
        <v>Bancop S.A.</v>
      </c>
      <c r="C218" s="437" t="str">
        <f t="shared" si="139"/>
        <v>BCO_6,50%_02102028_AA4088-91_250K</v>
      </c>
      <c r="D218" s="437" t="s">
        <v>453</v>
      </c>
      <c r="E218" s="437" t="str">
        <f t="shared" si="152"/>
        <v>AA-py</v>
      </c>
      <c r="F218" s="437" t="s">
        <v>297</v>
      </c>
      <c r="G218" s="437" t="s">
        <v>298</v>
      </c>
      <c r="H218" s="437">
        <v>2</v>
      </c>
      <c r="I218" s="492">
        <v>1335.6164383561643</v>
      </c>
      <c r="J218" s="451"/>
      <c r="K218" s="450"/>
      <c r="L218" s="451"/>
      <c r="M218" s="493"/>
      <c r="N218" s="493"/>
      <c r="O218" s="494">
        <f t="shared" si="150"/>
        <v>6.5560713410377516E-2</v>
      </c>
      <c r="P218" s="494">
        <f t="shared" si="150"/>
        <v>6.3669465351994248E-2</v>
      </c>
      <c r="Q218" s="450">
        <f t="shared" si="150"/>
        <v>45933</v>
      </c>
      <c r="R218" s="450">
        <v>46953</v>
      </c>
      <c r="S218" s="509" t="s">
        <v>146</v>
      </c>
      <c r="T218" s="510">
        <f>Tabla3[[#This Row],[Cantidad]]*Tabla3[[#This Row],[Cortes]]</f>
        <v>2671.2328767123286</v>
      </c>
      <c r="U218" s="511">
        <f t="shared" si="144"/>
        <v>2307.6426462161598</v>
      </c>
      <c r="V218" s="511">
        <f t="shared" si="145"/>
        <v>2307.2412072563448</v>
      </c>
      <c r="W218" s="497">
        <f>IF(Tabla3[[#This Row],[Fecha de operación]]=$C$1,0,U218-V218)</f>
        <v>0.40143895981509559</v>
      </c>
      <c r="X218" s="512" t="str">
        <f t="shared" si="121"/>
        <v>Vigente</v>
      </c>
      <c r="Y218" s="498" t="s">
        <v>450</v>
      </c>
      <c r="Z218" s="469">
        <f t="shared" si="122"/>
        <v>841</v>
      </c>
      <c r="AA218" s="499">
        <f t="shared" si="153"/>
        <v>2.2929492205809012</v>
      </c>
      <c r="AB218" s="499">
        <f t="shared" si="153"/>
        <v>2.2559734139672667</v>
      </c>
      <c r="AC218" s="469" t="s">
        <v>451</v>
      </c>
      <c r="AD218" s="469" t="s">
        <v>454</v>
      </c>
      <c r="AG218" s="605">
        <f>+IF(Tabla3[[#This Row],[Amortización k | cupón de intereses]]="Amortización de K",Tabla3[[#This Row],[Valor Nominal]],0)</f>
        <v>0</v>
      </c>
      <c r="AH218" s="605">
        <f>+IF(AND(Tabla3[[#This Row],[Amortización k | cupón de intereses]]="Cupón de interés",Tabla3[[#This Row],[Estado]]="Vigente"),Tabla3[[#This Row],[Valor Nominal]],0)</f>
        <v>2671.2328767123286</v>
      </c>
      <c r="AI218" s="618">
        <f>+IF(Tabla3[[#This Row],[Amortización k | cupón de intereses]]="Amortización de K",SUMIFS($AH$7:$AH$557,Tabla3[Código Emisión],Tabla3[[#This Row],[Código Emisión]],Tabla3[Fecha de operación],Tabla3[[#This Row],[Fecha de operación]]),0)-Tabla3[[#This Row],[Accrued]]*Tabla3[[#This Row],[Valor Nominal]]</f>
        <v>0</v>
      </c>
      <c r="AJ218" s="605">
        <f>+IF(Tabla3[[#This Row],[Amortización k | cupón de intereses]]="Amortización de K",IF(Tabla3[[#This Row],[Precio Clean]]&gt;1,Tabla3[[#This Row],[Valor Nominal]]*(Tabla3[[#This Row],[Precio Clean]]-1),0),0)</f>
        <v>0</v>
      </c>
      <c r="AK218" s="605">
        <f>+IF(Tabla3[[#This Row],[Amortización k | cupón de intereses]]="Amortización de K",IF(Tabla3[[#This Row],[Precio Clean]]&lt;1,Tabla3[[#This Row],[Valor Nominal]]*(Tabla3[[#This Row],[Precio Clean]]-1),0),0)</f>
        <v>0</v>
      </c>
    </row>
    <row r="219" spans="1:37">
      <c r="A219" s="502"/>
      <c r="B219" s="437" t="str">
        <f t="shared" si="151"/>
        <v>Bancop S.A.</v>
      </c>
      <c r="C219" s="437" t="str">
        <f t="shared" si="139"/>
        <v>BCO_6,50%_02102028_AA4088-91_250K</v>
      </c>
      <c r="D219" s="437" t="s">
        <v>453</v>
      </c>
      <c r="E219" s="437" t="str">
        <f t="shared" si="152"/>
        <v>AA-py</v>
      </c>
      <c r="F219" s="437" t="s">
        <v>297</v>
      </c>
      <c r="G219" s="437" t="s">
        <v>298</v>
      </c>
      <c r="H219" s="437">
        <v>2</v>
      </c>
      <c r="I219" s="492">
        <v>1246.5753424657535</v>
      </c>
      <c r="J219" s="451"/>
      <c r="K219" s="450"/>
      <c r="L219" s="451"/>
      <c r="M219" s="493"/>
      <c r="N219" s="493"/>
      <c r="O219" s="494">
        <f t="shared" si="150"/>
        <v>6.5560713410377516E-2</v>
      </c>
      <c r="P219" s="494">
        <f t="shared" si="150"/>
        <v>6.3669465351994248E-2</v>
      </c>
      <c r="Q219" s="450">
        <f t="shared" si="150"/>
        <v>45933</v>
      </c>
      <c r="R219" s="450">
        <v>46923</v>
      </c>
      <c r="S219" s="509" t="s">
        <v>146</v>
      </c>
      <c r="T219" s="510">
        <f>Tabla3[[#This Row],[Cantidad]]*Tabla3[[#This Row],[Cortes]]</f>
        <v>2493.1506849315069</v>
      </c>
      <c r="U219" s="511">
        <f t="shared" si="144"/>
        <v>2165.0704585346207</v>
      </c>
      <c r="V219" s="511">
        <f t="shared" si="145"/>
        <v>2164.6938215218552</v>
      </c>
      <c r="W219" s="497">
        <f>IF(Tabla3[[#This Row],[Fecha de operación]]=$C$1,0,U219-V219)</f>
        <v>0.37663701276551365</v>
      </c>
      <c r="X219" s="512" t="str">
        <f t="shared" si="121"/>
        <v>Vigente</v>
      </c>
      <c r="Y219" s="498" t="s">
        <v>450</v>
      </c>
      <c r="Z219" s="469">
        <f t="shared" si="122"/>
        <v>811</v>
      </c>
      <c r="AA219" s="499">
        <f t="shared" si="153"/>
        <v>2.2929492205809012</v>
      </c>
      <c r="AB219" s="499">
        <f t="shared" si="153"/>
        <v>2.2559734139672667</v>
      </c>
      <c r="AC219" s="469" t="s">
        <v>451</v>
      </c>
      <c r="AD219" s="469" t="s">
        <v>454</v>
      </c>
      <c r="AG219" s="605">
        <f>+IF(Tabla3[[#This Row],[Amortización k | cupón de intereses]]="Amortización de K",Tabla3[[#This Row],[Valor Nominal]],0)</f>
        <v>0</v>
      </c>
      <c r="AH219" s="605">
        <f>+IF(AND(Tabla3[[#This Row],[Amortización k | cupón de intereses]]="Cupón de interés",Tabla3[[#This Row],[Estado]]="Vigente"),Tabla3[[#This Row],[Valor Nominal]],0)</f>
        <v>2493.1506849315069</v>
      </c>
      <c r="AI219" s="618">
        <f>+IF(Tabla3[[#This Row],[Amortización k | cupón de intereses]]="Amortización de K",SUMIFS($AH$7:$AH$557,Tabla3[Código Emisión],Tabla3[[#This Row],[Código Emisión]],Tabla3[Fecha de operación],Tabla3[[#This Row],[Fecha de operación]]),0)-Tabla3[[#This Row],[Accrued]]*Tabla3[[#This Row],[Valor Nominal]]</f>
        <v>0</v>
      </c>
      <c r="AJ219" s="605">
        <f>+IF(Tabla3[[#This Row],[Amortización k | cupón de intereses]]="Amortización de K",IF(Tabla3[[#This Row],[Precio Clean]]&gt;1,Tabla3[[#This Row],[Valor Nominal]]*(Tabla3[[#This Row],[Precio Clean]]-1),0),0)</f>
        <v>0</v>
      </c>
      <c r="AK219" s="605">
        <f>+IF(Tabla3[[#This Row],[Amortización k | cupón de intereses]]="Amortización de K",IF(Tabla3[[#This Row],[Precio Clean]]&lt;1,Tabla3[[#This Row],[Valor Nominal]]*(Tabla3[[#This Row],[Precio Clean]]-1),0),0)</f>
        <v>0</v>
      </c>
    </row>
    <row r="220" spans="1:37">
      <c r="A220" s="502"/>
      <c r="B220" s="437" t="str">
        <f t="shared" si="151"/>
        <v>Bancop S.A.</v>
      </c>
      <c r="C220" s="437" t="str">
        <f t="shared" si="139"/>
        <v>BCO_6,50%_02102028_AA4088-91_250K</v>
      </c>
      <c r="D220" s="437" t="s">
        <v>453</v>
      </c>
      <c r="E220" s="437" t="str">
        <f t="shared" si="152"/>
        <v>AA-py</v>
      </c>
      <c r="F220" s="437" t="s">
        <v>297</v>
      </c>
      <c r="G220" s="437" t="s">
        <v>298</v>
      </c>
      <c r="H220" s="437">
        <v>2</v>
      </c>
      <c r="I220" s="492">
        <v>1424.6575342465753</v>
      </c>
      <c r="J220" s="451"/>
      <c r="K220" s="450"/>
      <c r="L220" s="451"/>
      <c r="M220" s="493"/>
      <c r="N220" s="493"/>
      <c r="O220" s="494">
        <f t="shared" si="150"/>
        <v>6.5560713410377516E-2</v>
      </c>
      <c r="P220" s="494">
        <f t="shared" si="150"/>
        <v>6.3669465351994248E-2</v>
      </c>
      <c r="Q220" s="450">
        <f t="shared" si="150"/>
        <v>45933</v>
      </c>
      <c r="R220" s="450">
        <v>46895</v>
      </c>
      <c r="S220" s="509" t="s">
        <v>146</v>
      </c>
      <c r="T220" s="510">
        <f>Tabla3[[#This Row],[Cantidad]]*Tabla3[[#This Row],[Cortes]]</f>
        <v>2849.3150684931506</v>
      </c>
      <c r="U220" s="511">
        <f t="shared" si="144"/>
        <v>2486.4490769763274</v>
      </c>
      <c r="V220" s="511">
        <f t="shared" si="145"/>
        <v>2486.0165327378463</v>
      </c>
      <c r="W220" s="497">
        <f>IF(Tabla3[[#This Row],[Fecha de operación]]=$C$1,0,U220-V220)</f>
        <v>0.43254423848111401</v>
      </c>
      <c r="X220" s="512" t="str">
        <f t="shared" si="121"/>
        <v>Vigente</v>
      </c>
      <c r="Y220" s="498" t="s">
        <v>450</v>
      </c>
      <c r="Z220" s="469">
        <f t="shared" si="122"/>
        <v>783</v>
      </c>
      <c r="AA220" s="499">
        <f t="shared" si="153"/>
        <v>2.2929492205809012</v>
      </c>
      <c r="AB220" s="499">
        <f t="shared" si="153"/>
        <v>2.2559734139672667</v>
      </c>
      <c r="AC220" s="469" t="s">
        <v>451</v>
      </c>
      <c r="AD220" s="469" t="s">
        <v>454</v>
      </c>
      <c r="AG220" s="605">
        <f>+IF(Tabla3[[#This Row],[Amortización k | cupón de intereses]]="Amortización de K",Tabla3[[#This Row],[Valor Nominal]],0)</f>
        <v>0</v>
      </c>
      <c r="AH220" s="605">
        <f>+IF(AND(Tabla3[[#This Row],[Amortización k | cupón de intereses]]="Cupón de interés",Tabla3[[#This Row],[Estado]]="Vigente"),Tabla3[[#This Row],[Valor Nominal]],0)</f>
        <v>2849.3150684931506</v>
      </c>
      <c r="AI220" s="618">
        <f>+IF(Tabla3[[#This Row],[Amortización k | cupón de intereses]]="Amortización de K",SUMIFS($AH$7:$AH$557,Tabla3[Código Emisión],Tabla3[[#This Row],[Código Emisión]],Tabla3[Fecha de operación],Tabla3[[#This Row],[Fecha de operación]]),0)-Tabla3[[#This Row],[Accrued]]*Tabla3[[#This Row],[Valor Nominal]]</f>
        <v>0</v>
      </c>
      <c r="AJ220" s="605">
        <f>+IF(Tabla3[[#This Row],[Amortización k | cupón de intereses]]="Amortización de K",IF(Tabla3[[#This Row],[Precio Clean]]&gt;1,Tabla3[[#This Row],[Valor Nominal]]*(Tabla3[[#This Row],[Precio Clean]]-1),0),0)</f>
        <v>0</v>
      </c>
      <c r="AK220" s="605">
        <f>+IF(Tabla3[[#This Row],[Amortización k | cupón de intereses]]="Amortización de K",IF(Tabla3[[#This Row],[Precio Clean]]&lt;1,Tabla3[[#This Row],[Valor Nominal]]*(Tabla3[[#This Row],[Precio Clean]]-1),0),0)</f>
        <v>0</v>
      </c>
    </row>
    <row r="221" spans="1:37">
      <c r="A221" s="502"/>
      <c r="B221" s="437" t="str">
        <f t="shared" si="151"/>
        <v>Bancop S.A.</v>
      </c>
      <c r="C221" s="437" t="str">
        <f t="shared" si="139"/>
        <v>BCO_6,50%_02102028_AA4088-91_250K</v>
      </c>
      <c r="D221" s="437" t="s">
        <v>453</v>
      </c>
      <c r="E221" s="437" t="str">
        <f t="shared" si="152"/>
        <v>AA-py</v>
      </c>
      <c r="F221" s="437" t="s">
        <v>297</v>
      </c>
      <c r="G221" s="437" t="s">
        <v>298</v>
      </c>
      <c r="H221" s="437">
        <v>2</v>
      </c>
      <c r="I221" s="492">
        <v>1335.6164383561643</v>
      </c>
      <c r="J221" s="451"/>
      <c r="K221" s="450"/>
      <c r="L221" s="451"/>
      <c r="M221" s="493"/>
      <c r="N221" s="493"/>
      <c r="O221" s="494">
        <f t="shared" si="150"/>
        <v>6.5560713410377516E-2</v>
      </c>
      <c r="P221" s="494">
        <f t="shared" si="150"/>
        <v>6.3669465351994248E-2</v>
      </c>
      <c r="Q221" s="450">
        <f t="shared" si="150"/>
        <v>45933</v>
      </c>
      <c r="R221" s="450">
        <v>46863</v>
      </c>
      <c r="S221" s="509" t="s">
        <v>146</v>
      </c>
      <c r="T221" s="510">
        <f>Tabla3[[#This Row],[Cantidad]]*Tabla3[[#This Row],[Cortes]]</f>
        <v>2671.2328767123286</v>
      </c>
      <c r="U221" s="511">
        <f t="shared" si="144"/>
        <v>2344.059656970308</v>
      </c>
      <c r="V221" s="511">
        <f t="shared" si="145"/>
        <v>2343.6518828844969</v>
      </c>
      <c r="W221" s="497">
        <f>IF(Tabla3[[#This Row],[Fecha de operación]]=$C$1,0,U221-V221)</f>
        <v>0.40777408581107011</v>
      </c>
      <c r="X221" s="512" t="str">
        <f t="shared" si="121"/>
        <v>Vigente</v>
      </c>
      <c r="Y221" s="498" t="s">
        <v>450</v>
      </c>
      <c r="Z221" s="469">
        <f t="shared" si="122"/>
        <v>751</v>
      </c>
      <c r="AA221" s="499">
        <f t="shared" si="153"/>
        <v>2.2929492205809012</v>
      </c>
      <c r="AB221" s="499">
        <f t="shared" si="153"/>
        <v>2.2559734139672667</v>
      </c>
      <c r="AC221" s="469" t="s">
        <v>451</v>
      </c>
      <c r="AD221" s="469" t="s">
        <v>454</v>
      </c>
      <c r="AG221" s="605">
        <f>+IF(Tabla3[[#This Row],[Amortización k | cupón de intereses]]="Amortización de K",Tabla3[[#This Row],[Valor Nominal]],0)</f>
        <v>0</v>
      </c>
      <c r="AH221" s="605">
        <f>+IF(AND(Tabla3[[#This Row],[Amortización k | cupón de intereses]]="Cupón de interés",Tabla3[[#This Row],[Estado]]="Vigente"),Tabla3[[#This Row],[Valor Nominal]],0)</f>
        <v>2671.2328767123286</v>
      </c>
      <c r="AI221" s="618">
        <f>+IF(Tabla3[[#This Row],[Amortización k | cupón de intereses]]="Amortización de K",SUMIFS($AH$7:$AH$557,Tabla3[Código Emisión],Tabla3[[#This Row],[Código Emisión]],Tabla3[Fecha de operación],Tabla3[[#This Row],[Fecha de operación]]),0)-Tabla3[[#This Row],[Accrued]]*Tabla3[[#This Row],[Valor Nominal]]</f>
        <v>0</v>
      </c>
      <c r="AJ221" s="605">
        <f>+IF(Tabla3[[#This Row],[Amortización k | cupón de intereses]]="Amortización de K",IF(Tabla3[[#This Row],[Precio Clean]]&gt;1,Tabla3[[#This Row],[Valor Nominal]]*(Tabla3[[#This Row],[Precio Clean]]-1),0),0)</f>
        <v>0</v>
      </c>
      <c r="AK221" s="605">
        <f>+IF(Tabla3[[#This Row],[Amortización k | cupón de intereses]]="Amortización de K",IF(Tabla3[[#This Row],[Precio Clean]]&lt;1,Tabla3[[#This Row],[Valor Nominal]]*(Tabla3[[#This Row],[Precio Clean]]-1),0),0)</f>
        <v>0</v>
      </c>
    </row>
    <row r="222" spans="1:37">
      <c r="A222" s="502"/>
      <c r="B222" s="437" t="str">
        <f t="shared" si="151"/>
        <v>Bancop S.A.</v>
      </c>
      <c r="C222" s="437" t="str">
        <f t="shared" si="139"/>
        <v>BCO_6,50%_02102028_AA4088-91_250K</v>
      </c>
      <c r="D222" s="437" t="s">
        <v>453</v>
      </c>
      <c r="E222" s="437" t="str">
        <f t="shared" si="152"/>
        <v>AA-py</v>
      </c>
      <c r="F222" s="437" t="s">
        <v>297</v>
      </c>
      <c r="G222" s="437" t="s">
        <v>298</v>
      </c>
      <c r="H222" s="437">
        <v>2</v>
      </c>
      <c r="I222" s="492">
        <v>1291.0958904109589</v>
      </c>
      <c r="J222" s="451"/>
      <c r="K222" s="450"/>
      <c r="L222" s="451"/>
      <c r="M222" s="493"/>
      <c r="N222" s="493"/>
      <c r="O222" s="494">
        <f t="shared" si="150"/>
        <v>6.5560713410377516E-2</v>
      </c>
      <c r="P222" s="494">
        <f t="shared" si="150"/>
        <v>6.3669465351994248E-2</v>
      </c>
      <c r="Q222" s="450">
        <f t="shared" si="150"/>
        <v>45933</v>
      </c>
      <c r="R222" s="450">
        <v>46833</v>
      </c>
      <c r="S222" s="509" t="s">
        <v>146</v>
      </c>
      <c r="T222" s="510">
        <f>Tabla3[[#This Row],[Cantidad]]*Tabla3[[#This Row],[Cortes]]</f>
        <v>2582.1917808219177</v>
      </c>
      <c r="U222" s="511">
        <f t="shared" si="144"/>
        <v>2277.7817288294559</v>
      </c>
      <c r="V222" s="511">
        <f t="shared" si="145"/>
        <v>2277.3854844935286</v>
      </c>
      <c r="W222" s="497">
        <f>IF(Tabla3[[#This Row],[Fecha de operación]]=$C$1,0,U222-V222)</f>
        <v>0.39624433592734931</v>
      </c>
      <c r="X222" s="512" t="str">
        <f t="shared" si="121"/>
        <v>Vigente</v>
      </c>
      <c r="Y222" s="498" t="s">
        <v>450</v>
      </c>
      <c r="Z222" s="469">
        <f t="shared" si="122"/>
        <v>721</v>
      </c>
      <c r="AA222" s="499">
        <f t="shared" si="153"/>
        <v>2.2929492205809012</v>
      </c>
      <c r="AB222" s="499">
        <f t="shared" si="153"/>
        <v>2.2559734139672667</v>
      </c>
      <c r="AC222" s="469" t="s">
        <v>451</v>
      </c>
      <c r="AD222" s="469" t="s">
        <v>454</v>
      </c>
      <c r="AG222" s="605">
        <f>+IF(Tabla3[[#This Row],[Amortización k | cupón de intereses]]="Amortización de K",Tabla3[[#This Row],[Valor Nominal]],0)</f>
        <v>0</v>
      </c>
      <c r="AH222" s="605">
        <f>+IF(AND(Tabla3[[#This Row],[Amortización k | cupón de intereses]]="Cupón de interés",Tabla3[[#This Row],[Estado]]="Vigente"),Tabla3[[#This Row],[Valor Nominal]],0)</f>
        <v>2582.1917808219177</v>
      </c>
      <c r="AI222" s="618">
        <f>+IF(Tabla3[[#This Row],[Amortización k | cupón de intereses]]="Amortización de K",SUMIFS($AH$7:$AH$557,Tabla3[Código Emisión],Tabla3[[#This Row],[Código Emisión]],Tabla3[Fecha de operación],Tabla3[[#This Row],[Fecha de operación]]),0)-Tabla3[[#This Row],[Accrued]]*Tabla3[[#This Row],[Valor Nominal]]</f>
        <v>0</v>
      </c>
      <c r="AJ222" s="605">
        <f>+IF(Tabla3[[#This Row],[Amortización k | cupón de intereses]]="Amortización de K",IF(Tabla3[[#This Row],[Precio Clean]]&gt;1,Tabla3[[#This Row],[Valor Nominal]]*(Tabla3[[#This Row],[Precio Clean]]-1),0),0)</f>
        <v>0</v>
      </c>
      <c r="AK222" s="605">
        <f>+IF(Tabla3[[#This Row],[Amortización k | cupón de intereses]]="Amortización de K",IF(Tabla3[[#This Row],[Precio Clean]]&lt;1,Tabla3[[#This Row],[Valor Nominal]]*(Tabla3[[#This Row],[Precio Clean]]-1),0),0)</f>
        <v>0</v>
      </c>
    </row>
    <row r="223" spans="1:37">
      <c r="A223" s="502"/>
      <c r="B223" s="437" t="str">
        <f t="shared" si="151"/>
        <v>Bancop S.A.</v>
      </c>
      <c r="C223" s="437" t="str">
        <f t="shared" si="139"/>
        <v>BCO_6,50%_02102028_AA4088-91_250K</v>
      </c>
      <c r="D223" s="437" t="s">
        <v>453</v>
      </c>
      <c r="E223" s="437" t="str">
        <f t="shared" si="152"/>
        <v>AA-py</v>
      </c>
      <c r="F223" s="437" t="s">
        <v>297</v>
      </c>
      <c r="G223" s="437" t="s">
        <v>298</v>
      </c>
      <c r="H223" s="437">
        <v>2</v>
      </c>
      <c r="I223" s="492">
        <v>1380.1369863013699</v>
      </c>
      <c r="J223" s="451"/>
      <c r="K223" s="450"/>
      <c r="L223" s="451"/>
      <c r="M223" s="493"/>
      <c r="N223" s="493"/>
      <c r="O223" s="494">
        <f t="shared" si="150"/>
        <v>6.5560713410377516E-2</v>
      </c>
      <c r="P223" s="494">
        <f t="shared" si="150"/>
        <v>6.3669465351994248E-2</v>
      </c>
      <c r="Q223" s="450">
        <f t="shared" si="150"/>
        <v>45933</v>
      </c>
      <c r="R223" s="450">
        <v>46804</v>
      </c>
      <c r="S223" s="509" t="s">
        <v>146</v>
      </c>
      <c r="T223" s="510">
        <f>Tabla3[[#This Row],[Cantidad]]*Tabla3[[#This Row],[Cortes]]</f>
        <v>2760.2739726027398</v>
      </c>
      <c r="U223" s="511">
        <f t="shared" si="144"/>
        <v>2447.1858089076441</v>
      </c>
      <c r="V223" s="511">
        <f t="shared" si="145"/>
        <v>2446.760094931863</v>
      </c>
      <c r="W223" s="497">
        <f>IF(Tabla3[[#This Row],[Fecha de operación]]=$C$1,0,U223-V223)</f>
        <v>0.42571397578103642</v>
      </c>
      <c r="X223" s="512" t="str">
        <f t="shared" si="121"/>
        <v>Vigente</v>
      </c>
      <c r="Y223" s="498" t="s">
        <v>450</v>
      </c>
      <c r="Z223" s="469">
        <f t="shared" si="122"/>
        <v>692</v>
      </c>
      <c r="AA223" s="499">
        <f t="shared" si="153"/>
        <v>2.2929492205809012</v>
      </c>
      <c r="AB223" s="499">
        <f t="shared" si="153"/>
        <v>2.2559734139672667</v>
      </c>
      <c r="AC223" s="469" t="s">
        <v>451</v>
      </c>
      <c r="AD223" s="469" t="s">
        <v>454</v>
      </c>
      <c r="AG223" s="605">
        <f>+IF(Tabla3[[#This Row],[Amortización k | cupón de intereses]]="Amortización de K",Tabla3[[#This Row],[Valor Nominal]],0)</f>
        <v>0</v>
      </c>
      <c r="AH223" s="605">
        <f>+IF(AND(Tabla3[[#This Row],[Amortización k | cupón de intereses]]="Cupón de interés",Tabla3[[#This Row],[Estado]]="Vigente"),Tabla3[[#This Row],[Valor Nominal]],0)</f>
        <v>2760.2739726027398</v>
      </c>
      <c r="AI223" s="618">
        <f>+IF(Tabla3[[#This Row],[Amortización k | cupón de intereses]]="Amortización de K",SUMIFS($AH$7:$AH$557,Tabla3[Código Emisión],Tabla3[[#This Row],[Código Emisión]],Tabla3[Fecha de operación],Tabla3[[#This Row],[Fecha de operación]]),0)-Tabla3[[#This Row],[Accrued]]*Tabla3[[#This Row],[Valor Nominal]]</f>
        <v>0</v>
      </c>
      <c r="AJ223" s="605">
        <f>+IF(Tabla3[[#This Row],[Amortización k | cupón de intereses]]="Amortización de K",IF(Tabla3[[#This Row],[Precio Clean]]&gt;1,Tabla3[[#This Row],[Valor Nominal]]*(Tabla3[[#This Row],[Precio Clean]]-1),0),0)</f>
        <v>0</v>
      </c>
      <c r="AK223" s="605">
        <f>+IF(Tabla3[[#This Row],[Amortización k | cupón de intereses]]="Amortización de K",IF(Tabla3[[#This Row],[Precio Clean]]&lt;1,Tabla3[[#This Row],[Valor Nominal]]*(Tabla3[[#This Row],[Precio Clean]]-1),0),0)</f>
        <v>0</v>
      </c>
    </row>
    <row r="224" spans="1:37">
      <c r="A224" s="502"/>
      <c r="B224" s="437" t="str">
        <f t="shared" si="151"/>
        <v>Bancop S.A.</v>
      </c>
      <c r="C224" s="437" t="str">
        <f t="shared" si="139"/>
        <v>BCO_6,50%_02102028_AA4088-91_250K</v>
      </c>
      <c r="D224" s="437" t="s">
        <v>453</v>
      </c>
      <c r="E224" s="437" t="str">
        <f t="shared" si="152"/>
        <v>AA-py</v>
      </c>
      <c r="F224" s="437" t="s">
        <v>297</v>
      </c>
      <c r="G224" s="437" t="s">
        <v>298</v>
      </c>
      <c r="H224" s="437">
        <v>2</v>
      </c>
      <c r="I224" s="492">
        <v>1335.6164383561643</v>
      </c>
      <c r="J224" s="451"/>
      <c r="K224" s="450"/>
      <c r="L224" s="451"/>
      <c r="M224" s="493"/>
      <c r="N224" s="493"/>
      <c r="O224" s="494">
        <f t="shared" si="150"/>
        <v>6.5560713410377516E-2</v>
      </c>
      <c r="P224" s="494">
        <f t="shared" si="150"/>
        <v>6.3669465351994248E-2</v>
      </c>
      <c r="Q224" s="450">
        <f t="shared" si="150"/>
        <v>45933</v>
      </c>
      <c r="R224" s="450">
        <v>46773</v>
      </c>
      <c r="S224" s="509" t="s">
        <v>146</v>
      </c>
      <c r="T224" s="510">
        <f>Tabla3[[#This Row],[Cantidad]]*Tabla3[[#This Row],[Cortes]]</f>
        <v>2671.2328767123286</v>
      </c>
      <c r="U224" s="511">
        <f t="shared" si="144"/>
        <v>2381.051366183267</v>
      </c>
      <c r="V224" s="511">
        <f t="shared" si="145"/>
        <v>2380.6371569965568</v>
      </c>
      <c r="W224" s="497">
        <f>IF(Tabla3[[#This Row],[Fecha de operación]]=$C$1,0,U224-V224)</f>
        <v>0.41420918671019535</v>
      </c>
      <c r="X224" s="512" t="str">
        <f t="shared" si="121"/>
        <v>Vigente</v>
      </c>
      <c r="Y224" s="498" t="s">
        <v>450</v>
      </c>
      <c r="Z224" s="469">
        <f t="shared" si="122"/>
        <v>661</v>
      </c>
      <c r="AA224" s="499">
        <f t="shared" si="153"/>
        <v>2.2929492205809012</v>
      </c>
      <c r="AB224" s="499">
        <f t="shared" si="153"/>
        <v>2.2559734139672667</v>
      </c>
      <c r="AC224" s="469" t="s">
        <v>451</v>
      </c>
      <c r="AD224" s="469" t="s">
        <v>454</v>
      </c>
      <c r="AG224" s="605">
        <f>+IF(Tabla3[[#This Row],[Amortización k | cupón de intereses]]="Amortización de K",Tabla3[[#This Row],[Valor Nominal]],0)</f>
        <v>0</v>
      </c>
      <c r="AH224" s="605">
        <f>+IF(AND(Tabla3[[#This Row],[Amortización k | cupón de intereses]]="Cupón de interés",Tabla3[[#This Row],[Estado]]="Vigente"),Tabla3[[#This Row],[Valor Nominal]],0)</f>
        <v>2671.2328767123286</v>
      </c>
      <c r="AI224" s="618">
        <f>+IF(Tabla3[[#This Row],[Amortización k | cupón de intereses]]="Amortización de K",SUMIFS($AH$7:$AH$557,Tabla3[Código Emisión],Tabla3[[#This Row],[Código Emisión]],Tabla3[Fecha de operación],Tabla3[[#This Row],[Fecha de operación]]),0)-Tabla3[[#This Row],[Accrued]]*Tabla3[[#This Row],[Valor Nominal]]</f>
        <v>0</v>
      </c>
      <c r="AJ224" s="605">
        <f>+IF(Tabla3[[#This Row],[Amortización k | cupón de intereses]]="Amortización de K",IF(Tabla3[[#This Row],[Precio Clean]]&gt;1,Tabla3[[#This Row],[Valor Nominal]]*(Tabla3[[#This Row],[Precio Clean]]-1),0),0)</f>
        <v>0</v>
      </c>
      <c r="AK224" s="605">
        <f>+IF(Tabla3[[#This Row],[Amortización k | cupón de intereses]]="Amortización de K",IF(Tabla3[[#This Row],[Precio Clean]]&lt;1,Tabla3[[#This Row],[Valor Nominal]]*(Tabla3[[#This Row],[Precio Clean]]-1),0),0)</f>
        <v>0</v>
      </c>
    </row>
    <row r="225" spans="1:37">
      <c r="A225" s="502"/>
      <c r="B225" s="437" t="str">
        <f t="shared" si="151"/>
        <v>Bancop S.A.</v>
      </c>
      <c r="C225" s="437" t="str">
        <f t="shared" si="139"/>
        <v>BCO_6,50%_02102028_AA4088-91_250K</v>
      </c>
      <c r="D225" s="437" t="s">
        <v>453</v>
      </c>
      <c r="E225" s="437" t="str">
        <f t="shared" si="152"/>
        <v>AA-py</v>
      </c>
      <c r="F225" s="437" t="s">
        <v>297</v>
      </c>
      <c r="G225" s="437" t="s">
        <v>298</v>
      </c>
      <c r="H225" s="437">
        <v>2</v>
      </c>
      <c r="I225" s="492">
        <v>1335.6164383561643</v>
      </c>
      <c r="J225" s="451"/>
      <c r="K225" s="450"/>
      <c r="L225" s="451"/>
      <c r="M225" s="493"/>
      <c r="N225" s="493"/>
      <c r="O225" s="494">
        <f t="shared" si="150"/>
        <v>6.5560713410377516E-2</v>
      </c>
      <c r="P225" s="494">
        <f t="shared" si="150"/>
        <v>6.3669465351994248E-2</v>
      </c>
      <c r="Q225" s="450">
        <f t="shared" si="150"/>
        <v>45933</v>
      </c>
      <c r="R225" s="450">
        <v>46743</v>
      </c>
      <c r="S225" s="509" t="s">
        <v>146</v>
      </c>
      <c r="T225" s="510">
        <f>Tabla3[[#This Row],[Cantidad]]*Tabla3[[#This Row],[Cortes]]</f>
        <v>2671.2328767123286</v>
      </c>
      <c r="U225" s="511">
        <f t="shared" si="144"/>
        <v>2393.5112101287386</v>
      </c>
      <c r="V225" s="511">
        <f t="shared" si="145"/>
        <v>2393.0948334197733</v>
      </c>
      <c r="W225" s="497">
        <f>IF(Tabla3[[#This Row],[Fecha de operación]]=$C$1,0,U225-V225)</f>
        <v>0.41637670896534473</v>
      </c>
      <c r="X225" s="512" t="str">
        <f t="shared" si="121"/>
        <v>Vigente</v>
      </c>
      <c r="Y225" s="498" t="s">
        <v>450</v>
      </c>
      <c r="Z225" s="469">
        <f t="shared" si="122"/>
        <v>631</v>
      </c>
      <c r="AA225" s="499">
        <f t="shared" si="153"/>
        <v>2.2929492205809012</v>
      </c>
      <c r="AB225" s="499">
        <f t="shared" si="153"/>
        <v>2.2559734139672667</v>
      </c>
      <c r="AC225" s="469" t="s">
        <v>451</v>
      </c>
      <c r="AD225" s="469" t="s">
        <v>454</v>
      </c>
      <c r="AG225" s="605">
        <f>+IF(Tabla3[[#This Row],[Amortización k | cupón de intereses]]="Amortización de K",Tabla3[[#This Row],[Valor Nominal]],0)</f>
        <v>0</v>
      </c>
      <c r="AH225" s="605">
        <f>+IF(AND(Tabla3[[#This Row],[Amortización k | cupón de intereses]]="Cupón de interés",Tabla3[[#This Row],[Estado]]="Vigente"),Tabla3[[#This Row],[Valor Nominal]],0)</f>
        <v>2671.2328767123286</v>
      </c>
      <c r="AI225" s="618">
        <f>+IF(Tabla3[[#This Row],[Amortización k | cupón de intereses]]="Amortización de K",SUMIFS($AH$7:$AH$557,Tabla3[Código Emisión],Tabla3[[#This Row],[Código Emisión]],Tabla3[Fecha de operación],Tabla3[[#This Row],[Fecha de operación]]),0)-Tabla3[[#This Row],[Accrued]]*Tabla3[[#This Row],[Valor Nominal]]</f>
        <v>0</v>
      </c>
      <c r="AJ225" s="605">
        <f>+IF(Tabla3[[#This Row],[Amortización k | cupón de intereses]]="Amortización de K",IF(Tabla3[[#This Row],[Precio Clean]]&gt;1,Tabla3[[#This Row],[Valor Nominal]]*(Tabla3[[#This Row],[Precio Clean]]-1),0),0)</f>
        <v>0</v>
      </c>
      <c r="AK225" s="605">
        <f>+IF(Tabla3[[#This Row],[Amortización k | cupón de intereses]]="Amortización de K",IF(Tabla3[[#This Row],[Precio Clean]]&lt;1,Tabla3[[#This Row],[Valor Nominal]]*(Tabla3[[#This Row],[Precio Clean]]-1),0),0)</f>
        <v>0</v>
      </c>
    </row>
    <row r="226" spans="1:37">
      <c r="A226" s="502"/>
      <c r="B226" s="437" t="str">
        <f t="shared" si="151"/>
        <v>Bancop S.A.</v>
      </c>
      <c r="C226" s="437" t="str">
        <f t="shared" si="139"/>
        <v>BCO_6,50%_02102028_AA4088-91_250K</v>
      </c>
      <c r="D226" s="437" t="s">
        <v>453</v>
      </c>
      <c r="E226" s="437" t="str">
        <f t="shared" si="152"/>
        <v>AA-py</v>
      </c>
      <c r="F226" s="437" t="s">
        <v>297</v>
      </c>
      <c r="G226" s="437" t="s">
        <v>298</v>
      </c>
      <c r="H226" s="437">
        <v>2</v>
      </c>
      <c r="I226" s="492">
        <v>1246.5753424657535</v>
      </c>
      <c r="J226" s="451"/>
      <c r="K226" s="450"/>
      <c r="L226" s="451"/>
      <c r="M226" s="493"/>
      <c r="N226" s="493"/>
      <c r="O226" s="494">
        <f t="shared" si="150"/>
        <v>6.5560713410377516E-2</v>
      </c>
      <c r="P226" s="494">
        <f t="shared" si="150"/>
        <v>6.3669465351994248E-2</v>
      </c>
      <c r="Q226" s="450">
        <f t="shared" si="150"/>
        <v>45933</v>
      </c>
      <c r="R226" s="450">
        <v>46713</v>
      </c>
      <c r="S226" s="509" t="s">
        <v>146</v>
      </c>
      <c r="T226" s="510">
        <f>Tabla3[[#This Row],[Cantidad]]*Tabla3[[#This Row],[Cortes]]</f>
        <v>2493.1506849315069</v>
      </c>
      <c r="U226" s="511">
        <f t="shared" si="144"/>
        <v>2245.6338383754101</v>
      </c>
      <c r="V226" s="511">
        <f t="shared" si="145"/>
        <v>2245.2431865066378</v>
      </c>
      <c r="W226" s="497">
        <f>IF(Tabla3[[#This Row],[Fecha de operación]]=$C$1,0,U226-V226)</f>
        <v>0.39065186877223823</v>
      </c>
      <c r="X226" s="512" t="str">
        <f t="shared" si="121"/>
        <v>Vigente</v>
      </c>
      <c r="Y226" s="498" t="s">
        <v>450</v>
      </c>
      <c r="Z226" s="469">
        <f t="shared" si="122"/>
        <v>601</v>
      </c>
      <c r="AA226" s="499">
        <f t="shared" si="153"/>
        <v>2.2929492205809012</v>
      </c>
      <c r="AB226" s="499">
        <f t="shared" si="153"/>
        <v>2.2559734139672667</v>
      </c>
      <c r="AC226" s="469" t="s">
        <v>451</v>
      </c>
      <c r="AD226" s="469" t="s">
        <v>454</v>
      </c>
      <c r="AG226" s="605">
        <f>+IF(Tabla3[[#This Row],[Amortización k | cupón de intereses]]="Amortización de K",Tabla3[[#This Row],[Valor Nominal]],0)</f>
        <v>0</v>
      </c>
      <c r="AH226" s="605">
        <f>+IF(AND(Tabla3[[#This Row],[Amortización k | cupón de intereses]]="Cupón de interés",Tabla3[[#This Row],[Estado]]="Vigente"),Tabla3[[#This Row],[Valor Nominal]],0)</f>
        <v>2493.1506849315069</v>
      </c>
      <c r="AI226" s="618">
        <f>+IF(Tabla3[[#This Row],[Amortización k | cupón de intereses]]="Amortización de K",SUMIFS($AH$7:$AH$557,Tabla3[Código Emisión],Tabla3[[#This Row],[Código Emisión]],Tabla3[Fecha de operación],Tabla3[[#This Row],[Fecha de operación]]),0)-Tabla3[[#This Row],[Accrued]]*Tabla3[[#This Row],[Valor Nominal]]</f>
        <v>0</v>
      </c>
      <c r="AJ226" s="605">
        <f>+IF(Tabla3[[#This Row],[Amortización k | cupón de intereses]]="Amortización de K",IF(Tabla3[[#This Row],[Precio Clean]]&gt;1,Tabla3[[#This Row],[Valor Nominal]]*(Tabla3[[#This Row],[Precio Clean]]-1),0),0)</f>
        <v>0</v>
      </c>
      <c r="AK226" s="605">
        <f>+IF(Tabla3[[#This Row],[Amortización k | cupón de intereses]]="Amortización de K",IF(Tabla3[[#This Row],[Precio Clean]]&lt;1,Tabla3[[#This Row],[Valor Nominal]]*(Tabla3[[#This Row],[Precio Clean]]-1),0),0)</f>
        <v>0</v>
      </c>
    </row>
    <row r="227" spans="1:37">
      <c r="A227" s="502"/>
      <c r="B227" s="437" t="str">
        <f t="shared" si="151"/>
        <v>Bancop S.A.</v>
      </c>
      <c r="C227" s="437" t="str">
        <f t="shared" si="139"/>
        <v>BCO_6,50%_02102028_AA4088-91_250K</v>
      </c>
      <c r="D227" s="437" t="s">
        <v>453</v>
      </c>
      <c r="E227" s="437" t="str">
        <f t="shared" si="152"/>
        <v>AA-py</v>
      </c>
      <c r="F227" s="437" t="s">
        <v>297</v>
      </c>
      <c r="G227" s="437" t="s">
        <v>298</v>
      </c>
      <c r="H227" s="437">
        <v>2</v>
      </c>
      <c r="I227" s="492">
        <v>1424.6575342465753</v>
      </c>
      <c r="J227" s="451"/>
      <c r="K227" s="450"/>
      <c r="L227" s="451"/>
      <c r="M227" s="493"/>
      <c r="N227" s="493"/>
      <c r="O227" s="494">
        <f t="shared" si="150"/>
        <v>6.5560713410377516E-2</v>
      </c>
      <c r="P227" s="494">
        <f t="shared" si="150"/>
        <v>6.3669465351994248E-2</v>
      </c>
      <c r="Q227" s="450">
        <f t="shared" si="150"/>
        <v>45933</v>
      </c>
      <c r="R227" s="450">
        <v>46685</v>
      </c>
      <c r="S227" s="509" t="s">
        <v>146</v>
      </c>
      <c r="T227" s="510">
        <f>Tabla3[[#This Row],[Cantidad]]*Tabla3[[#This Row],[Cortes]]</f>
        <v>2849.3150684931506</v>
      </c>
      <c r="U227" s="511">
        <f t="shared" si="144"/>
        <v>2578.9711196902649</v>
      </c>
      <c r="V227" s="511">
        <f t="shared" si="145"/>
        <v>2578.5224802592952</v>
      </c>
      <c r="W227" s="497">
        <f>IF(Tabla3[[#This Row],[Fecha de operación]]=$C$1,0,U227-V227)</f>
        <v>0.44863943096970615</v>
      </c>
      <c r="X227" s="512" t="str">
        <f t="shared" si="121"/>
        <v>Vigente</v>
      </c>
      <c r="Y227" s="498" t="s">
        <v>450</v>
      </c>
      <c r="Z227" s="469">
        <f t="shared" si="122"/>
        <v>573</v>
      </c>
      <c r="AA227" s="499">
        <f t="shared" si="153"/>
        <v>2.2929492205809012</v>
      </c>
      <c r="AB227" s="499">
        <f t="shared" si="153"/>
        <v>2.2559734139672667</v>
      </c>
      <c r="AC227" s="469" t="s">
        <v>451</v>
      </c>
      <c r="AD227" s="469" t="s">
        <v>454</v>
      </c>
      <c r="AG227" s="605">
        <f>+IF(Tabla3[[#This Row],[Amortización k | cupón de intereses]]="Amortización de K",Tabla3[[#This Row],[Valor Nominal]],0)</f>
        <v>0</v>
      </c>
      <c r="AH227" s="605">
        <f>+IF(AND(Tabla3[[#This Row],[Amortización k | cupón de intereses]]="Cupón de interés",Tabla3[[#This Row],[Estado]]="Vigente"),Tabla3[[#This Row],[Valor Nominal]],0)</f>
        <v>2849.3150684931506</v>
      </c>
      <c r="AI227" s="618">
        <f>+IF(Tabla3[[#This Row],[Amortización k | cupón de intereses]]="Amortización de K",SUMIFS($AH$7:$AH$557,Tabla3[Código Emisión],Tabla3[[#This Row],[Código Emisión]],Tabla3[Fecha de operación],Tabla3[[#This Row],[Fecha de operación]]),0)-Tabla3[[#This Row],[Accrued]]*Tabla3[[#This Row],[Valor Nominal]]</f>
        <v>0</v>
      </c>
      <c r="AJ227" s="605">
        <f>+IF(Tabla3[[#This Row],[Amortización k | cupón de intereses]]="Amortización de K",IF(Tabla3[[#This Row],[Precio Clean]]&gt;1,Tabla3[[#This Row],[Valor Nominal]]*(Tabla3[[#This Row],[Precio Clean]]-1),0),0)</f>
        <v>0</v>
      </c>
      <c r="AK227" s="605">
        <f>+IF(Tabla3[[#This Row],[Amortización k | cupón de intereses]]="Amortización de K",IF(Tabla3[[#This Row],[Precio Clean]]&lt;1,Tabla3[[#This Row],[Valor Nominal]]*(Tabla3[[#This Row],[Precio Clean]]-1),0),0)</f>
        <v>0</v>
      </c>
    </row>
    <row r="228" spans="1:37">
      <c r="A228" s="502"/>
      <c r="B228" s="437" t="str">
        <f t="shared" si="151"/>
        <v>Bancop S.A.</v>
      </c>
      <c r="C228" s="437" t="str">
        <f t="shared" si="139"/>
        <v>BCO_6,50%_02102028_AA4088-91_250K</v>
      </c>
      <c r="D228" s="437" t="s">
        <v>453</v>
      </c>
      <c r="E228" s="437" t="str">
        <f t="shared" si="152"/>
        <v>AA-py</v>
      </c>
      <c r="F228" s="437" t="s">
        <v>297</v>
      </c>
      <c r="G228" s="437" t="s">
        <v>298</v>
      </c>
      <c r="H228" s="437">
        <v>2</v>
      </c>
      <c r="I228" s="492">
        <v>1335.6164383561643</v>
      </c>
      <c r="J228" s="451"/>
      <c r="K228" s="450"/>
      <c r="L228" s="451"/>
      <c r="M228" s="493"/>
      <c r="N228" s="493"/>
      <c r="O228" s="494">
        <f t="shared" si="150"/>
        <v>6.5560713410377516E-2</v>
      </c>
      <c r="P228" s="494">
        <f t="shared" si="150"/>
        <v>6.3669465351994248E-2</v>
      </c>
      <c r="Q228" s="450">
        <f t="shared" si="150"/>
        <v>45933</v>
      </c>
      <c r="R228" s="450">
        <v>46653</v>
      </c>
      <c r="S228" s="509" t="s">
        <v>146</v>
      </c>
      <c r="T228" s="510">
        <f>Tabla3[[#This Row],[Cantidad]]*Tabla3[[#This Row],[Cortes]]</f>
        <v>2671.2328767123286</v>
      </c>
      <c r="U228" s="511">
        <f t="shared" si="144"/>
        <v>2431.2833164912017</v>
      </c>
      <c r="V228" s="511">
        <f t="shared" si="145"/>
        <v>2430.8603689229599</v>
      </c>
      <c r="W228" s="497">
        <f>IF(Tabla3[[#This Row],[Fecha de operación]]=$C$1,0,U228-V228)</f>
        <v>0.42294756824185242</v>
      </c>
      <c r="X228" s="512" t="str">
        <f t="shared" si="121"/>
        <v>Vigente</v>
      </c>
      <c r="Y228" s="498" t="s">
        <v>450</v>
      </c>
      <c r="Z228" s="469">
        <f t="shared" si="122"/>
        <v>541</v>
      </c>
      <c r="AA228" s="499">
        <f t="shared" si="153"/>
        <v>2.2929492205809012</v>
      </c>
      <c r="AB228" s="499">
        <f t="shared" si="153"/>
        <v>2.2559734139672667</v>
      </c>
      <c r="AC228" s="469" t="s">
        <v>451</v>
      </c>
      <c r="AD228" s="469" t="s">
        <v>454</v>
      </c>
      <c r="AG228" s="605">
        <f>+IF(Tabla3[[#This Row],[Amortización k | cupón de intereses]]="Amortización de K",Tabla3[[#This Row],[Valor Nominal]],0)</f>
        <v>0</v>
      </c>
      <c r="AH228" s="605">
        <f>+IF(AND(Tabla3[[#This Row],[Amortización k | cupón de intereses]]="Cupón de interés",Tabla3[[#This Row],[Estado]]="Vigente"),Tabla3[[#This Row],[Valor Nominal]],0)</f>
        <v>2671.2328767123286</v>
      </c>
      <c r="AI228" s="618">
        <f>+IF(Tabla3[[#This Row],[Amortización k | cupón de intereses]]="Amortización de K",SUMIFS($AH$7:$AH$557,Tabla3[Código Emisión],Tabla3[[#This Row],[Código Emisión]],Tabla3[Fecha de operación],Tabla3[[#This Row],[Fecha de operación]]),0)-Tabla3[[#This Row],[Accrued]]*Tabla3[[#This Row],[Valor Nominal]]</f>
        <v>0</v>
      </c>
      <c r="AJ228" s="605">
        <f>+IF(Tabla3[[#This Row],[Amortización k | cupón de intereses]]="Amortización de K",IF(Tabla3[[#This Row],[Precio Clean]]&gt;1,Tabla3[[#This Row],[Valor Nominal]]*(Tabla3[[#This Row],[Precio Clean]]-1),0),0)</f>
        <v>0</v>
      </c>
      <c r="AK228" s="605">
        <f>+IF(Tabla3[[#This Row],[Amortización k | cupón de intereses]]="Amortización de K",IF(Tabla3[[#This Row],[Precio Clean]]&lt;1,Tabla3[[#This Row],[Valor Nominal]]*(Tabla3[[#This Row],[Precio Clean]]-1),0),0)</f>
        <v>0</v>
      </c>
    </row>
    <row r="229" spans="1:37">
      <c r="A229" s="502"/>
      <c r="B229" s="437" t="str">
        <f t="shared" si="151"/>
        <v>Bancop S.A.</v>
      </c>
      <c r="C229" s="437" t="str">
        <f t="shared" si="139"/>
        <v>BCO_6,50%_02102028_AA4088-91_250K</v>
      </c>
      <c r="D229" s="437" t="s">
        <v>453</v>
      </c>
      <c r="E229" s="437" t="str">
        <f t="shared" si="152"/>
        <v>AA-py</v>
      </c>
      <c r="F229" s="437" t="s">
        <v>297</v>
      </c>
      <c r="G229" s="437" t="s">
        <v>298</v>
      </c>
      <c r="H229" s="437">
        <v>2</v>
      </c>
      <c r="I229" s="492">
        <v>1291.0958904109589</v>
      </c>
      <c r="J229" s="451"/>
      <c r="K229" s="450"/>
      <c r="L229" s="451"/>
      <c r="M229" s="493"/>
      <c r="N229" s="493"/>
      <c r="O229" s="494">
        <f t="shared" si="150"/>
        <v>6.5560713410377516E-2</v>
      </c>
      <c r="P229" s="494">
        <f t="shared" si="150"/>
        <v>6.3669465351994248E-2</v>
      </c>
      <c r="Q229" s="450">
        <f t="shared" si="150"/>
        <v>45933</v>
      </c>
      <c r="R229" s="450">
        <v>46623</v>
      </c>
      <c r="S229" s="509" t="s">
        <v>146</v>
      </c>
      <c r="T229" s="510">
        <f>Tabla3[[#This Row],[Cantidad]]*Tabla3[[#This Row],[Cortes]]</f>
        <v>2582.1917808219177</v>
      </c>
      <c r="U229" s="511">
        <f t="shared" si="144"/>
        <v>2362.5391527233182</v>
      </c>
      <c r="V229" s="511">
        <f t="shared" si="145"/>
        <v>2362.128163932854</v>
      </c>
      <c r="W229" s="497">
        <f>IF(Tabla3[[#This Row],[Fecha de operación]]=$C$1,0,U229-V229)</f>
        <v>0.41098879046421644</v>
      </c>
      <c r="X229" s="512" t="str">
        <f t="shared" ref="X229:X292" si="154">IF(R229&lt;=$U$5,"Vencido","Vigente")</f>
        <v>Vigente</v>
      </c>
      <c r="Y229" s="498" t="s">
        <v>450</v>
      </c>
      <c r="Z229" s="469">
        <f t="shared" ref="Z229:Z292" si="155">+R229-$U$5</f>
        <v>511</v>
      </c>
      <c r="AA229" s="499">
        <f t="shared" si="153"/>
        <v>2.2929492205809012</v>
      </c>
      <c r="AB229" s="499">
        <f t="shared" si="153"/>
        <v>2.2559734139672667</v>
      </c>
      <c r="AC229" s="469" t="s">
        <v>451</v>
      </c>
      <c r="AD229" s="469" t="s">
        <v>454</v>
      </c>
      <c r="AG229" s="605">
        <f>+IF(Tabla3[[#This Row],[Amortización k | cupón de intereses]]="Amortización de K",Tabla3[[#This Row],[Valor Nominal]],0)</f>
        <v>0</v>
      </c>
      <c r="AH229" s="605">
        <f>+IF(AND(Tabla3[[#This Row],[Amortización k | cupón de intereses]]="Cupón de interés",Tabla3[[#This Row],[Estado]]="Vigente"),Tabla3[[#This Row],[Valor Nominal]],0)</f>
        <v>2582.1917808219177</v>
      </c>
      <c r="AI229" s="618">
        <f>+IF(Tabla3[[#This Row],[Amortización k | cupón de intereses]]="Amortización de K",SUMIFS($AH$7:$AH$557,Tabla3[Código Emisión],Tabla3[[#This Row],[Código Emisión]],Tabla3[Fecha de operación],Tabla3[[#This Row],[Fecha de operación]]),0)-Tabla3[[#This Row],[Accrued]]*Tabla3[[#This Row],[Valor Nominal]]</f>
        <v>0</v>
      </c>
      <c r="AJ229" s="605">
        <f>+IF(Tabla3[[#This Row],[Amortización k | cupón de intereses]]="Amortización de K",IF(Tabla3[[#This Row],[Precio Clean]]&gt;1,Tabla3[[#This Row],[Valor Nominal]]*(Tabla3[[#This Row],[Precio Clean]]-1),0),0)</f>
        <v>0</v>
      </c>
      <c r="AK229" s="605">
        <f>+IF(Tabla3[[#This Row],[Amortización k | cupón de intereses]]="Amortización de K",IF(Tabla3[[#This Row],[Precio Clean]]&lt;1,Tabla3[[#This Row],[Valor Nominal]]*(Tabla3[[#This Row],[Precio Clean]]-1),0),0)</f>
        <v>0</v>
      </c>
    </row>
    <row r="230" spans="1:37">
      <c r="A230" s="502"/>
      <c r="B230" s="437" t="str">
        <f t="shared" si="151"/>
        <v>Bancop S.A.</v>
      </c>
      <c r="C230" s="437" t="str">
        <f t="shared" si="139"/>
        <v>BCO_6,50%_02102028_AA4088-91_250K</v>
      </c>
      <c r="D230" s="437" t="s">
        <v>453</v>
      </c>
      <c r="E230" s="437" t="str">
        <f t="shared" si="152"/>
        <v>AA-py</v>
      </c>
      <c r="F230" s="437" t="s">
        <v>297</v>
      </c>
      <c r="G230" s="437" t="s">
        <v>298</v>
      </c>
      <c r="H230" s="437">
        <v>2</v>
      </c>
      <c r="I230" s="492">
        <v>1380.1369863013699</v>
      </c>
      <c r="J230" s="451"/>
      <c r="K230" s="450"/>
      <c r="L230" s="451"/>
      <c r="M230" s="493"/>
      <c r="N230" s="493"/>
      <c r="O230" s="494">
        <f t="shared" si="150"/>
        <v>6.5560713410377516E-2</v>
      </c>
      <c r="P230" s="494">
        <f t="shared" si="150"/>
        <v>6.3669465351994248E-2</v>
      </c>
      <c r="Q230" s="450">
        <f t="shared" si="150"/>
        <v>45933</v>
      </c>
      <c r="R230" s="450">
        <v>46594</v>
      </c>
      <c r="S230" s="509" t="s">
        <v>146</v>
      </c>
      <c r="T230" s="510">
        <f>Tabla3[[#This Row],[Cantidad]]*Tabla3[[#This Row],[Cortes]]</f>
        <v>2760.2739726027398</v>
      </c>
      <c r="U230" s="511">
        <f t="shared" si="144"/>
        <v>2538.2468453218835</v>
      </c>
      <c r="V230" s="511">
        <f t="shared" si="145"/>
        <v>2537.8052903111848</v>
      </c>
      <c r="W230" s="497">
        <f>IF(Tabla3[[#This Row],[Fecha de operación]]=$C$1,0,U230-V230)</f>
        <v>0.44155501069872116</v>
      </c>
      <c r="X230" s="512" t="str">
        <f t="shared" si="154"/>
        <v>Vigente</v>
      </c>
      <c r="Y230" s="498" t="s">
        <v>450</v>
      </c>
      <c r="Z230" s="469">
        <f t="shared" si="155"/>
        <v>482</v>
      </c>
      <c r="AA230" s="499">
        <f t="shared" si="153"/>
        <v>2.2929492205809012</v>
      </c>
      <c r="AB230" s="499">
        <f t="shared" si="153"/>
        <v>2.2559734139672667</v>
      </c>
      <c r="AC230" s="469" t="s">
        <v>451</v>
      </c>
      <c r="AD230" s="469" t="s">
        <v>454</v>
      </c>
      <c r="AG230" s="605">
        <f>+IF(Tabla3[[#This Row],[Amortización k | cupón de intereses]]="Amortización de K",Tabla3[[#This Row],[Valor Nominal]],0)</f>
        <v>0</v>
      </c>
      <c r="AH230" s="605">
        <f>+IF(AND(Tabla3[[#This Row],[Amortización k | cupón de intereses]]="Cupón de interés",Tabla3[[#This Row],[Estado]]="Vigente"),Tabla3[[#This Row],[Valor Nominal]],0)</f>
        <v>2760.2739726027398</v>
      </c>
      <c r="AI230" s="618">
        <f>+IF(Tabla3[[#This Row],[Amortización k | cupón de intereses]]="Amortización de K",SUMIFS($AH$7:$AH$557,Tabla3[Código Emisión],Tabla3[[#This Row],[Código Emisión]],Tabla3[Fecha de operación],Tabla3[[#This Row],[Fecha de operación]]),0)-Tabla3[[#This Row],[Accrued]]*Tabla3[[#This Row],[Valor Nominal]]</f>
        <v>0</v>
      </c>
      <c r="AJ230" s="605">
        <f>+IF(Tabla3[[#This Row],[Amortización k | cupón de intereses]]="Amortización de K",IF(Tabla3[[#This Row],[Precio Clean]]&gt;1,Tabla3[[#This Row],[Valor Nominal]]*(Tabla3[[#This Row],[Precio Clean]]-1),0),0)</f>
        <v>0</v>
      </c>
      <c r="AK230" s="605">
        <f>+IF(Tabla3[[#This Row],[Amortización k | cupón de intereses]]="Amortización de K",IF(Tabla3[[#This Row],[Precio Clean]]&lt;1,Tabla3[[#This Row],[Valor Nominal]]*(Tabla3[[#This Row],[Precio Clean]]-1),0),0)</f>
        <v>0</v>
      </c>
    </row>
    <row r="231" spans="1:37">
      <c r="A231" s="502"/>
      <c r="B231" s="437" t="str">
        <f t="shared" si="151"/>
        <v>Bancop S.A.</v>
      </c>
      <c r="C231" s="437" t="str">
        <f t="shared" si="139"/>
        <v>BCO_6,50%_02102028_AA4088-91_250K</v>
      </c>
      <c r="D231" s="437" t="s">
        <v>453</v>
      </c>
      <c r="E231" s="437" t="str">
        <f t="shared" si="152"/>
        <v>AA-py</v>
      </c>
      <c r="F231" s="437" t="s">
        <v>297</v>
      </c>
      <c r="G231" s="437" t="s">
        <v>298</v>
      </c>
      <c r="H231" s="437">
        <v>2</v>
      </c>
      <c r="I231" s="492">
        <v>1335.6164383561643</v>
      </c>
      <c r="J231" s="451"/>
      <c r="K231" s="450"/>
      <c r="L231" s="451"/>
      <c r="M231" s="493"/>
      <c r="N231" s="493"/>
      <c r="O231" s="494">
        <f t="shared" si="150"/>
        <v>6.5560713410377516E-2</v>
      </c>
      <c r="P231" s="494">
        <f t="shared" si="150"/>
        <v>6.3669465351994248E-2</v>
      </c>
      <c r="Q231" s="450">
        <f t="shared" si="150"/>
        <v>45933</v>
      </c>
      <c r="R231" s="450">
        <v>46563</v>
      </c>
      <c r="S231" s="509" t="s">
        <v>146</v>
      </c>
      <c r="T231" s="510">
        <f>Tabla3[[#This Row],[Cantidad]]*Tabla3[[#This Row],[Cortes]]</f>
        <v>2671.2328767123286</v>
      </c>
      <c r="U231" s="511">
        <f t="shared" si="144"/>
        <v>2469.6515061362579</v>
      </c>
      <c r="V231" s="511">
        <f t="shared" si="145"/>
        <v>2469.2218840137189</v>
      </c>
      <c r="W231" s="497">
        <f>IF(Tabla3[[#This Row],[Fecha de operación]]=$C$1,0,U231-V231)</f>
        <v>0.42962212253905818</v>
      </c>
      <c r="X231" s="512" t="str">
        <f t="shared" si="154"/>
        <v>Vigente</v>
      </c>
      <c r="Y231" s="498" t="s">
        <v>450</v>
      </c>
      <c r="Z231" s="469">
        <f t="shared" si="155"/>
        <v>451</v>
      </c>
      <c r="AA231" s="499">
        <f t="shared" si="153"/>
        <v>2.2929492205809012</v>
      </c>
      <c r="AB231" s="499">
        <f t="shared" si="153"/>
        <v>2.2559734139672667</v>
      </c>
      <c r="AC231" s="469" t="s">
        <v>451</v>
      </c>
      <c r="AD231" s="469" t="s">
        <v>454</v>
      </c>
      <c r="AG231" s="605">
        <f>+IF(Tabla3[[#This Row],[Amortización k | cupón de intereses]]="Amortización de K",Tabla3[[#This Row],[Valor Nominal]],0)</f>
        <v>0</v>
      </c>
      <c r="AH231" s="605">
        <f>+IF(AND(Tabla3[[#This Row],[Amortización k | cupón de intereses]]="Cupón de interés",Tabla3[[#This Row],[Estado]]="Vigente"),Tabla3[[#This Row],[Valor Nominal]],0)</f>
        <v>2671.2328767123286</v>
      </c>
      <c r="AI231" s="618">
        <f>+IF(Tabla3[[#This Row],[Amortización k | cupón de intereses]]="Amortización de K",SUMIFS($AH$7:$AH$557,Tabla3[Código Emisión],Tabla3[[#This Row],[Código Emisión]],Tabla3[Fecha de operación],Tabla3[[#This Row],[Fecha de operación]]),0)-Tabla3[[#This Row],[Accrued]]*Tabla3[[#This Row],[Valor Nominal]]</f>
        <v>0</v>
      </c>
      <c r="AJ231" s="605">
        <f>+IF(Tabla3[[#This Row],[Amortización k | cupón de intereses]]="Amortización de K",IF(Tabla3[[#This Row],[Precio Clean]]&gt;1,Tabla3[[#This Row],[Valor Nominal]]*(Tabla3[[#This Row],[Precio Clean]]-1),0),0)</f>
        <v>0</v>
      </c>
      <c r="AK231" s="605">
        <f>+IF(Tabla3[[#This Row],[Amortización k | cupón de intereses]]="Amortización de K",IF(Tabla3[[#This Row],[Precio Clean]]&lt;1,Tabla3[[#This Row],[Valor Nominal]]*(Tabla3[[#This Row],[Precio Clean]]-1),0),0)</f>
        <v>0</v>
      </c>
    </row>
    <row r="232" spans="1:37">
      <c r="A232" s="502"/>
      <c r="B232" s="437" t="str">
        <f t="shared" si="151"/>
        <v>Bancop S.A.</v>
      </c>
      <c r="C232" s="437" t="str">
        <f t="shared" si="139"/>
        <v>BCO_6,50%_02102028_AA4088-91_250K</v>
      </c>
      <c r="D232" s="437" t="s">
        <v>453</v>
      </c>
      <c r="E232" s="437" t="str">
        <f t="shared" si="152"/>
        <v>AA-py</v>
      </c>
      <c r="F232" s="437" t="s">
        <v>297</v>
      </c>
      <c r="G232" s="437" t="s">
        <v>298</v>
      </c>
      <c r="H232" s="437">
        <v>2</v>
      </c>
      <c r="I232" s="492">
        <v>1335.6164383561643</v>
      </c>
      <c r="J232" s="451"/>
      <c r="K232" s="450"/>
      <c r="L232" s="451"/>
      <c r="M232" s="493"/>
      <c r="N232" s="493"/>
      <c r="O232" s="494">
        <f t="shared" ref="O232:Q247" si="156">+O231</f>
        <v>6.5560713410377516E-2</v>
      </c>
      <c r="P232" s="494">
        <f t="shared" si="156"/>
        <v>6.3669465351994248E-2</v>
      </c>
      <c r="Q232" s="450">
        <f t="shared" si="156"/>
        <v>45933</v>
      </c>
      <c r="R232" s="450">
        <v>46533</v>
      </c>
      <c r="S232" s="509" t="s">
        <v>146</v>
      </c>
      <c r="T232" s="510">
        <f>Tabla3[[#This Row],[Cantidad]]*Tabla3[[#This Row],[Cortes]]</f>
        <v>2671.2328767123286</v>
      </c>
      <c r="U232" s="511">
        <f t="shared" si="144"/>
        <v>2482.5749872518636</v>
      </c>
      <c r="V232" s="511">
        <f t="shared" si="145"/>
        <v>2482.1431169524567</v>
      </c>
      <c r="W232" s="497">
        <f>IF(Tabla3[[#This Row],[Fecha de operación]]=$C$1,0,U232-V232)</f>
        <v>0.43187029940690991</v>
      </c>
      <c r="X232" s="512" t="str">
        <f t="shared" si="154"/>
        <v>Vigente</v>
      </c>
      <c r="Y232" s="498" t="s">
        <v>450</v>
      </c>
      <c r="Z232" s="469">
        <f t="shared" si="155"/>
        <v>421</v>
      </c>
      <c r="AA232" s="499">
        <f t="shared" si="153"/>
        <v>2.2929492205809012</v>
      </c>
      <c r="AB232" s="499">
        <f t="shared" si="153"/>
        <v>2.2559734139672667</v>
      </c>
      <c r="AC232" s="469" t="s">
        <v>451</v>
      </c>
      <c r="AD232" s="469" t="s">
        <v>454</v>
      </c>
      <c r="AG232" s="605">
        <f>+IF(Tabla3[[#This Row],[Amortización k | cupón de intereses]]="Amortización de K",Tabla3[[#This Row],[Valor Nominal]],0)</f>
        <v>0</v>
      </c>
      <c r="AH232" s="605">
        <f>+IF(AND(Tabla3[[#This Row],[Amortización k | cupón de intereses]]="Cupón de interés",Tabla3[[#This Row],[Estado]]="Vigente"),Tabla3[[#This Row],[Valor Nominal]],0)</f>
        <v>2671.2328767123286</v>
      </c>
      <c r="AI232" s="618">
        <f>+IF(Tabla3[[#This Row],[Amortización k | cupón de intereses]]="Amortización de K",SUMIFS($AH$7:$AH$557,Tabla3[Código Emisión],Tabla3[[#This Row],[Código Emisión]],Tabla3[Fecha de operación],Tabla3[[#This Row],[Fecha de operación]]),0)-Tabla3[[#This Row],[Accrued]]*Tabla3[[#This Row],[Valor Nominal]]</f>
        <v>0</v>
      </c>
      <c r="AJ232" s="605">
        <f>+IF(Tabla3[[#This Row],[Amortización k | cupón de intereses]]="Amortización de K",IF(Tabla3[[#This Row],[Precio Clean]]&gt;1,Tabla3[[#This Row],[Valor Nominal]]*(Tabla3[[#This Row],[Precio Clean]]-1),0),0)</f>
        <v>0</v>
      </c>
      <c r="AK232" s="605">
        <f>+IF(Tabla3[[#This Row],[Amortización k | cupón de intereses]]="Amortización de K",IF(Tabla3[[#This Row],[Precio Clean]]&lt;1,Tabla3[[#This Row],[Valor Nominal]]*(Tabla3[[#This Row],[Precio Clean]]-1),0),0)</f>
        <v>0</v>
      </c>
    </row>
    <row r="233" spans="1:37">
      <c r="A233" s="502"/>
      <c r="B233" s="437" t="str">
        <f t="shared" si="151"/>
        <v>Bancop S.A.</v>
      </c>
      <c r="C233" s="437" t="str">
        <f t="shared" si="139"/>
        <v>BCO_6,50%_02102028_AA4088-91_250K</v>
      </c>
      <c r="D233" s="437" t="s">
        <v>453</v>
      </c>
      <c r="E233" s="437" t="str">
        <f t="shared" si="152"/>
        <v>AA-py</v>
      </c>
      <c r="F233" s="437" t="s">
        <v>297</v>
      </c>
      <c r="G233" s="437" t="s">
        <v>298</v>
      </c>
      <c r="H233" s="437">
        <v>2</v>
      </c>
      <c r="I233" s="492">
        <v>1246.5753424657535</v>
      </c>
      <c r="J233" s="451"/>
      <c r="K233" s="450"/>
      <c r="L233" s="451"/>
      <c r="M233" s="493"/>
      <c r="N233" s="493"/>
      <c r="O233" s="494">
        <f t="shared" si="156"/>
        <v>6.5560713410377516E-2</v>
      </c>
      <c r="P233" s="494">
        <f t="shared" si="156"/>
        <v>6.3669465351994248E-2</v>
      </c>
      <c r="Q233" s="450">
        <f t="shared" si="156"/>
        <v>45933</v>
      </c>
      <c r="R233" s="450">
        <v>46503</v>
      </c>
      <c r="S233" s="509" t="s">
        <v>146</v>
      </c>
      <c r="T233" s="510">
        <f>Tabla3[[#This Row],[Cantidad]]*Tabla3[[#This Row],[Cortes]]</f>
        <v>2493.1506849315069</v>
      </c>
      <c r="U233" s="511">
        <f t="shared" si="144"/>
        <v>2329.1950228122514</v>
      </c>
      <c r="V233" s="511">
        <f t="shared" si="145"/>
        <v>2328.7898345875074</v>
      </c>
      <c r="W233" s="497">
        <f>IF(Tabla3[[#This Row],[Fecha de operación]]=$C$1,0,U233-V233)</f>
        <v>0.40518822474405169</v>
      </c>
      <c r="X233" s="512" t="str">
        <f t="shared" si="154"/>
        <v>Vigente</v>
      </c>
      <c r="Y233" s="498" t="s">
        <v>450</v>
      </c>
      <c r="Z233" s="469">
        <f t="shared" si="155"/>
        <v>391</v>
      </c>
      <c r="AA233" s="499">
        <f t="shared" ref="AA233:AB248" si="157">+AA232</f>
        <v>2.2929492205809012</v>
      </c>
      <c r="AB233" s="499">
        <f t="shared" si="157"/>
        <v>2.2559734139672667</v>
      </c>
      <c r="AC233" s="469" t="s">
        <v>451</v>
      </c>
      <c r="AD233" s="469" t="s">
        <v>454</v>
      </c>
      <c r="AG233" s="605">
        <f>+IF(Tabla3[[#This Row],[Amortización k | cupón de intereses]]="Amortización de K",Tabla3[[#This Row],[Valor Nominal]],0)</f>
        <v>0</v>
      </c>
      <c r="AH233" s="605">
        <f>+IF(AND(Tabla3[[#This Row],[Amortización k | cupón de intereses]]="Cupón de interés",Tabla3[[#This Row],[Estado]]="Vigente"),Tabla3[[#This Row],[Valor Nominal]],0)</f>
        <v>2493.1506849315069</v>
      </c>
      <c r="AI233" s="618">
        <f>+IF(Tabla3[[#This Row],[Amortización k | cupón de intereses]]="Amortización de K",SUMIFS($AH$7:$AH$557,Tabla3[Código Emisión],Tabla3[[#This Row],[Código Emisión]],Tabla3[Fecha de operación],Tabla3[[#This Row],[Fecha de operación]]),0)-Tabla3[[#This Row],[Accrued]]*Tabla3[[#This Row],[Valor Nominal]]</f>
        <v>0</v>
      </c>
      <c r="AJ233" s="605">
        <f>+IF(Tabla3[[#This Row],[Amortización k | cupón de intereses]]="Amortización de K",IF(Tabla3[[#This Row],[Precio Clean]]&gt;1,Tabla3[[#This Row],[Valor Nominal]]*(Tabla3[[#This Row],[Precio Clean]]-1),0),0)</f>
        <v>0</v>
      </c>
      <c r="AK233" s="605">
        <f>+IF(Tabla3[[#This Row],[Amortización k | cupón de intereses]]="Amortización de K",IF(Tabla3[[#This Row],[Precio Clean]]&lt;1,Tabla3[[#This Row],[Valor Nominal]]*(Tabla3[[#This Row],[Precio Clean]]-1),0),0)</f>
        <v>0</v>
      </c>
    </row>
    <row r="234" spans="1:37">
      <c r="A234" s="502"/>
      <c r="B234" s="437" t="str">
        <f t="shared" si="151"/>
        <v>Bancop S.A.</v>
      </c>
      <c r="C234" s="437" t="str">
        <f t="shared" si="139"/>
        <v>BCO_6,50%_02102028_AA4088-91_250K</v>
      </c>
      <c r="D234" s="437" t="s">
        <v>453</v>
      </c>
      <c r="E234" s="437" t="str">
        <f t="shared" si="152"/>
        <v>AA-py</v>
      </c>
      <c r="F234" s="437" t="s">
        <v>297</v>
      </c>
      <c r="G234" s="437" t="s">
        <v>298</v>
      </c>
      <c r="H234" s="437">
        <v>2</v>
      </c>
      <c r="I234" s="492">
        <v>1424.6575342465753</v>
      </c>
      <c r="J234" s="451"/>
      <c r="K234" s="450"/>
      <c r="L234" s="451"/>
      <c r="M234" s="493"/>
      <c r="N234" s="493"/>
      <c r="O234" s="494">
        <f t="shared" si="156"/>
        <v>6.5560713410377516E-2</v>
      </c>
      <c r="P234" s="494">
        <f t="shared" si="156"/>
        <v>6.3669465351994248E-2</v>
      </c>
      <c r="Q234" s="450">
        <f t="shared" si="156"/>
        <v>45933</v>
      </c>
      <c r="R234" s="450">
        <v>46475</v>
      </c>
      <c r="S234" s="509" t="s">
        <v>146</v>
      </c>
      <c r="T234" s="510">
        <f>Tabla3[[#This Row],[Cantidad]]*Tabla3[[#This Row],[Cortes]]</f>
        <v>2849.3150684931506</v>
      </c>
      <c r="U234" s="511">
        <f t="shared" si="144"/>
        <v>2674.935954966184</v>
      </c>
      <c r="V234" s="511">
        <f t="shared" si="145"/>
        <v>2674.4706214323742</v>
      </c>
      <c r="W234" s="497">
        <f>IF(Tabla3[[#This Row],[Fecha de operación]]=$C$1,0,U234-V234)</f>
        <v>0.46533353380982589</v>
      </c>
      <c r="X234" s="512" t="str">
        <f t="shared" si="154"/>
        <v>Vigente</v>
      </c>
      <c r="Y234" s="498" t="s">
        <v>450</v>
      </c>
      <c r="Z234" s="469">
        <f t="shared" si="155"/>
        <v>363</v>
      </c>
      <c r="AA234" s="499">
        <f t="shared" si="157"/>
        <v>2.2929492205809012</v>
      </c>
      <c r="AB234" s="499">
        <f t="shared" si="157"/>
        <v>2.2559734139672667</v>
      </c>
      <c r="AC234" s="469" t="s">
        <v>451</v>
      </c>
      <c r="AD234" s="469" t="s">
        <v>454</v>
      </c>
      <c r="AG234" s="605">
        <f>+IF(Tabla3[[#This Row],[Amortización k | cupón de intereses]]="Amortización de K",Tabla3[[#This Row],[Valor Nominal]],0)</f>
        <v>0</v>
      </c>
      <c r="AH234" s="605">
        <f>+IF(AND(Tabla3[[#This Row],[Amortización k | cupón de intereses]]="Cupón de interés",Tabla3[[#This Row],[Estado]]="Vigente"),Tabla3[[#This Row],[Valor Nominal]],0)</f>
        <v>2849.3150684931506</v>
      </c>
      <c r="AI234" s="618">
        <f>+IF(Tabla3[[#This Row],[Amortización k | cupón de intereses]]="Amortización de K",SUMIFS($AH$7:$AH$557,Tabla3[Código Emisión],Tabla3[[#This Row],[Código Emisión]],Tabla3[Fecha de operación],Tabla3[[#This Row],[Fecha de operación]]),0)-Tabla3[[#This Row],[Accrued]]*Tabla3[[#This Row],[Valor Nominal]]</f>
        <v>0</v>
      </c>
      <c r="AJ234" s="605">
        <f>+IF(Tabla3[[#This Row],[Amortización k | cupón de intereses]]="Amortización de K",IF(Tabla3[[#This Row],[Precio Clean]]&gt;1,Tabla3[[#This Row],[Valor Nominal]]*(Tabla3[[#This Row],[Precio Clean]]-1),0),0)</f>
        <v>0</v>
      </c>
      <c r="AK234" s="605">
        <f>+IF(Tabla3[[#This Row],[Amortización k | cupón de intereses]]="Amortización de K",IF(Tabla3[[#This Row],[Precio Clean]]&lt;1,Tabla3[[#This Row],[Valor Nominal]]*(Tabla3[[#This Row],[Precio Clean]]-1),0),0)</f>
        <v>0</v>
      </c>
    </row>
    <row r="235" spans="1:37">
      <c r="A235" s="502"/>
      <c r="B235" s="437" t="str">
        <f t="shared" si="151"/>
        <v>Bancop S.A.</v>
      </c>
      <c r="C235" s="437" t="str">
        <f t="shared" si="139"/>
        <v>BCO_6,50%_02102028_AA4088-91_250K</v>
      </c>
      <c r="D235" s="437" t="s">
        <v>453</v>
      </c>
      <c r="E235" s="437" t="str">
        <f t="shared" si="152"/>
        <v>AA-py</v>
      </c>
      <c r="F235" s="437" t="s">
        <v>297</v>
      </c>
      <c r="G235" s="437" t="s">
        <v>298</v>
      </c>
      <c r="H235" s="437">
        <v>2</v>
      </c>
      <c r="I235" s="492">
        <v>1335.6164383561643</v>
      </c>
      <c r="J235" s="451"/>
      <c r="K235" s="450"/>
      <c r="L235" s="451"/>
      <c r="M235" s="493"/>
      <c r="N235" s="493"/>
      <c r="O235" s="494">
        <f t="shared" si="156"/>
        <v>6.5560713410377516E-2</v>
      </c>
      <c r="P235" s="494">
        <f t="shared" si="156"/>
        <v>6.3669465351994248E-2</v>
      </c>
      <c r="Q235" s="450">
        <f t="shared" si="156"/>
        <v>45933</v>
      </c>
      <c r="R235" s="450">
        <v>46443</v>
      </c>
      <c r="S235" s="509" t="s">
        <v>146</v>
      </c>
      <c r="T235" s="510">
        <f>Tabla3[[#This Row],[Cantidad]]*Tabla3[[#This Row],[Cortes]]</f>
        <v>2671.2328767123286</v>
      </c>
      <c r="U235" s="511">
        <f t="shared" si="144"/>
        <v>2521.752613023762</v>
      </c>
      <c r="V235" s="511">
        <f t="shared" si="145"/>
        <v>2521.3139273600423</v>
      </c>
      <c r="W235" s="497">
        <f>IF(Tabla3[[#This Row],[Fecha de operación]]=$C$1,0,U235-V235)</f>
        <v>0.43868566371975248</v>
      </c>
      <c r="X235" s="512" t="str">
        <f t="shared" si="154"/>
        <v>Vigente</v>
      </c>
      <c r="Y235" s="498" t="s">
        <v>450</v>
      </c>
      <c r="Z235" s="469">
        <f t="shared" si="155"/>
        <v>331</v>
      </c>
      <c r="AA235" s="499">
        <f t="shared" si="157"/>
        <v>2.2929492205809012</v>
      </c>
      <c r="AB235" s="499">
        <f t="shared" si="157"/>
        <v>2.2559734139672667</v>
      </c>
      <c r="AC235" s="469" t="s">
        <v>451</v>
      </c>
      <c r="AD235" s="469" t="s">
        <v>454</v>
      </c>
      <c r="AG235" s="605">
        <f>+IF(Tabla3[[#This Row],[Amortización k | cupón de intereses]]="Amortización de K",Tabla3[[#This Row],[Valor Nominal]],0)</f>
        <v>0</v>
      </c>
      <c r="AH235" s="605">
        <f>+IF(AND(Tabla3[[#This Row],[Amortización k | cupón de intereses]]="Cupón de interés",Tabla3[[#This Row],[Estado]]="Vigente"),Tabla3[[#This Row],[Valor Nominal]],0)</f>
        <v>2671.2328767123286</v>
      </c>
      <c r="AI235" s="618">
        <f>+IF(Tabla3[[#This Row],[Amortización k | cupón de intereses]]="Amortización de K",SUMIFS($AH$7:$AH$557,Tabla3[Código Emisión],Tabla3[[#This Row],[Código Emisión]],Tabla3[Fecha de operación],Tabla3[[#This Row],[Fecha de operación]]),0)-Tabla3[[#This Row],[Accrued]]*Tabla3[[#This Row],[Valor Nominal]]</f>
        <v>0</v>
      </c>
      <c r="AJ235" s="605">
        <f>+IF(Tabla3[[#This Row],[Amortización k | cupón de intereses]]="Amortización de K",IF(Tabla3[[#This Row],[Precio Clean]]&gt;1,Tabla3[[#This Row],[Valor Nominal]]*(Tabla3[[#This Row],[Precio Clean]]-1),0),0)</f>
        <v>0</v>
      </c>
      <c r="AK235" s="605">
        <f>+IF(Tabla3[[#This Row],[Amortización k | cupón de intereses]]="Amortización de K",IF(Tabla3[[#This Row],[Precio Clean]]&lt;1,Tabla3[[#This Row],[Valor Nominal]]*(Tabla3[[#This Row],[Precio Clean]]-1),0),0)</f>
        <v>0</v>
      </c>
    </row>
    <row r="236" spans="1:37">
      <c r="A236" s="502"/>
      <c r="B236" s="437" t="str">
        <f t="shared" si="151"/>
        <v>Bancop S.A.</v>
      </c>
      <c r="C236" s="437" t="str">
        <f t="shared" si="139"/>
        <v>BCO_6,50%_02102028_AA4088-91_250K</v>
      </c>
      <c r="D236" s="437" t="s">
        <v>453</v>
      </c>
      <c r="E236" s="437" t="str">
        <f t="shared" si="152"/>
        <v>AA-py</v>
      </c>
      <c r="F236" s="437" t="s">
        <v>297</v>
      </c>
      <c r="G236" s="437" t="s">
        <v>298</v>
      </c>
      <c r="H236" s="437">
        <v>2</v>
      </c>
      <c r="I236" s="492">
        <v>1291.0958904109589</v>
      </c>
      <c r="J236" s="451"/>
      <c r="K236" s="450"/>
      <c r="L236" s="451"/>
      <c r="M236" s="493"/>
      <c r="N236" s="493"/>
      <c r="O236" s="494">
        <f t="shared" si="156"/>
        <v>6.5560713410377516E-2</v>
      </c>
      <c r="P236" s="494">
        <f t="shared" si="156"/>
        <v>6.3669465351994248E-2</v>
      </c>
      <c r="Q236" s="450">
        <f t="shared" si="156"/>
        <v>45933</v>
      </c>
      <c r="R236" s="450">
        <v>46413</v>
      </c>
      <c r="S236" s="509" t="s">
        <v>146</v>
      </c>
      <c r="T236" s="510">
        <f>Tabla3[[#This Row],[Cantidad]]*Tabla3[[#This Row],[Cortes]]</f>
        <v>2582.1917808219177</v>
      </c>
      <c r="U236" s="511">
        <f t="shared" si="144"/>
        <v>2450.4504437389505</v>
      </c>
      <c r="V236" s="511">
        <f t="shared" si="145"/>
        <v>2450.0241618452496</v>
      </c>
      <c r="W236" s="497">
        <f>IF(Tabla3[[#This Row],[Fecha de operación]]=$C$1,0,U236-V236)</f>
        <v>0.42628189370088876</v>
      </c>
      <c r="X236" s="512" t="str">
        <f t="shared" si="154"/>
        <v>Vigente</v>
      </c>
      <c r="Y236" s="498" t="s">
        <v>450</v>
      </c>
      <c r="Z236" s="469">
        <f t="shared" si="155"/>
        <v>301</v>
      </c>
      <c r="AA236" s="499">
        <f t="shared" si="157"/>
        <v>2.2929492205809012</v>
      </c>
      <c r="AB236" s="499">
        <f t="shared" si="157"/>
        <v>2.2559734139672667</v>
      </c>
      <c r="AC236" s="469" t="s">
        <v>451</v>
      </c>
      <c r="AD236" s="469" t="s">
        <v>454</v>
      </c>
      <c r="AG236" s="605">
        <f>+IF(Tabla3[[#This Row],[Amortización k | cupón de intereses]]="Amortización de K",Tabla3[[#This Row],[Valor Nominal]],0)</f>
        <v>0</v>
      </c>
      <c r="AH236" s="605">
        <f>+IF(AND(Tabla3[[#This Row],[Amortización k | cupón de intereses]]="Cupón de interés",Tabla3[[#This Row],[Estado]]="Vigente"),Tabla3[[#This Row],[Valor Nominal]],0)</f>
        <v>2582.1917808219177</v>
      </c>
      <c r="AI236" s="618">
        <f>+IF(Tabla3[[#This Row],[Amortización k | cupón de intereses]]="Amortización de K",SUMIFS($AH$7:$AH$557,Tabla3[Código Emisión],Tabla3[[#This Row],[Código Emisión]],Tabla3[Fecha de operación],Tabla3[[#This Row],[Fecha de operación]]),0)-Tabla3[[#This Row],[Accrued]]*Tabla3[[#This Row],[Valor Nominal]]</f>
        <v>0</v>
      </c>
      <c r="AJ236" s="605">
        <f>+IF(Tabla3[[#This Row],[Amortización k | cupón de intereses]]="Amortización de K",IF(Tabla3[[#This Row],[Precio Clean]]&gt;1,Tabla3[[#This Row],[Valor Nominal]]*(Tabla3[[#This Row],[Precio Clean]]-1),0),0)</f>
        <v>0</v>
      </c>
      <c r="AK236" s="605">
        <f>+IF(Tabla3[[#This Row],[Amortización k | cupón de intereses]]="Amortización de K",IF(Tabla3[[#This Row],[Precio Clean]]&lt;1,Tabla3[[#This Row],[Valor Nominal]]*(Tabla3[[#This Row],[Precio Clean]]-1),0),0)</f>
        <v>0</v>
      </c>
    </row>
    <row r="237" spans="1:37">
      <c r="A237" s="502"/>
      <c r="B237" s="437" t="str">
        <f t="shared" si="151"/>
        <v>Bancop S.A.</v>
      </c>
      <c r="C237" s="437" t="str">
        <f t="shared" si="139"/>
        <v>BCO_6,50%_02102028_AA4088-91_250K</v>
      </c>
      <c r="D237" s="437" t="s">
        <v>453</v>
      </c>
      <c r="E237" s="437" t="str">
        <f t="shared" si="152"/>
        <v>AA-py</v>
      </c>
      <c r="F237" s="437" t="s">
        <v>297</v>
      </c>
      <c r="G237" s="437" t="s">
        <v>298</v>
      </c>
      <c r="H237" s="437">
        <v>2</v>
      </c>
      <c r="I237" s="492">
        <v>1380.1369863013699</v>
      </c>
      <c r="J237" s="451"/>
      <c r="K237" s="450"/>
      <c r="L237" s="451"/>
      <c r="M237" s="493"/>
      <c r="N237" s="493"/>
      <c r="O237" s="494">
        <f t="shared" si="156"/>
        <v>6.5560713410377516E-2</v>
      </c>
      <c r="P237" s="494">
        <f t="shared" si="156"/>
        <v>6.3669465351994248E-2</v>
      </c>
      <c r="Q237" s="450">
        <f t="shared" si="156"/>
        <v>45933</v>
      </c>
      <c r="R237" s="450">
        <v>46384</v>
      </c>
      <c r="S237" s="509" t="s">
        <v>146</v>
      </c>
      <c r="T237" s="510">
        <f>Tabla3[[#This Row],[Cantidad]]*Tabla3[[#This Row],[Cortes]]</f>
        <v>2760.2739726027398</v>
      </c>
      <c r="U237" s="511">
        <f t="shared" si="144"/>
        <v>2632.6963095059532</v>
      </c>
      <c r="V237" s="511">
        <f t="shared" si="145"/>
        <v>2632.2383240073191</v>
      </c>
      <c r="W237" s="497">
        <f>IF(Tabla3[[#This Row],[Fecha de operación]]=$C$1,0,U237-V237)</f>
        <v>0.45798549863411608</v>
      </c>
      <c r="X237" s="512" t="str">
        <f t="shared" si="154"/>
        <v>Vigente</v>
      </c>
      <c r="Y237" s="498" t="s">
        <v>450</v>
      </c>
      <c r="Z237" s="469">
        <f t="shared" si="155"/>
        <v>272</v>
      </c>
      <c r="AA237" s="499">
        <f t="shared" si="157"/>
        <v>2.2929492205809012</v>
      </c>
      <c r="AB237" s="499">
        <f t="shared" si="157"/>
        <v>2.2559734139672667</v>
      </c>
      <c r="AC237" s="469" t="s">
        <v>451</v>
      </c>
      <c r="AD237" s="469" t="s">
        <v>454</v>
      </c>
      <c r="AG237" s="605">
        <f>+IF(Tabla3[[#This Row],[Amortización k | cupón de intereses]]="Amortización de K",Tabla3[[#This Row],[Valor Nominal]],0)</f>
        <v>0</v>
      </c>
      <c r="AH237" s="605">
        <f>+IF(AND(Tabla3[[#This Row],[Amortización k | cupón de intereses]]="Cupón de interés",Tabla3[[#This Row],[Estado]]="Vigente"),Tabla3[[#This Row],[Valor Nominal]],0)</f>
        <v>2760.2739726027398</v>
      </c>
      <c r="AI237" s="618">
        <f>+IF(Tabla3[[#This Row],[Amortización k | cupón de intereses]]="Amortización de K",SUMIFS($AH$7:$AH$557,Tabla3[Código Emisión],Tabla3[[#This Row],[Código Emisión]],Tabla3[Fecha de operación],Tabla3[[#This Row],[Fecha de operación]]),0)-Tabla3[[#This Row],[Accrued]]*Tabla3[[#This Row],[Valor Nominal]]</f>
        <v>0</v>
      </c>
      <c r="AJ237" s="605">
        <f>+IF(Tabla3[[#This Row],[Amortización k | cupón de intereses]]="Amortización de K",IF(Tabla3[[#This Row],[Precio Clean]]&gt;1,Tabla3[[#This Row],[Valor Nominal]]*(Tabla3[[#This Row],[Precio Clean]]-1),0),0)</f>
        <v>0</v>
      </c>
      <c r="AK237" s="605">
        <f>+IF(Tabla3[[#This Row],[Amortización k | cupón de intereses]]="Amortización de K",IF(Tabla3[[#This Row],[Precio Clean]]&lt;1,Tabla3[[#This Row],[Valor Nominal]]*(Tabla3[[#This Row],[Precio Clean]]-1),0),0)</f>
        <v>0</v>
      </c>
    </row>
    <row r="238" spans="1:37">
      <c r="A238" s="502"/>
      <c r="B238" s="437" t="str">
        <f t="shared" si="151"/>
        <v>Bancop S.A.</v>
      </c>
      <c r="C238" s="437" t="str">
        <f t="shared" si="139"/>
        <v>BCO_6,50%_02102028_AA4088-91_250K</v>
      </c>
      <c r="D238" s="437" t="s">
        <v>453</v>
      </c>
      <c r="E238" s="437" t="str">
        <f t="shared" si="152"/>
        <v>AA-py</v>
      </c>
      <c r="F238" s="437" t="s">
        <v>297</v>
      </c>
      <c r="G238" s="437" t="s">
        <v>298</v>
      </c>
      <c r="H238" s="437">
        <v>2</v>
      </c>
      <c r="I238" s="492">
        <v>1335.6164383561643</v>
      </c>
      <c r="J238" s="451"/>
      <c r="K238" s="450"/>
      <c r="L238" s="451"/>
      <c r="M238" s="493"/>
      <c r="N238" s="493"/>
      <c r="O238" s="494">
        <f t="shared" si="156"/>
        <v>6.5560713410377516E-2</v>
      </c>
      <c r="P238" s="494">
        <f t="shared" si="156"/>
        <v>6.3669465351994248E-2</v>
      </c>
      <c r="Q238" s="450">
        <f t="shared" si="156"/>
        <v>45933</v>
      </c>
      <c r="R238" s="450">
        <v>46353</v>
      </c>
      <c r="S238" s="509" t="s">
        <v>146</v>
      </c>
      <c r="T238" s="510">
        <f>Tabla3[[#This Row],[Cantidad]]*Tabla3[[#This Row],[Cortes]]</f>
        <v>2671.2328767123286</v>
      </c>
      <c r="U238" s="511">
        <f t="shared" si="144"/>
        <v>2561.5485026422734</v>
      </c>
      <c r="V238" s="511">
        <f t="shared" si="145"/>
        <v>2561.1028940606752</v>
      </c>
      <c r="W238" s="497">
        <f>IF(Tabla3[[#This Row],[Fecha de operación]]=$C$1,0,U238-V238)</f>
        <v>0.44560858159820782</v>
      </c>
      <c r="X238" s="512" t="str">
        <f t="shared" si="154"/>
        <v>Vigente</v>
      </c>
      <c r="Y238" s="498" t="s">
        <v>450</v>
      </c>
      <c r="Z238" s="469">
        <f t="shared" si="155"/>
        <v>241</v>
      </c>
      <c r="AA238" s="499">
        <f t="shared" si="157"/>
        <v>2.2929492205809012</v>
      </c>
      <c r="AB238" s="499">
        <f t="shared" si="157"/>
        <v>2.2559734139672667</v>
      </c>
      <c r="AC238" s="469" t="s">
        <v>451</v>
      </c>
      <c r="AD238" s="469" t="s">
        <v>454</v>
      </c>
      <c r="AG238" s="605">
        <f>+IF(Tabla3[[#This Row],[Amortización k | cupón de intereses]]="Amortización de K",Tabla3[[#This Row],[Valor Nominal]],0)</f>
        <v>0</v>
      </c>
      <c r="AH238" s="605">
        <f>+IF(AND(Tabla3[[#This Row],[Amortización k | cupón de intereses]]="Cupón de interés",Tabla3[[#This Row],[Estado]]="Vigente"),Tabla3[[#This Row],[Valor Nominal]],0)</f>
        <v>2671.2328767123286</v>
      </c>
      <c r="AI238" s="618">
        <f>+IF(Tabla3[[#This Row],[Amortización k | cupón de intereses]]="Amortización de K",SUMIFS($AH$7:$AH$557,Tabla3[Código Emisión],Tabla3[[#This Row],[Código Emisión]],Tabla3[Fecha de operación],Tabla3[[#This Row],[Fecha de operación]]),0)-Tabla3[[#This Row],[Accrued]]*Tabla3[[#This Row],[Valor Nominal]]</f>
        <v>0</v>
      </c>
      <c r="AJ238" s="605">
        <f>+IF(Tabla3[[#This Row],[Amortización k | cupón de intereses]]="Amortización de K",IF(Tabla3[[#This Row],[Precio Clean]]&gt;1,Tabla3[[#This Row],[Valor Nominal]]*(Tabla3[[#This Row],[Precio Clean]]-1),0),0)</f>
        <v>0</v>
      </c>
      <c r="AK238" s="605">
        <f>+IF(Tabla3[[#This Row],[Amortización k | cupón de intereses]]="Amortización de K",IF(Tabla3[[#This Row],[Precio Clean]]&lt;1,Tabla3[[#This Row],[Valor Nominal]]*(Tabla3[[#This Row],[Precio Clean]]-1),0),0)</f>
        <v>0</v>
      </c>
    </row>
    <row r="239" spans="1:37">
      <c r="A239" s="502"/>
      <c r="B239" s="437" t="str">
        <f t="shared" si="151"/>
        <v>Bancop S.A.</v>
      </c>
      <c r="C239" s="437" t="str">
        <f t="shared" si="139"/>
        <v>BCO_6,50%_02102028_AA4088-91_250K</v>
      </c>
      <c r="D239" s="437" t="s">
        <v>453</v>
      </c>
      <c r="E239" s="437" t="str">
        <f t="shared" si="152"/>
        <v>AA-py</v>
      </c>
      <c r="F239" s="437" t="s">
        <v>297</v>
      </c>
      <c r="G239" s="437" t="s">
        <v>298</v>
      </c>
      <c r="H239" s="437">
        <v>2</v>
      </c>
      <c r="I239" s="492">
        <v>1335.6164383561643</v>
      </c>
      <c r="J239" s="451"/>
      <c r="K239" s="450"/>
      <c r="L239" s="451"/>
      <c r="M239" s="493"/>
      <c r="N239" s="493"/>
      <c r="O239" s="494">
        <f t="shared" si="156"/>
        <v>6.5560713410377516E-2</v>
      </c>
      <c r="P239" s="494">
        <f t="shared" si="156"/>
        <v>6.3669465351994248E-2</v>
      </c>
      <c r="Q239" s="450">
        <f t="shared" si="156"/>
        <v>45933</v>
      </c>
      <c r="R239" s="450">
        <v>46323</v>
      </c>
      <c r="S239" s="509" t="s">
        <v>146</v>
      </c>
      <c r="T239" s="510">
        <f>Tabla3[[#This Row],[Cantidad]]*Tabla3[[#This Row],[Cortes]]</f>
        <v>2671.2328767123286</v>
      </c>
      <c r="U239" s="511">
        <f t="shared" si="144"/>
        <v>2574.9528731044024</v>
      </c>
      <c r="V239" s="511">
        <f t="shared" si="145"/>
        <v>2574.5049326901244</v>
      </c>
      <c r="W239" s="497">
        <f>IF(Tabla3[[#This Row],[Fecha de operación]]=$C$1,0,U239-V239)</f>
        <v>0.44794041427803677</v>
      </c>
      <c r="X239" s="512" t="str">
        <f t="shared" si="154"/>
        <v>Vigente</v>
      </c>
      <c r="Y239" s="498" t="s">
        <v>450</v>
      </c>
      <c r="Z239" s="469">
        <f t="shared" si="155"/>
        <v>211</v>
      </c>
      <c r="AA239" s="499">
        <f t="shared" si="157"/>
        <v>2.2929492205809012</v>
      </c>
      <c r="AB239" s="499">
        <f t="shared" si="157"/>
        <v>2.2559734139672667</v>
      </c>
      <c r="AC239" s="469" t="s">
        <v>451</v>
      </c>
      <c r="AD239" s="469" t="s">
        <v>454</v>
      </c>
      <c r="AG239" s="605">
        <f>+IF(Tabla3[[#This Row],[Amortización k | cupón de intereses]]="Amortización de K",Tabla3[[#This Row],[Valor Nominal]],0)</f>
        <v>0</v>
      </c>
      <c r="AH239" s="605">
        <f>+IF(AND(Tabla3[[#This Row],[Amortización k | cupón de intereses]]="Cupón de interés",Tabla3[[#This Row],[Estado]]="Vigente"),Tabla3[[#This Row],[Valor Nominal]],0)</f>
        <v>2671.2328767123286</v>
      </c>
      <c r="AI239" s="618">
        <f>+IF(Tabla3[[#This Row],[Amortización k | cupón de intereses]]="Amortización de K",SUMIFS($AH$7:$AH$557,Tabla3[Código Emisión],Tabla3[[#This Row],[Código Emisión]],Tabla3[Fecha de operación],Tabla3[[#This Row],[Fecha de operación]]),0)-Tabla3[[#This Row],[Accrued]]*Tabla3[[#This Row],[Valor Nominal]]</f>
        <v>0</v>
      </c>
      <c r="AJ239" s="605">
        <f>+IF(Tabla3[[#This Row],[Amortización k | cupón de intereses]]="Amortización de K",IF(Tabla3[[#This Row],[Precio Clean]]&gt;1,Tabla3[[#This Row],[Valor Nominal]]*(Tabla3[[#This Row],[Precio Clean]]-1),0),0)</f>
        <v>0</v>
      </c>
      <c r="AK239" s="605">
        <f>+IF(Tabla3[[#This Row],[Amortización k | cupón de intereses]]="Amortización de K",IF(Tabla3[[#This Row],[Precio Clean]]&lt;1,Tabla3[[#This Row],[Valor Nominal]]*(Tabla3[[#This Row],[Precio Clean]]-1),0),0)</f>
        <v>0</v>
      </c>
    </row>
    <row r="240" spans="1:37">
      <c r="A240" s="502"/>
      <c r="B240" s="437" t="str">
        <f t="shared" si="151"/>
        <v>Bancop S.A.</v>
      </c>
      <c r="C240" s="437" t="str">
        <f t="shared" si="151"/>
        <v>BCO_6,50%_02102028_AA4088-91_250K</v>
      </c>
      <c r="D240" s="437" t="s">
        <v>453</v>
      </c>
      <c r="E240" s="437" t="str">
        <f t="shared" si="152"/>
        <v>AA-py</v>
      </c>
      <c r="F240" s="437" t="s">
        <v>297</v>
      </c>
      <c r="G240" s="437" t="s">
        <v>298</v>
      </c>
      <c r="H240" s="437">
        <v>2</v>
      </c>
      <c r="I240" s="492">
        <v>1246.5753424657535</v>
      </c>
      <c r="J240" s="451"/>
      <c r="K240" s="450"/>
      <c r="L240" s="451"/>
      <c r="M240" s="493"/>
      <c r="N240" s="493"/>
      <c r="O240" s="494">
        <f t="shared" si="156"/>
        <v>6.5560713410377516E-2</v>
      </c>
      <c r="P240" s="494">
        <f t="shared" si="156"/>
        <v>6.3669465351994248E-2</v>
      </c>
      <c r="Q240" s="450">
        <f t="shared" si="156"/>
        <v>45933</v>
      </c>
      <c r="R240" s="450">
        <v>46293</v>
      </c>
      <c r="S240" s="509" t="s">
        <v>146</v>
      </c>
      <c r="T240" s="510">
        <f>Tabla3[[#This Row],[Cantidad]]*Tabla3[[#This Row],[Cortes]]</f>
        <v>2493.1506849315069</v>
      </c>
      <c r="U240" s="511">
        <f t="shared" si="144"/>
        <v>2415.8655616884344</v>
      </c>
      <c r="V240" s="511">
        <f t="shared" si="145"/>
        <v>2415.4452962024734</v>
      </c>
      <c r="W240" s="497">
        <f>IF(Tabla3[[#This Row],[Fecha de operación]]=$C$1,0,U240-V240)</f>
        <v>0.42026548596095381</v>
      </c>
      <c r="X240" s="512" t="str">
        <f t="shared" si="154"/>
        <v>Vigente</v>
      </c>
      <c r="Y240" s="498" t="s">
        <v>450</v>
      </c>
      <c r="Z240" s="469">
        <f t="shared" si="155"/>
        <v>181</v>
      </c>
      <c r="AA240" s="499">
        <f t="shared" si="157"/>
        <v>2.2929492205809012</v>
      </c>
      <c r="AB240" s="499">
        <f t="shared" si="157"/>
        <v>2.2559734139672667</v>
      </c>
      <c r="AC240" s="469" t="s">
        <v>451</v>
      </c>
      <c r="AD240" s="469" t="s">
        <v>454</v>
      </c>
      <c r="AG240" s="605">
        <f>+IF(Tabla3[[#This Row],[Amortización k | cupón de intereses]]="Amortización de K",Tabla3[[#This Row],[Valor Nominal]],0)</f>
        <v>0</v>
      </c>
      <c r="AH240" s="605">
        <f>+IF(AND(Tabla3[[#This Row],[Amortización k | cupón de intereses]]="Cupón de interés",Tabla3[[#This Row],[Estado]]="Vigente"),Tabla3[[#This Row],[Valor Nominal]],0)</f>
        <v>2493.1506849315069</v>
      </c>
      <c r="AI240" s="618">
        <f>+IF(Tabla3[[#This Row],[Amortización k | cupón de intereses]]="Amortización de K",SUMIFS($AH$7:$AH$557,Tabla3[Código Emisión],Tabla3[[#This Row],[Código Emisión]],Tabla3[Fecha de operación],Tabla3[[#This Row],[Fecha de operación]]),0)-Tabla3[[#This Row],[Accrued]]*Tabla3[[#This Row],[Valor Nominal]]</f>
        <v>0</v>
      </c>
      <c r="AJ240" s="605">
        <f>+IF(Tabla3[[#This Row],[Amortización k | cupón de intereses]]="Amortización de K",IF(Tabla3[[#This Row],[Precio Clean]]&gt;1,Tabla3[[#This Row],[Valor Nominal]]*(Tabla3[[#This Row],[Precio Clean]]-1),0),0)</f>
        <v>0</v>
      </c>
      <c r="AK240" s="605">
        <f>+IF(Tabla3[[#This Row],[Amortización k | cupón de intereses]]="Amortización de K",IF(Tabla3[[#This Row],[Precio Clean]]&lt;1,Tabla3[[#This Row],[Valor Nominal]]*(Tabla3[[#This Row],[Precio Clean]]-1),0),0)</f>
        <v>0</v>
      </c>
    </row>
    <row r="241" spans="1:37">
      <c r="A241" s="502"/>
      <c r="B241" s="437" t="str">
        <f t="shared" ref="B241:C251" si="158">+B240</f>
        <v>Bancop S.A.</v>
      </c>
      <c r="C241" s="437" t="str">
        <f t="shared" si="158"/>
        <v>BCO_6,50%_02102028_AA4088-91_250K</v>
      </c>
      <c r="D241" s="437" t="s">
        <v>453</v>
      </c>
      <c r="E241" s="437" t="str">
        <f t="shared" si="152"/>
        <v>AA-py</v>
      </c>
      <c r="F241" s="437" t="s">
        <v>297</v>
      </c>
      <c r="G241" s="437" t="s">
        <v>298</v>
      </c>
      <c r="H241" s="437">
        <v>2</v>
      </c>
      <c r="I241" s="492">
        <v>1424.6575342465753</v>
      </c>
      <c r="J241" s="451"/>
      <c r="K241" s="450"/>
      <c r="L241" s="451"/>
      <c r="M241" s="493"/>
      <c r="N241" s="493"/>
      <c r="O241" s="494">
        <f t="shared" si="156"/>
        <v>6.5560713410377516E-2</v>
      </c>
      <c r="P241" s="494">
        <f t="shared" si="156"/>
        <v>6.3669465351994248E-2</v>
      </c>
      <c r="Q241" s="450">
        <f t="shared" si="156"/>
        <v>45933</v>
      </c>
      <c r="R241" s="450">
        <v>46265</v>
      </c>
      <c r="S241" s="509" t="s">
        <v>146</v>
      </c>
      <c r="T241" s="510">
        <f>Tabla3[[#This Row],[Cantidad]]*Tabla3[[#This Row],[Cortes]]</f>
        <v>2849.3150684931506</v>
      </c>
      <c r="U241" s="511">
        <f t="shared" si="144"/>
        <v>2774.4716908773303</v>
      </c>
      <c r="V241" s="511">
        <f t="shared" si="145"/>
        <v>2773.9890420445709</v>
      </c>
      <c r="W241" s="497">
        <f>IF(Tabla3[[#This Row],[Fecha de operación]]=$C$1,0,U241-V241)</f>
        <v>0.48264883275942339</v>
      </c>
      <c r="X241" s="512" t="str">
        <f t="shared" si="154"/>
        <v>Vigente</v>
      </c>
      <c r="Y241" s="498" t="s">
        <v>450</v>
      </c>
      <c r="Z241" s="469">
        <f t="shared" si="155"/>
        <v>153</v>
      </c>
      <c r="AA241" s="499">
        <f t="shared" si="157"/>
        <v>2.2929492205809012</v>
      </c>
      <c r="AB241" s="499">
        <f t="shared" si="157"/>
        <v>2.2559734139672667</v>
      </c>
      <c r="AC241" s="469" t="s">
        <v>451</v>
      </c>
      <c r="AD241" s="469" t="s">
        <v>454</v>
      </c>
      <c r="AG241" s="605">
        <f>+IF(Tabla3[[#This Row],[Amortización k | cupón de intereses]]="Amortización de K",Tabla3[[#This Row],[Valor Nominal]],0)</f>
        <v>0</v>
      </c>
      <c r="AH241" s="605">
        <f>+IF(AND(Tabla3[[#This Row],[Amortización k | cupón de intereses]]="Cupón de interés",Tabla3[[#This Row],[Estado]]="Vigente"),Tabla3[[#This Row],[Valor Nominal]],0)</f>
        <v>2849.3150684931506</v>
      </c>
      <c r="AI241" s="618">
        <f>+IF(Tabla3[[#This Row],[Amortización k | cupón de intereses]]="Amortización de K",SUMIFS($AH$7:$AH$557,Tabla3[Código Emisión],Tabla3[[#This Row],[Código Emisión]],Tabla3[Fecha de operación],Tabla3[[#This Row],[Fecha de operación]]),0)-Tabla3[[#This Row],[Accrued]]*Tabla3[[#This Row],[Valor Nominal]]</f>
        <v>0</v>
      </c>
      <c r="AJ241" s="605">
        <f>+IF(Tabla3[[#This Row],[Amortización k | cupón de intereses]]="Amortización de K",IF(Tabla3[[#This Row],[Precio Clean]]&gt;1,Tabla3[[#This Row],[Valor Nominal]]*(Tabla3[[#This Row],[Precio Clean]]-1),0),0)</f>
        <v>0</v>
      </c>
      <c r="AK241" s="605">
        <f>+IF(Tabla3[[#This Row],[Amortización k | cupón de intereses]]="Amortización de K",IF(Tabla3[[#This Row],[Precio Clean]]&lt;1,Tabla3[[#This Row],[Valor Nominal]]*(Tabla3[[#This Row],[Precio Clean]]-1),0),0)</f>
        <v>0</v>
      </c>
    </row>
    <row r="242" spans="1:37">
      <c r="A242" s="502"/>
      <c r="B242" s="437" t="str">
        <f t="shared" si="158"/>
        <v>Bancop S.A.</v>
      </c>
      <c r="C242" s="437" t="str">
        <f t="shared" si="158"/>
        <v>BCO_6,50%_02102028_AA4088-91_250K</v>
      </c>
      <c r="D242" s="437" t="s">
        <v>453</v>
      </c>
      <c r="E242" s="437" t="str">
        <f t="shared" si="152"/>
        <v>AA-py</v>
      </c>
      <c r="F242" s="437" t="s">
        <v>297</v>
      </c>
      <c r="G242" s="437" t="s">
        <v>298</v>
      </c>
      <c r="H242" s="437">
        <v>2</v>
      </c>
      <c r="I242" s="492">
        <v>1335.6164383561643</v>
      </c>
      <c r="J242" s="451"/>
      <c r="K242" s="450"/>
      <c r="L242" s="451"/>
      <c r="M242" s="493"/>
      <c r="N242" s="493"/>
      <c r="O242" s="494">
        <f t="shared" si="156"/>
        <v>6.5560713410377516E-2</v>
      </c>
      <c r="P242" s="494">
        <f t="shared" si="156"/>
        <v>6.3669465351994248E-2</v>
      </c>
      <c r="Q242" s="450">
        <f t="shared" si="156"/>
        <v>45933</v>
      </c>
      <c r="R242" s="450">
        <v>46233</v>
      </c>
      <c r="S242" s="509" t="s">
        <v>146</v>
      </c>
      <c r="T242" s="510">
        <f>Tabla3[[#This Row],[Cantidad]]*Tabla3[[#This Row],[Cortes]]</f>
        <v>2671.2328767123286</v>
      </c>
      <c r="U242" s="511">
        <f t="shared" si="144"/>
        <v>2615.5883183823034</v>
      </c>
      <c r="V242" s="511">
        <f t="shared" si="145"/>
        <v>2615.1333090005187</v>
      </c>
      <c r="W242" s="497">
        <f>IF(Tabla3[[#This Row],[Fecha de operación]]=$C$1,0,U242-V242)</f>
        <v>0.45500938178474826</v>
      </c>
      <c r="X242" s="512" t="str">
        <f t="shared" si="154"/>
        <v>Vigente</v>
      </c>
      <c r="Y242" s="498" t="s">
        <v>450</v>
      </c>
      <c r="Z242" s="469">
        <f t="shared" si="155"/>
        <v>121</v>
      </c>
      <c r="AA242" s="499">
        <f t="shared" si="157"/>
        <v>2.2929492205809012</v>
      </c>
      <c r="AB242" s="499">
        <f t="shared" si="157"/>
        <v>2.2559734139672667</v>
      </c>
      <c r="AC242" s="469" t="s">
        <v>451</v>
      </c>
      <c r="AD242" s="469" t="s">
        <v>454</v>
      </c>
      <c r="AG242" s="605">
        <f>+IF(Tabla3[[#This Row],[Amortización k | cupón de intereses]]="Amortización de K",Tabla3[[#This Row],[Valor Nominal]],0)</f>
        <v>0</v>
      </c>
      <c r="AH242" s="605">
        <f>+IF(AND(Tabla3[[#This Row],[Amortización k | cupón de intereses]]="Cupón de interés",Tabla3[[#This Row],[Estado]]="Vigente"),Tabla3[[#This Row],[Valor Nominal]],0)</f>
        <v>2671.2328767123286</v>
      </c>
      <c r="AI242" s="618">
        <f>+IF(Tabla3[[#This Row],[Amortización k | cupón de intereses]]="Amortización de K",SUMIFS($AH$7:$AH$557,Tabla3[Código Emisión],Tabla3[[#This Row],[Código Emisión]],Tabla3[Fecha de operación],Tabla3[[#This Row],[Fecha de operación]]),0)-Tabla3[[#This Row],[Accrued]]*Tabla3[[#This Row],[Valor Nominal]]</f>
        <v>0</v>
      </c>
      <c r="AJ242" s="605">
        <f>+IF(Tabla3[[#This Row],[Amortización k | cupón de intereses]]="Amortización de K",IF(Tabla3[[#This Row],[Precio Clean]]&gt;1,Tabla3[[#This Row],[Valor Nominal]]*(Tabla3[[#This Row],[Precio Clean]]-1),0),0)</f>
        <v>0</v>
      </c>
      <c r="AK242" s="605">
        <f>+IF(Tabla3[[#This Row],[Amortización k | cupón de intereses]]="Amortización de K",IF(Tabla3[[#This Row],[Precio Clean]]&lt;1,Tabla3[[#This Row],[Valor Nominal]]*(Tabla3[[#This Row],[Precio Clean]]-1),0),0)</f>
        <v>0</v>
      </c>
    </row>
    <row r="243" spans="1:37">
      <c r="A243" s="502"/>
      <c r="B243" s="437" t="str">
        <f t="shared" si="158"/>
        <v>Bancop S.A.</v>
      </c>
      <c r="C243" s="437" t="str">
        <f t="shared" si="158"/>
        <v>BCO_6,50%_02102028_AA4088-91_250K</v>
      </c>
      <c r="D243" s="437" t="s">
        <v>453</v>
      </c>
      <c r="E243" s="437" t="str">
        <f t="shared" si="152"/>
        <v>AA-py</v>
      </c>
      <c r="F243" s="437" t="s">
        <v>297</v>
      </c>
      <c r="G243" s="437" t="s">
        <v>298</v>
      </c>
      <c r="H243" s="437">
        <v>2</v>
      </c>
      <c r="I243" s="492">
        <v>1291.0958904109589</v>
      </c>
      <c r="J243" s="451"/>
      <c r="K243" s="450"/>
      <c r="L243" s="451"/>
      <c r="M243" s="493"/>
      <c r="N243" s="493"/>
      <c r="O243" s="494">
        <f t="shared" si="156"/>
        <v>6.5560713410377516E-2</v>
      </c>
      <c r="P243" s="494">
        <f t="shared" si="156"/>
        <v>6.3669465351994248E-2</v>
      </c>
      <c r="Q243" s="450">
        <f t="shared" si="156"/>
        <v>45933</v>
      </c>
      <c r="R243" s="450">
        <v>46203</v>
      </c>
      <c r="S243" s="509" t="s">
        <v>146</v>
      </c>
      <c r="T243" s="510">
        <f>Tabla3[[#This Row],[Cantidad]]*Tabla3[[#This Row],[Cortes]]</f>
        <v>2582.1917808219177</v>
      </c>
      <c r="U243" s="511">
        <f t="shared" si="144"/>
        <v>2541.6329588860972</v>
      </c>
      <c r="V243" s="511">
        <f t="shared" si="145"/>
        <v>2541.1908148249618</v>
      </c>
      <c r="W243" s="497">
        <f>IF(Tabla3[[#This Row],[Fecha de operación]]=$C$1,0,U243-V243)</f>
        <v>0.44214406113542282</v>
      </c>
      <c r="X243" s="512" t="str">
        <f t="shared" si="154"/>
        <v>Vigente</v>
      </c>
      <c r="Y243" s="498" t="s">
        <v>450</v>
      </c>
      <c r="Z243" s="469">
        <f t="shared" si="155"/>
        <v>91</v>
      </c>
      <c r="AA243" s="499">
        <f t="shared" si="157"/>
        <v>2.2929492205809012</v>
      </c>
      <c r="AB243" s="499">
        <f t="shared" si="157"/>
        <v>2.2559734139672667</v>
      </c>
      <c r="AC243" s="469" t="s">
        <v>451</v>
      </c>
      <c r="AD243" s="469" t="s">
        <v>454</v>
      </c>
      <c r="AG243" s="605">
        <f>+IF(Tabla3[[#This Row],[Amortización k | cupón de intereses]]="Amortización de K",Tabla3[[#This Row],[Valor Nominal]],0)</f>
        <v>0</v>
      </c>
      <c r="AH243" s="605">
        <f>+IF(AND(Tabla3[[#This Row],[Amortización k | cupón de intereses]]="Cupón de interés",Tabla3[[#This Row],[Estado]]="Vigente"),Tabla3[[#This Row],[Valor Nominal]],0)</f>
        <v>2582.1917808219177</v>
      </c>
      <c r="AI243" s="618">
        <f>+IF(Tabla3[[#This Row],[Amortización k | cupón de intereses]]="Amortización de K",SUMIFS($AH$7:$AH$557,Tabla3[Código Emisión],Tabla3[[#This Row],[Código Emisión]],Tabla3[Fecha de operación],Tabla3[[#This Row],[Fecha de operación]]),0)-Tabla3[[#This Row],[Accrued]]*Tabla3[[#This Row],[Valor Nominal]]</f>
        <v>0</v>
      </c>
      <c r="AJ243" s="605">
        <f>+IF(Tabla3[[#This Row],[Amortización k | cupón de intereses]]="Amortización de K",IF(Tabla3[[#This Row],[Precio Clean]]&gt;1,Tabla3[[#This Row],[Valor Nominal]]*(Tabla3[[#This Row],[Precio Clean]]-1),0),0)</f>
        <v>0</v>
      </c>
      <c r="AK243" s="605">
        <f>+IF(Tabla3[[#This Row],[Amortización k | cupón de intereses]]="Amortización de K",IF(Tabla3[[#This Row],[Precio Clean]]&lt;1,Tabla3[[#This Row],[Valor Nominal]]*(Tabla3[[#This Row],[Precio Clean]]-1),0),0)</f>
        <v>0</v>
      </c>
    </row>
    <row r="244" spans="1:37">
      <c r="A244" s="502"/>
      <c r="B244" s="437" t="str">
        <f t="shared" si="158"/>
        <v>Bancop S.A.</v>
      </c>
      <c r="C244" s="437" t="str">
        <f t="shared" si="158"/>
        <v>BCO_6,50%_02102028_AA4088-91_250K</v>
      </c>
      <c r="D244" s="437" t="s">
        <v>453</v>
      </c>
      <c r="E244" s="437" t="str">
        <f t="shared" si="152"/>
        <v>AA-py</v>
      </c>
      <c r="F244" s="437" t="s">
        <v>297</v>
      </c>
      <c r="G244" s="437" t="s">
        <v>298</v>
      </c>
      <c r="H244" s="437">
        <v>2</v>
      </c>
      <c r="I244" s="492">
        <v>1246.5753424657535</v>
      </c>
      <c r="J244" s="451"/>
      <c r="K244" s="450"/>
      <c r="L244" s="451"/>
      <c r="M244" s="493"/>
      <c r="N244" s="493"/>
      <c r="O244" s="494">
        <f t="shared" si="156"/>
        <v>6.5560713410377516E-2</v>
      </c>
      <c r="P244" s="494">
        <f t="shared" si="156"/>
        <v>6.3669465351994248E-2</v>
      </c>
      <c r="Q244" s="450">
        <f t="shared" si="156"/>
        <v>45933</v>
      </c>
      <c r="R244" s="450">
        <v>46174</v>
      </c>
      <c r="S244" s="509" t="s">
        <v>146</v>
      </c>
      <c r="T244" s="510">
        <f>Tabla3[[#This Row],[Cantidad]]*Tabla3[[#This Row],[Cortes]]</f>
        <v>2493.1506849315069</v>
      </c>
      <c r="U244" s="511">
        <f t="shared" si="144"/>
        <v>2466.4028395018722</v>
      </c>
      <c r="V244" s="511">
        <f t="shared" si="145"/>
        <v>2465.9737825194152</v>
      </c>
      <c r="W244" s="497">
        <f>IF(Tabla3[[#This Row],[Fecha de operación]]=$C$1,0,U244-V244)</f>
        <v>0.42905698245704116</v>
      </c>
      <c r="X244" s="512" t="str">
        <f t="shared" si="154"/>
        <v>Vigente</v>
      </c>
      <c r="Y244" s="498" t="s">
        <v>450</v>
      </c>
      <c r="Z244" s="469">
        <f t="shared" si="155"/>
        <v>62</v>
      </c>
      <c r="AA244" s="499">
        <f t="shared" si="157"/>
        <v>2.2929492205809012</v>
      </c>
      <c r="AB244" s="499">
        <f t="shared" si="157"/>
        <v>2.2559734139672667</v>
      </c>
      <c r="AC244" s="469" t="s">
        <v>451</v>
      </c>
      <c r="AD244" s="469" t="s">
        <v>454</v>
      </c>
      <c r="AG244" s="605">
        <f>+IF(Tabla3[[#This Row],[Amortización k | cupón de intereses]]="Amortización de K",Tabla3[[#This Row],[Valor Nominal]],0)</f>
        <v>0</v>
      </c>
      <c r="AH244" s="605">
        <f>+IF(AND(Tabla3[[#This Row],[Amortización k | cupón de intereses]]="Cupón de interés",Tabla3[[#This Row],[Estado]]="Vigente"),Tabla3[[#This Row],[Valor Nominal]],0)</f>
        <v>2493.1506849315069</v>
      </c>
      <c r="AI244" s="618">
        <f>+IF(Tabla3[[#This Row],[Amortización k | cupón de intereses]]="Amortización de K",SUMIFS($AH$7:$AH$557,Tabla3[Código Emisión],Tabla3[[#This Row],[Código Emisión]],Tabla3[Fecha de operación],Tabla3[[#This Row],[Fecha de operación]]),0)-Tabla3[[#This Row],[Accrued]]*Tabla3[[#This Row],[Valor Nominal]]</f>
        <v>0</v>
      </c>
      <c r="AJ244" s="605">
        <f>+IF(Tabla3[[#This Row],[Amortización k | cupón de intereses]]="Amortización de K",IF(Tabla3[[#This Row],[Precio Clean]]&gt;1,Tabla3[[#This Row],[Valor Nominal]]*(Tabla3[[#This Row],[Precio Clean]]-1),0),0)</f>
        <v>0</v>
      </c>
      <c r="AK244" s="605">
        <f>+IF(Tabla3[[#This Row],[Amortización k | cupón de intereses]]="Amortización de K",IF(Tabla3[[#This Row],[Precio Clean]]&lt;1,Tabla3[[#This Row],[Valor Nominal]]*(Tabla3[[#This Row],[Precio Clean]]-1),0),0)</f>
        <v>0</v>
      </c>
    </row>
    <row r="245" spans="1:37">
      <c r="A245" s="502"/>
      <c r="B245" s="437" t="str">
        <f t="shared" si="158"/>
        <v>Bancop S.A.</v>
      </c>
      <c r="C245" s="437" t="str">
        <f t="shared" si="158"/>
        <v>BCO_6,50%_02102028_AA4088-91_250K</v>
      </c>
      <c r="D245" s="437" t="s">
        <v>453</v>
      </c>
      <c r="E245" s="437" t="str">
        <f t="shared" si="152"/>
        <v>AA-py</v>
      </c>
      <c r="F245" s="437" t="s">
        <v>297</v>
      </c>
      <c r="G245" s="437" t="s">
        <v>298</v>
      </c>
      <c r="H245" s="437">
        <v>2</v>
      </c>
      <c r="I245" s="492">
        <v>1469.1780821917807</v>
      </c>
      <c r="J245" s="451"/>
      <c r="K245" s="450"/>
      <c r="L245" s="451"/>
      <c r="M245" s="493"/>
      <c r="N245" s="493"/>
      <c r="O245" s="494">
        <f t="shared" si="156"/>
        <v>6.5560713410377516E-2</v>
      </c>
      <c r="P245" s="494">
        <f t="shared" si="156"/>
        <v>6.3669465351994248E-2</v>
      </c>
      <c r="Q245" s="450">
        <f t="shared" si="156"/>
        <v>45933</v>
      </c>
      <c r="R245" s="450">
        <v>46146</v>
      </c>
      <c r="S245" s="509" t="s">
        <v>146</v>
      </c>
      <c r="T245" s="510">
        <f>Tabla3[[#This Row],[Cantidad]]*Tabla3[[#This Row],[Cortes]]</f>
        <v>2938.3561643835615</v>
      </c>
      <c r="U245" s="511">
        <f t="shared" si="144"/>
        <v>2921.0265753906397</v>
      </c>
      <c r="V245" s="511">
        <f t="shared" si="145"/>
        <v>2920.5184317783956</v>
      </c>
      <c r="W245" s="497">
        <f>IF(Tabla3[[#This Row],[Fecha de operación]]=$C$1,0,U245-V245)</f>
        <v>0.50814361224411186</v>
      </c>
      <c r="X245" s="512" t="str">
        <f t="shared" si="154"/>
        <v>Vigente</v>
      </c>
      <c r="Y245" s="498" t="s">
        <v>450</v>
      </c>
      <c r="Z245" s="469">
        <f t="shared" si="155"/>
        <v>34</v>
      </c>
      <c r="AA245" s="499">
        <f t="shared" si="157"/>
        <v>2.2929492205809012</v>
      </c>
      <c r="AB245" s="499">
        <f t="shared" si="157"/>
        <v>2.2559734139672667</v>
      </c>
      <c r="AC245" s="469" t="s">
        <v>451</v>
      </c>
      <c r="AD245" s="469" t="s">
        <v>454</v>
      </c>
      <c r="AG245" s="605">
        <f>+IF(Tabla3[[#This Row],[Amortización k | cupón de intereses]]="Amortización de K",Tabla3[[#This Row],[Valor Nominal]],0)</f>
        <v>0</v>
      </c>
      <c r="AH245" s="605">
        <f>+IF(AND(Tabla3[[#This Row],[Amortización k | cupón de intereses]]="Cupón de interés",Tabla3[[#This Row],[Estado]]="Vigente"),Tabla3[[#This Row],[Valor Nominal]],0)</f>
        <v>2938.3561643835615</v>
      </c>
      <c r="AI245" s="618">
        <f>+IF(Tabla3[[#This Row],[Amortización k | cupón de intereses]]="Amortización de K",SUMIFS($AH$7:$AH$557,Tabla3[Código Emisión],Tabla3[[#This Row],[Código Emisión]],Tabla3[Fecha de operación],Tabla3[[#This Row],[Fecha de operación]]),0)-Tabla3[[#This Row],[Accrued]]*Tabla3[[#This Row],[Valor Nominal]]</f>
        <v>0</v>
      </c>
      <c r="AJ245" s="605">
        <f>+IF(Tabla3[[#This Row],[Amortización k | cupón de intereses]]="Amortización de K",IF(Tabla3[[#This Row],[Precio Clean]]&gt;1,Tabla3[[#This Row],[Valor Nominal]]*(Tabla3[[#This Row],[Precio Clean]]-1),0),0)</f>
        <v>0</v>
      </c>
      <c r="AK245" s="605">
        <f>+IF(Tabla3[[#This Row],[Amortización k | cupón de intereses]]="Amortización de K",IF(Tabla3[[#This Row],[Precio Clean]]&lt;1,Tabla3[[#This Row],[Valor Nominal]]*(Tabla3[[#This Row],[Precio Clean]]-1),0),0)</f>
        <v>0</v>
      </c>
    </row>
    <row r="246" spans="1:37">
      <c r="A246" s="502"/>
      <c r="B246" s="437" t="str">
        <f t="shared" si="158"/>
        <v>Bancop S.A.</v>
      </c>
      <c r="C246" s="437" t="str">
        <f t="shared" si="158"/>
        <v>BCO_6,50%_02102028_AA4088-91_250K</v>
      </c>
      <c r="D246" s="437" t="s">
        <v>453</v>
      </c>
      <c r="E246" s="437" t="str">
        <f t="shared" si="152"/>
        <v>AA-py</v>
      </c>
      <c r="F246" s="437" t="s">
        <v>297</v>
      </c>
      <c r="G246" s="437" t="s">
        <v>298</v>
      </c>
      <c r="H246" s="437">
        <v>2</v>
      </c>
      <c r="I246" s="492">
        <v>1335.6164383561643</v>
      </c>
      <c r="J246" s="451"/>
      <c r="K246" s="450"/>
      <c r="L246" s="451"/>
      <c r="M246" s="493"/>
      <c r="N246" s="493"/>
      <c r="O246" s="494">
        <f t="shared" si="156"/>
        <v>6.5560713410377516E-2</v>
      </c>
      <c r="P246" s="494">
        <f t="shared" si="156"/>
        <v>6.3669465351994248E-2</v>
      </c>
      <c r="Q246" s="450">
        <f t="shared" si="156"/>
        <v>45933</v>
      </c>
      <c r="R246" s="450">
        <v>46113</v>
      </c>
      <c r="S246" s="509" t="s">
        <v>146</v>
      </c>
      <c r="T246" s="510">
        <f>Tabla3[[#This Row],[Cantidad]]*Tabla3[[#This Row],[Cortes]]</f>
        <v>2671.2328767123286</v>
      </c>
      <c r="U246" s="511">
        <f t="shared" si="144"/>
        <v>2670.7681873683314</v>
      </c>
      <c r="V246" s="511">
        <f t="shared" si="145"/>
        <v>2670.3035788619827</v>
      </c>
      <c r="W246" s="497">
        <f>IF(Tabla3[[#This Row],[Fecha de operación]]=$C$1,0,U246-V246)</f>
        <v>0.46460850634866802</v>
      </c>
      <c r="X246" s="512" t="str">
        <f t="shared" si="154"/>
        <v>Vigente</v>
      </c>
      <c r="Y246" s="498" t="s">
        <v>450</v>
      </c>
      <c r="Z246" s="469">
        <f t="shared" si="155"/>
        <v>1</v>
      </c>
      <c r="AA246" s="499">
        <f t="shared" si="157"/>
        <v>2.2929492205809012</v>
      </c>
      <c r="AB246" s="499">
        <f t="shared" si="157"/>
        <v>2.2559734139672667</v>
      </c>
      <c r="AC246" s="469" t="s">
        <v>451</v>
      </c>
      <c r="AD246" s="469" t="s">
        <v>454</v>
      </c>
      <c r="AG246" s="605">
        <f>+IF(Tabla3[[#This Row],[Amortización k | cupón de intereses]]="Amortización de K",Tabla3[[#This Row],[Valor Nominal]],0)</f>
        <v>0</v>
      </c>
      <c r="AH246" s="605">
        <f>+IF(AND(Tabla3[[#This Row],[Amortización k | cupón de intereses]]="Cupón de interés",Tabla3[[#This Row],[Estado]]="Vigente"),Tabla3[[#This Row],[Valor Nominal]],0)</f>
        <v>2671.2328767123286</v>
      </c>
      <c r="AI246" s="618">
        <f>+IF(Tabla3[[#This Row],[Amortización k | cupón de intereses]]="Amortización de K",SUMIFS($AH$7:$AH$557,Tabla3[Código Emisión],Tabla3[[#This Row],[Código Emisión]],Tabla3[Fecha de operación],Tabla3[[#This Row],[Fecha de operación]]),0)-Tabla3[[#This Row],[Accrued]]*Tabla3[[#This Row],[Valor Nominal]]</f>
        <v>0</v>
      </c>
      <c r="AJ246" s="605">
        <f>+IF(Tabla3[[#This Row],[Amortización k | cupón de intereses]]="Amortización de K",IF(Tabla3[[#This Row],[Precio Clean]]&gt;1,Tabla3[[#This Row],[Valor Nominal]]*(Tabla3[[#This Row],[Precio Clean]]-1),0),0)</f>
        <v>0</v>
      </c>
      <c r="AK246" s="605">
        <f>+IF(Tabla3[[#This Row],[Amortización k | cupón de intereses]]="Amortización de K",IF(Tabla3[[#This Row],[Precio Clean]]&lt;1,Tabla3[[#This Row],[Valor Nominal]]*(Tabla3[[#This Row],[Precio Clean]]-1),0),0)</f>
        <v>0</v>
      </c>
    </row>
    <row r="247" spans="1:37">
      <c r="A247" s="502"/>
      <c r="B247" s="437" t="str">
        <f t="shared" si="158"/>
        <v>Bancop S.A.</v>
      </c>
      <c r="C247" s="437" t="str">
        <f t="shared" si="158"/>
        <v>BCO_6,50%_02102028_AA4088-91_250K</v>
      </c>
      <c r="D247" s="437" t="s">
        <v>453</v>
      </c>
      <c r="E247" s="437" t="str">
        <f t="shared" si="152"/>
        <v>AA-py</v>
      </c>
      <c r="F247" s="437" t="s">
        <v>297</v>
      </c>
      <c r="G247" s="437" t="s">
        <v>298</v>
      </c>
      <c r="H247" s="437">
        <v>2</v>
      </c>
      <c r="I247" s="492">
        <v>1246.5753424657535</v>
      </c>
      <c r="J247" s="451"/>
      <c r="K247" s="450"/>
      <c r="L247" s="451"/>
      <c r="M247" s="493"/>
      <c r="N247" s="493"/>
      <c r="O247" s="494">
        <f t="shared" si="156"/>
        <v>6.5560713410377516E-2</v>
      </c>
      <c r="P247" s="494">
        <f t="shared" si="156"/>
        <v>6.3669465351994248E-2</v>
      </c>
      <c r="Q247" s="450">
        <f t="shared" si="156"/>
        <v>45933</v>
      </c>
      <c r="R247" s="450">
        <v>46083</v>
      </c>
      <c r="S247" s="509" t="s">
        <v>146</v>
      </c>
      <c r="T247" s="510">
        <f>Tabla3[[#This Row],[Cantidad]]*Tabla3[[#This Row],[Cortes]]</f>
        <v>2493.1506849315069</v>
      </c>
      <c r="U247" s="511" t="b">
        <f t="shared" si="144"/>
        <v>0</v>
      </c>
      <c r="V247" s="511" t="b">
        <f t="shared" si="145"/>
        <v>0</v>
      </c>
      <c r="W247" s="497">
        <f>IF(Tabla3[[#This Row],[Fecha de operación]]=$C$1,0,U247-V247)</f>
        <v>0</v>
      </c>
      <c r="X247" s="512" t="str">
        <f t="shared" si="154"/>
        <v>Vencido</v>
      </c>
      <c r="Y247" s="498" t="s">
        <v>450</v>
      </c>
      <c r="Z247" s="469">
        <f t="shared" si="155"/>
        <v>-29</v>
      </c>
      <c r="AA247" s="499">
        <f t="shared" si="157"/>
        <v>2.2929492205809012</v>
      </c>
      <c r="AB247" s="499">
        <f t="shared" si="157"/>
        <v>2.2559734139672667</v>
      </c>
      <c r="AC247" s="469" t="s">
        <v>451</v>
      </c>
      <c r="AD247" s="469" t="s">
        <v>454</v>
      </c>
      <c r="AG247" s="605">
        <f>+IF(Tabla3[[#This Row],[Amortización k | cupón de intereses]]="Amortización de K",Tabla3[[#This Row],[Valor Nominal]],0)</f>
        <v>0</v>
      </c>
      <c r="AH247" s="605">
        <f>+IF(AND(Tabla3[[#This Row],[Amortización k | cupón de intereses]]="Cupón de interés",Tabla3[[#This Row],[Estado]]="Vigente"),Tabla3[[#This Row],[Valor Nominal]],0)</f>
        <v>0</v>
      </c>
      <c r="AI247" s="618">
        <f>+IF(Tabla3[[#This Row],[Amortización k | cupón de intereses]]="Amortización de K",SUMIFS($AH$7:$AH$557,Tabla3[Código Emisión],Tabla3[[#This Row],[Código Emisión]],Tabla3[Fecha de operación],Tabla3[[#This Row],[Fecha de operación]]),0)-Tabla3[[#This Row],[Accrued]]*Tabla3[[#This Row],[Valor Nominal]]</f>
        <v>0</v>
      </c>
      <c r="AJ247" s="605">
        <f>+IF(Tabla3[[#This Row],[Amortización k | cupón de intereses]]="Amortización de K",IF(Tabla3[[#This Row],[Precio Clean]]&gt;1,Tabla3[[#This Row],[Valor Nominal]]*(Tabla3[[#This Row],[Precio Clean]]-1),0),0)</f>
        <v>0</v>
      </c>
      <c r="AK247" s="605">
        <f>+IF(Tabla3[[#This Row],[Amortización k | cupón de intereses]]="Amortización de K",IF(Tabla3[[#This Row],[Precio Clean]]&lt;1,Tabla3[[#This Row],[Valor Nominal]]*(Tabla3[[#This Row],[Precio Clean]]-1),0),0)</f>
        <v>0</v>
      </c>
    </row>
    <row r="248" spans="1:37">
      <c r="A248" s="502"/>
      <c r="B248" s="437" t="str">
        <f t="shared" si="158"/>
        <v>Bancop S.A.</v>
      </c>
      <c r="C248" s="437" t="str">
        <f t="shared" si="158"/>
        <v>BCO_6,50%_02102028_AA4088-91_250K</v>
      </c>
      <c r="D248" s="437" t="s">
        <v>453</v>
      </c>
      <c r="E248" s="437" t="str">
        <f t="shared" si="152"/>
        <v>AA-py</v>
      </c>
      <c r="F248" s="437" t="s">
        <v>297</v>
      </c>
      <c r="G248" s="437" t="s">
        <v>298</v>
      </c>
      <c r="H248" s="437">
        <v>2</v>
      </c>
      <c r="I248" s="492">
        <v>1380.1369863013699</v>
      </c>
      <c r="J248" s="451"/>
      <c r="K248" s="450"/>
      <c r="L248" s="451"/>
      <c r="M248" s="493"/>
      <c r="N248" s="493"/>
      <c r="O248" s="494">
        <f t="shared" ref="O248:Q251" si="159">+O247</f>
        <v>6.5560713410377516E-2</v>
      </c>
      <c r="P248" s="494">
        <f t="shared" si="159"/>
        <v>6.3669465351994248E-2</v>
      </c>
      <c r="Q248" s="450">
        <f t="shared" si="159"/>
        <v>45933</v>
      </c>
      <c r="R248" s="450">
        <v>46055</v>
      </c>
      <c r="S248" s="509" t="s">
        <v>146</v>
      </c>
      <c r="T248" s="510">
        <f>Tabla3[[#This Row],[Cantidad]]*Tabla3[[#This Row],[Cortes]]</f>
        <v>2760.2739726027398</v>
      </c>
      <c r="U248" s="511" t="b">
        <f t="shared" si="144"/>
        <v>0</v>
      </c>
      <c r="V248" s="511" t="b">
        <f t="shared" si="145"/>
        <v>0</v>
      </c>
      <c r="W248" s="497">
        <f>IF(Tabla3[[#This Row],[Fecha de operación]]=$C$1,0,U248-V248)</f>
        <v>0</v>
      </c>
      <c r="X248" s="512" t="str">
        <f t="shared" si="154"/>
        <v>Vencido</v>
      </c>
      <c r="Y248" s="498" t="s">
        <v>450</v>
      </c>
      <c r="Z248" s="469">
        <f t="shared" si="155"/>
        <v>-57</v>
      </c>
      <c r="AA248" s="499">
        <f t="shared" si="157"/>
        <v>2.2929492205809012</v>
      </c>
      <c r="AB248" s="499">
        <f t="shared" si="157"/>
        <v>2.2559734139672667</v>
      </c>
      <c r="AC248" s="469" t="s">
        <v>451</v>
      </c>
      <c r="AD248" s="469" t="s">
        <v>454</v>
      </c>
      <c r="AG248" s="605">
        <f>+IF(Tabla3[[#This Row],[Amortización k | cupón de intereses]]="Amortización de K",Tabla3[[#This Row],[Valor Nominal]],0)</f>
        <v>0</v>
      </c>
      <c r="AH248" s="605">
        <f>+IF(AND(Tabla3[[#This Row],[Amortización k | cupón de intereses]]="Cupón de interés",Tabla3[[#This Row],[Estado]]="Vigente"),Tabla3[[#This Row],[Valor Nominal]],0)</f>
        <v>0</v>
      </c>
      <c r="AI248" s="618">
        <f>+IF(Tabla3[[#This Row],[Amortización k | cupón de intereses]]="Amortización de K",SUMIFS($AH$7:$AH$557,Tabla3[Código Emisión],Tabla3[[#This Row],[Código Emisión]],Tabla3[Fecha de operación],Tabla3[[#This Row],[Fecha de operación]]),0)-Tabla3[[#This Row],[Accrued]]*Tabla3[[#This Row],[Valor Nominal]]</f>
        <v>0</v>
      </c>
      <c r="AJ248" s="605">
        <f>+IF(Tabla3[[#This Row],[Amortización k | cupón de intereses]]="Amortización de K",IF(Tabla3[[#This Row],[Precio Clean]]&gt;1,Tabla3[[#This Row],[Valor Nominal]]*(Tabla3[[#This Row],[Precio Clean]]-1),0),0)</f>
        <v>0</v>
      </c>
      <c r="AK248" s="605">
        <f>+IF(Tabla3[[#This Row],[Amortización k | cupón de intereses]]="Amortización de K",IF(Tabla3[[#This Row],[Precio Clean]]&lt;1,Tabla3[[#This Row],[Valor Nominal]]*(Tabla3[[#This Row],[Precio Clean]]-1),0),0)</f>
        <v>0</v>
      </c>
    </row>
    <row r="249" spans="1:37">
      <c r="A249" s="502"/>
      <c r="B249" s="437" t="str">
        <f t="shared" si="158"/>
        <v>Bancop S.A.</v>
      </c>
      <c r="C249" s="437" t="str">
        <f t="shared" si="158"/>
        <v>BCO_6,50%_02102028_AA4088-91_250K</v>
      </c>
      <c r="D249" s="437" t="s">
        <v>453</v>
      </c>
      <c r="E249" s="437" t="str">
        <f t="shared" si="152"/>
        <v>AA-py</v>
      </c>
      <c r="F249" s="437" t="s">
        <v>297</v>
      </c>
      <c r="G249" s="437" t="s">
        <v>298</v>
      </c>
      <c r="H249" s="437">
        <v>2</v>
      </c>
      <c r="I249" s="492">
        <v>1380.1369863013699</v>
      </c>
      <c r="J249" s="451"/>
      <c r="K249" s="450"/>
      <c r="L249" s="451"/>
      <c r="M249" s="493"/>
      <c r="N249" s="493"/>
      <c r="O249" s="494">
        <f t="shared" si="159"/>
        <v>6.5560713410377516E-2</v>
      </c>
      <c r="P249" s="494">
        <f t="shared" si="159"/>
        <v>6.3669465351994248E-2</v>
      </c>
      <c r="Q249" s="450">
        <f t="shared" si="159"/>
        <v>45933</v>
      </c>
      <c r="R249" s="450">
        <v>46024</v>
      </c>
      <c r="S249" s="509" t="s">
        <v>146</v>
      </c>
      <c r="T249" s="510">
        <f>Tabla3[[#This Row],[Cantidad]]*Tabla3[[#This Row],[Cortes]]</f>
        <v>2760.2739726027398</v>
      </c>
      <c r="U249" s="511" t="b">
        <f t="shared" si="144"/>
        <v>0</v>
      </c>
      <c r="V249" s="511" t="b">
        <f t="shared" si="145"/>
        <v>0</v>
      </c>
      <c r="W249" s="497">
        <f>IF(Tabla3[[#This Row],[Fecha de operación]]=$C$1,0,U249-V249)</f>
        <v>0</v>
      </c>
      <c r="X249" s="512" t="str">
        <f t="shared" si="154"/>
        <v>Vencido</v>
      </c>
      <c r="Y249" s="498" t="s">
        <v>450</v>
      </c>
      <c r="Z249" s="469">
        <f t="shared" si="155"/>
        <v>-88</v>
      </c>
      <c r="AA249" s="499">
        <f t="shared" ref="AA249:AB251" si="160">+AA248</f>
        <v>2.2929492205809012</v>
      </c>
      <c r="AB249" s="499">
        <f t="shared" si="160"/>
        <v>2.2559734139672667</v>
      </c>
      <c r="AC249" s="469" t="s">
        <v>451</v>
      </c>
      <c r="AD249" s="469" t="s">
        <v>454</v>
      </c>
      <c r="AG249" s="605">
        <f>+IF(Tabla3[[#This Row],[Amortización k | cupón de intereses]]="Amortización de K",Tabla3[[#This Row],[Valor Nominal]],0)</f>
        <v>0</v>
      </c>
      <c r="AH249" s="605">
        <f>+IF(AND(Tabla3[[#This Row],[Amortización k | cupón de intereses]]="Cupón de interés",Tabla3[[#This Row],[Estado]]="Vigente"),Tabla3[[#This Row],[Valor Nominal]],0)</f>
        <v>0</v>
      </c>
      <c r="AI249" s="618">
        <f>+IF(Tabla3[[#This Row],[Amortización k | cupón de intereses]]="Amortización de K",SUMIFS($AH$7:$AH$557,Tabla3[Código Emisión],Tabla3[[#This Row],[Código Emisión]],Tabla3[Fecha de operación],Tabla3[[#This Row],[Fecha de operación]]),0)-Tabla3[[#This Row],[Accrued]]*Tabla3[[#This Row],[Valor Nominal]]</f>
        <v>0</v>
      </c>
      <c r="AJ249" s="605">
        <f>+IF(Tabla3[[#This Row],[Amortización k | cupón de intereses]]="Amortización de K",IF(Tabla3[[#This Row],[Precio Clean]]&gt;1,Tabla3[[#This Row],[Valor Nominal]]*(Tabla3[[#This Row],[Precio Clean]]-1),0),0)</f>
        <v>0</v>
      </c>
      <c r="AK249" s="605">
        <f>+IF(Tabla3[[#This Row],[Amortización k | cupón de intereses]]="Amortización de K",IF(Tabla3[[#This Row],[Precio Clean]]&lt;1,Tabla3[[#This Row],[Valor Nominal]]*(Tabla3[[#This Row],[Precio Clean]]-1),0),0)</f>
        <v>0</v>
      </c>
    </row>
    <row r="250" spans="1:37">
      <c r="A250" s="502"/>
      <c r="B250" s="437" t="str">
        <f t="shared" si="158"/>
        <v>Bancop S.A.</v>
      </c>
      <c r="C250" s="437" t="str">
        <f t="shared" si="158"/>
        <v>BCO_6,50%_02102028_AA4088-91_250K</v>
      </c>
      <c r="D250" s="437" t="s">
        <v>453</v>
      </c>
      <c r="E250" s="437" t="str">
        <f t="shared" si="152"/>
        <v>AA-py</v>
      </c>
      <c r="F250" s="437" t="s">
        <v>297</v>
      </c>
      <c r="G250" s="437" t="s">
        <v>298</v>
      </c>
      <c r="H250" s="437">
        <v>2</v>
      </c>
      <c r="I250" s="492">
        <v>1291.0958904109589</v>
      </c>
      <c r="J250" s="451"/>
      <c r="K250" s="450"/>
      <c r="L250" s="451"/>
      <c r="M250" s="493"/>
      <c r="N250" s="493"/>
      <c r="O250" s="494">
        <f t="shared" si="159"/>
        <v>6.5560713410377516E-2</v>
      </c>
      <c r="P250" s="494">
        <f t="shared" si="159"/>
        <v>6.3669465351994248E-2</v>
      </c>
      <c r="Q250" s="450">
        <f t="shared" si="159"/>
        <v>45933</v>
      </c>
      <c r="R250" s="450">
        <v>45993</v>
      </c>
      <c r="S250" s="509" t="s">
        <v>146</v>
      </c>
      <c r="T250" s="510">
        <f>Tabla3[[#This Row],[Cantidad]]*Tabla3[[#This Row],[Cortes]]</f>
        <v>2582.1917808219177</v>
      </c>
      <c r="U250" s="511" t="b">
        <f t="shared" si="144"/>
        <v>0</v>
      </c>
      <c r="V250" s="511" t="b">
        <f t="shared" si="145"/>
        <v>0</v>
      </c>
      <c r="W250" s="497">
        <f>IF(Tabla3[[#This Row],[Fecha de operación]]=$C$1,0,U250-V250)</f>
        <v>0</v>
      </c>
      <c r="X250" s="512" t="str">
        <f t="shared" si="154"/>
        <v>Vencido</v>
      </c>
      <c r="Y250" s="498" t="s">
        <v>450</v>
      </c>
      <c r="Z250" s="469">
        <f t="shared" si="155"/>
        <v>-119</v>
      </c>
      <c r="AA250" s="499">
        <f t="shared" si="160"/>
        <v>2.2929492205809012</v>
      </c>
      <c r="AB250" s="499">
        <f t="shared" si="160"/>
        <v>2.2559734139672667</v>
      </c>
      <c r="AC250" s="469" t="s">
        <v>451</v>
      </c>
      <c r="AD250" s="469" t="s">
        <v>454</v>
      </c>
      <c r="AG250" s="605">
        <f>+IF(Tabla3[[#This Row],[Amortización k | cupón de intereses]]="Amortización de K",Tabla3[[#This Row],[Valor Nominal]],0)</f>
        <v>0</v>
      </c>
      <c r="AH250" s="605">
        <f>+IF(AND(Tabla3[[#This Row],[Amortización k | cupón de intereses]]="Cupón de interés",Tabla3[[#This Row],[Estado]]="Vigente"),Tabla3[[#This Row],[Valor Nominal]],0)</f>
        <v>0</v>
      </c>
      <c r="AI250" s="618">
        <f>+IF(Tabla3[[#This Row],[Amortización k | cupón de intereses]]="Amortización de K",SUMIFS($AH$7:$AH$557,Tabla3[Código Emisión],Tabla3[[#This Row],[Código Emisión]],Tabla3[Fecha de operación],Tabla3[[#This Row],[Fecha de operación]]),0)-Tabla3[[#This Row],[Accrued]]*Tabla3[[#This Row],[Valor Nominal]]</f>
        <v>0</v>
      </c>
      <c r="AJ250" s="605">
        <f>+IF(Tabla3[[#This Row],[Amortización k | cupón de intereses]]="Amortización de K",IF(Tabla3[[#This Row],[Precio Clean]]&gt;1,Tabla3[[#This Row],[Valor Nominal]]*(Tabla3[[#This Row],[Precio Clean]]-1),0),0)</f>
        <v>0</v>
      </c>
      <c r="AK250" s="605">
        <f>+IF(Tabla3[[#This Row],[Amortización k | cupón de intereses]]="Amortización de K",IF(Tabla3[[#This Row],[Precio Clean]]&lt;1,Tabla3[[#This Row],[Valor Nominal]]*(Tabla3[[#This Row],[Precio Clean]]-1),0),0)</f>
        <v>0</v>
      </c>
    </row>
    <row r="251" spans="1:37">
      <c r="A251" s="502"/>
      <c r="B251" s="437" t="str">
        <f t="shared" si="158"/>
        <v>Bancop S.A.</v>
      </c>
      <c r="C251" s="437" t="str">
        <f t="shared" si="158"/>
        <v>BCO_6,50%_02102028_AA4088-91_250K</v>
      </c>
      <c r="D251" s="437" t="s">
        <v>453</v>
      </c>
      <c r="E251" s="437" t="str">
        <f t="shared" si="152"/>
        <v>AA-py</v>
      </c>
      <c r="F251" s="437" t="s">
        <v>297</v>
      </c>
      <c r="G251" s="437" t="s">
        <v>298</v>
      </c>
      <c r="H251" s="437">
        <v>2</v>
      </c>
      <c r="I251" s="492">
        <v>1380.1369863013699</v>
      </c>
      <c r="J251" s="451"/>
      <c r="K251" s="450"/>
      <c r="L251" s="451"/>
      <c r="M251" s="493"/>
      <c r="N251" s="493"/>
      <c r="O251" s="494">
        <f t="shared" si="159"/>
        <v>6.5560713410377516E-2</v>
      </c>
      <c r="P251" s="494">
        <f t="shared" si="159"/>
        <v>6.3669465351994248E-2</v>
      </c>
      <c r="Q251" s="450">
        <f t="shared" si="159"/>
        <v>45933</v>
      </c>
      <c r="R251" s="450">
        <v>45964</v>
      </c>
      <c r="S251" s="509" t="s">
        <v>146</v>
      </c>
      <c r="T251" s="510">
        <f>Tabla3[[#This Row],[Cantidad]]*Tabla3[[#This Row],[Cortes]]</f>
        <v>2760.2739726027398</v>
      </c>
      <c r="U251" s="511" t="b">
        <f t="shared" si="144"/>
        <v>0</v>
      </c>
      <c r="V251" s="511" t="b">
        <f t="shared" si="145"/>
        <v>0</v>
      </c>
      <c r="W251" s="497">
        <f>IF(Tabla3[[#This Row],[Fecha de operación]]=$C$1,0,U251-V251)</f>
        <v>0</v>
      </c>
      <c r="X251" s="512" t="str">
        <f t="shared" si="154"/>
        <v>Vencido</v>
      </c>
      <c r="Y251" s="498" t="s">
        <v>450</v>
      </c>
      <c r="Z251" s="469">
        <f t="shared" si="155"/>
        <v>-148</v>
      </c>
      <c r="AA251" s="499">
        <f t="shared" si="160"/>
        <v>2.2929492205809012</v>
      </c>
      <c r="AB251" s="499">
        <f t="shared" si="160"/>
        <v>2.2559734139672667</v>
      </c>
      <c r="AC251" s="469" t="s">
        <v>451</v>
      </c>
      <c r="AD251" s="469" t="s">
        <v>454</v>
      </c>
      <c r="AG251" s="605">
        <f>+IF(Tabla3[[#This Row],[Amortización k | cupón de intereses]]="Amortización de K",Tabla3[[#This Row],[Valor Nominal]],0)</f>
        <v>0</v>
      </c>
      <c r="AH251" s="605">
        <f>+IF(AND(Tabla3[[#This Row],[Amortización k | cupón de intereses]]="Cupón de interés",Tabla3[[#This Row],[Estado]]="Vigente"),Tabla3[[#This Row],[Valor Nominal]],0)</f>
        <v>0</v>
      </c>
      <c r="AI251" s="618">
        <f>+IF(Tabla3[[#This Row],[Amortización k | cupón de intereses]]="Amortización de K",SUMIFS($AH$7:$AH$557,Tabla3[Código Emisión],Tabla3[[#This Row],[Código Emisión]],Tabla3[Fecha de operación],Tabla3[[#This Row],[Fecha de operación]]),0)-Tabla3[[#This Row],[Accrued]]*Tabla3[[#This Row],[Valor Nominal]]</f>
        <v>0</v>
      </c>
      <c r="AJ251" s="605">
        <f>+IF(Tabla3[[#This Row],[Amortización k | cupón de intereses]]="Amortización de K",IF(Tabla3[[#This Row],[Precio Clean]]&gt;1,Tabla3[[#This Row],[Valor Nominal]]*(Tabla3[[#This Row],[Precio Clean]]-1),0),0)</f>
        <v>0</v>
      </c>
      <c r="AK251" s="605">
        <f>+IF(Tabla3[[#This Row],[Amortización k | cupón de intereses]]="Amortización de K",IF(Tabla3[[#This Row],[Precio Clean]]&lt;1,Tabla3[[#This Row],[Valor Nominal]]*(Tabla3[[#This Row],[Precio Clean]]-1),0),0)</f>
        <v>0</v>
      </c>
    </row>
    <row r="252" spans="1:37" ht="15">
      <c r="A252" s="500">
        <f>+A215+1</f>
        <v>24</v>
      </c>
      <c r="B252" s="475" t="s">
        <v>516</v>
      </c>
      <c r="C252" s="475" t="s">
        <v>564</v>
      </c>
      <c r="D252" s="475" t="s">
        <v>453</v>
      </c>
      <c r="E252" s="475" t="s">
        <v>449</v>
      </c>
      <c r="F252" s="475" t="s">
        <v>297</v>
      </c>
      <c r="G252" s="475" t="s">
        <v>298</v>
      </c>
      <c r="H252" s="475">
        <v>2</v>
      </c>
      <c r="I252" s="477">
        <v>250000</v>
      </c>
      <c r="J252" s="478">
        <v>6.5000000000000002E-2</v>
      </c>
      <c r="K252" s="479">
        <f>_xlfn.MAXIFS(R:R,C:C,C252,AD:AD,"Cupón de interés",X:X,"Vencido")</f>
        <v>46083</v>
      </c>
      <c r="L252" s="478">
        <f>+Tabla3[[#This Row],[Tasa de Interés]]*($U$5-Tabla3[[#This Row],[Last coupon]])/365</f>
        <v>5.1643835616438354E-3</v>
      </c>
      <c r="M252" s="480">
        <f>+Tabla3[[#This Row],[Precio Dirty]]-Tabla3[[#This Row],[Accrued]]</f>
        <v>1.0030620463697193</v>
      </c>
      <c r="N252" s="481">
        <f>SUMIFS(U:U,C:C,C252,Q:Q,Q252)/SUMIFS(T:T,C:C,C252,Q:Q,Q252,AD:AD,"Amortización de K")</f>
        <v>1.008226429931363</v>
      </c>
      <c r="O252" s="482">
        <v>6.5565869200000002E-2</v>
      </c>
      <c r="P252" s="482">
        <v>6.3669465351994248E-2</v>
      </c>
      <c r="Q252" s="484">
        <v>45937</v>
      </c>
      <c r="R252" s="484">
        <v>47028</v>
      </c>
      <c r="S252" s="504" t="s">
        <v>146</v>
      </c>
      <c r="T252" s="510">
        <f>Tabla3[[#This Row],[Cantidad]]*Tabla3[[#This Row],[Cortes]]</f>
        <v>500000</v>
      </c>
      <c r="U252" s="511">
        <f t="shared" si="144"/>
        <v>426338.72536133986</v>
      </c>
      <c r="V252" s="511">
        <f t="shared" si="145"/>
        <v>426264.55355899595</v>
      </c>
      <c r="W252" s="497">
        <f>IF(Tabla3[[#This Row],[Fecha de operación]]=$C$1,0,U252-V252)</f>
        <v>74.171802343917079</v>
      </c>
      <c r="X252" s="507" t="str">
        <f t="shared" si="154"/>
        <v>Vigente</v>
      </c>
      <c r="Y252" s="489" t="s">
        <v>450</v>
      </c>
      <c r="Z252" s="488">
        <f t="shared" si="155"/>
        <v>916</v>
      </c>
      <c r="AA252" s="508">
        <f t="shared" ref="AA252" si="161">IF(Y252="Mensual",DURATION($C$1,$C$1+Z252*12,J252/12,O252/12,1)/12,DURATION($C$1,R252,J252,O252,IF(Y252="Cupón cero",1,IF(Y252="Al vencimiento",1,IF(Y252="Anual",1,IF(Y252="Semestral",2,IF(Y252="Trimestral",4,"")))))))</f>
        <v>2.292947555581156</v>
      </c>
      <c r="AB252" s="508">
        <f t="shared" ref="AB252" si="162">IF(Y252="Mensual",MDURATION($C$1,$C$1+Z252*12,J252/12,O252/12,1)/12,MDURATION($C$1,R252,J252,O252,IF(Y252="Cupón cero",1,IF(Y252="Al vencimiento",1,IF(Y252="Anual",1,IF(Y252="Semestral",2,IF(Y252="Trimestral",4,"")))))))</f>
        <v>2.255968914883034</v>
      </c>
      <c r="AC252" s="488" t="s">
        <v>451</v>
      </c>
      <c r="AD252" s="488" t="s">
        <v>452</v>
      </c>
      <c r="AG252" s="605">
        <f>+IF(Tabla3[[#This Row],[Amortización k | cupón de intereses]]="Amortización de K",Tabla3[[#This Row],[Valor Nominal]],0)</f>
        <v>500000</v>
      </c>
      <c r="AH252" s="605">
        <f>+IF(AND(Tabla3[[#This Row],[Amortización k | cupón de intereses]]="Cupón de interés",Tabla3[[#This Row],[Estado]]="Vigente"),Tabla3[[#This Row],[Valor Nominal]],0)</f>
        <v>0</v>
      </c>
      <c r="AI252" s="618">
        <f>+IF(Tabla3[[#This Row],[Amortización k | cupón de intereses]]="Amortización de K",SUMIFS($AH$7:$AH$557,Tabla3[Código Emisión],Tabla3[[#This Row],[Código Emisión]],Tabla3[Fecha de operación],Tabla3[[#This Row],[Fecha de operación]]),0)-Tabla3[[#This Row],[Accrued]]*Tabla3[[#This Row],[Valor Nominal]]</f>
        <v>81561.39452054791</v>
      </c>
      <c r="AJ252" s="605">
        <f>+IF(Tabla3[[#This Row],[Amortización k | cupón de intereses]]="Amortización de K",IF(Tabla3[[#This Row],[Precio Clean]]&gt;1,Tabla3[[#This Row],[Valor Nominal]]*(Tabla3[[#This Row],[Precio Clean]]-1),0),0)</f>
        <v>1531.0231848596479</v>
      </c>
      <c r="AK252" s="605">
        <f>+IF(Tabla3[[#This Row],[Amortización k | cupón de intereses]]="Amortización de K",IF(Tabla3[[#This Row],[Precio Clean]]&lt;1,Tabla3[[#This Row],[Valor Nominal]]*(Tabla3[[#This Row],[Precio Clean]]-1),0),0)</f>
        <v>0</v>
      </c>
    </row>
    <row r="253" spans="1:37">
      <c r="A253" s="502"/>
      <c r="B253" s="437" t="str">
        <f>+B252</f>
        <v>Bancop S.A.</v>
      </c>
      <c r="C253" s="437" t="str">
        <f t="shared" ref="C253:C276" si="163">+C252</f>
        <v>BCO_6,50%_02102028_AA4088-91_250K</v>
      </c>
      <c r="D253" s="437" t="s">
        <v>453</v>
      </c>
      <c r="E253" s="437" t="str">
        <f>+E252</f>
        <v>AA-py</v>
      </c>
      <c r="F253" s="437" t="s">
        <v>297</v>
      </c>
      <c r="G253" s="437" t="s">
        <v>298</v>
      </c>
      <c r="H253" s="437">
        <v>2</v>
      </c>
      <c r="I253" s="492">
        <v>2003.3</v>
      </c>
      <c r="J253" s="451"/>
      <c r="K253" s="450"/>
      <c r="L253" s="451"/>
      <c r="M253" s="493"/>
      <c r="N253" s="493"/>
      <c r="O253" s="494">
        <f t="shared" ref="O253:Q268" si="164">+O252</f>
        <v>6.5565869200000002E-2</v>
      </c>
      <c r="P253" s="494">
        <f t="shared" si="164"/>
        <v>6.3669465351994248E-2</v>
      </c>
      <c r="Q253" s="450">
        <f t="shared" si="164"/>
        <v>45937</v>
      </c>
      <c r="R253" s="450">
        <v>47028</v>
      </c>
      <c r="S253" s="509" t="s">
        <v>146</v>
      </c>
      <c r="T253" s="510">
        <f>Tabla3[[#This Row],[Cantidad]]*Tabla3[[#This Row],[Cortes]]</f>
        <v>4006.6</v>
      </c>
      <c r="U253" s="511">
        <f t="shared" si="144"/>
        <v>3416.3374740654885</v>
      </c>
      <c r="V253" s="511">
        <f t="shared" si="145"/>
        <v>3415.7431205789462</v>
      </c>
      <c r="W253" s="497">
        <f>IF(Tabla3[[#This Row],[Fecha de operación]]=$C$1,0,U253-V253)</f>
        <v>0.59435348654233167</v>
      </c>
      <c r="X253" s="512" t="str">
        <f t="shared" si="154"/>
        <v>Vigente</v>
      </c>
      <c r="Y253" s="498" t="s">
        <v>450</v>
      </c>
      <c r="Z253" s="469">
        <f t="shared" si="155"/>
        <v>916</v>
      </c>
      <c r="AA253" s="499">
        <f>+AA252</f>
        <v>2.292947555581156</v>
      </c>
      <c r="AB253" s="499">
        <f>+AB252</f>
        <v>2.255968914883034</v>
      </c>
      <c r="AC253" s="469" t="s">
        <v>451</v>
      </c>
      <c r="AD253" s="469" t="s">
        <v>454</v>
      </c>
      <c r="AG253" s="605">
        <f>+IF(Tabla3[[#This Row],[Amortización k | cupón de intereses]]="Amortización de K",Tabla3[[#This Row],[Valor Nominal]],0)</f>
        <v>0</v>
      </c>
      <c r="AH253" s="605">
        <f>+IF(AND(Tabla3[[#This Row],[Amortización k | cupón de intereses]]="Cupón de interés",Tabla3[[#This Row],[Estado]]="Vigente"),Tabla3[[#This Row],[Valor Nominal]],0)</f>
        <v>4006.6</v>
      </c>
      <c r="AI253" s="618">
        <f>+IF(Tabla3[[#This Row],[Amortización k | cupón de intereses]]="Amortización de K",SUMIFS($AH$7:$AH$557,Tabla3[Código Emisión],Tabla3[[#This Row],[Código Emisión]],Tabla3[Fecha de operación],Tabla3[[#This Row],[Fecha de operación]]),0)-Tabla3[[#This Row],[Accrued]]*Tabla3[[#This Row],[Valor Nominal]]</f>
        <v>0</v>
      </c>
      <c r="AJ253" s="605">
        <f>+IF(Tabla3[[#This Row],[Amortización k | cupón de intereses]]="Amortización de K",IF(Tabla3[[#This Row],[Precio Clean]]&gt;1,Tabla3[[#This Row],[Valor Nominal]]*(Tabla3[[#This Row],[Precio Clean]]-1),0),0)</f>
        <v>0</v>
      </c>
      <c r="AK253" s="605">
        <f>+IF(Tabla3[[#This Row],[Amortización k | cupón de intereses]]="Amortización de K",IF(Tabla3[[#This Row],[Precio Clean]]&lt;1,Tabla3[[#This Row],[Valor Nominal]]*(Tabla3[[#This Row],[Precio Clean]]-1),0),0)</f>
        <v>0</v>
      </c>
    </row>
    <row r="254" spans="1:37">
      <c r="A254" s="502"/>
      <c r="B254" s="437" t="str">
        <f t="shared" ref="B254:B269" si="165">+B253</f>
        <v>Bancop S.A.</v>
      </c>
      <c r="C254" s="437" t="str">
        <f t="shared" si="163"/>
        <v>BCO_6,50%_02102028_AA4088-91_250K</v>
      </c>
      <c r="D254" s="437" t="s">
        <v>453</v>
      </c>
      <c r="E254" s="437" t="str">
        <f t="shared" ref="E254:E288" si="166">+E253</f>
        <v>AA-py</v>
      </c>
      <c r="F254" s="437" t="s">
        <v>297</v>
      </c>
      <c r="G254" s="437" t="s">
        <v>298</v>
      </c>
      <c r="H254" s="437">
        <v>2</v>
      </c>
      <c r="I254" s="492">
        <v>1335.6164383561643</v>
      </c>
      <c r="J254" s="451"/>
      <c r="K254" s="450"/>
      <c r="L254" s="451"/>
      <c r="M254" s="493"/>
      <c r="N254" s="493"/>
      <c r="O254" s="494">
        <f t="shared" si="164"/>
        <v>6.5565869200000002E-2</v>
      </c>
      <c r="P254" s="494">
        <f t="shared" si="164"/>
        <v>6.3669465351994248E-2</v>
      </c>
      <c r="Q254" s="450">
        <f t="shared" si="164"/>
        <v>45937</v>
      </c>
      <c r="R254" s="450">
        <v>46983</v>
      </c>
      <c r="S254" s="509" t="s">
        <v>146</v>
      </c>
      <c r="T254" s="510">
        <f>Tabla3[[#This Row],[Cantidad]]*Tabla3[[#This Row],[Cortes]]</f>
        <v>2671.2328767123286</v>
      </c>
      <c r="U254" s="511">
        <f t="shared" si="144"/>
        <v>2295.6033004167975</v>
      </c>
      <c r="V254" s="511">
        <f t="shared" si="145"/>
        <v>2295.2039254031524</v>
      </c>
      <c r="W254" s="497">
        <f>IF(Tabla3[[#This Row],[Fecha de operación]]=$C$1,0,U254-V254)</f>
        <v>0.39937501364511263</v>
      </c>
      <c r="X254" s="512" t="str">
        <f t="shared" si="154"/>
        <v>Vigente</v>
      </c>
      <c r="Y254" s="498" t="s">
        <v>450</v>
      </c>
      <c r="Z254" s="469">
        <f t="shared" si="155"/>
        <v>871</v>
      </c>
      <c r="AA254" s="499">
        <f t="shared" ref="AA254:AB269" si="167">+AA253</f>
        <v>2.292947555581156</v>
      </c>
      <c r="AB254" s="499">
        <f t="shared" si="167"/>
        <v>2.255968914883034</v>
      </c>
      <c r="AC254" s="469" t="s">
        <v>451</v>
      </c>
      <c r="AD254" s="469" t="s">
        <v>454</v>
      </c>
      <c r="AG254" s="605">
        <f>+IF(Tabla3[[#This Row],[Amortización k | cupón de intereses]]="Amortización de K",Tabla3[[#This Row],[Valor Nominal]],0)</f>
        <v>0</v>
      </c>
      <c r="AH254" s="605">
        <f>+IF(AND(Tabla3[[#This Row],[Amortización k | cupón de intereses]]="Cupón de interés",Tabla3[[#This Row],[Estado]]="Vigente"),Tabla3[[#This Row],[Valor Nominal]],0)</f>
        <v>2671.2328767123286</v>
      </c>
      <c r="AI254" s="618">
        <f>+IF(Tabla3[[#This Row],[Amortización k | cupón de intereses]]="Amortización de K",SUMIFS($AH$7:$AH$557,Tabla3[Código Emisión],Tabla3[[#This Row],[Código Emisión]],Tabla3[Fecha de operación],Tabla3[[#This Row],[Fecha de operación]]),0)-Tabla3[[#This Row],[Accrued]]*Tabla3[[#This Row],[Valor Nominal]]</f>
        <v>0</v>
      </c>
      <c r="AJ254" s="605">
        <f>+IF(Tabla3[[#This Row],[Amortización k | cupón de intereses]]="Amortización de K",IF(Tabla3[[#This Row],[Precio Clean]]&gt;1,Tabla3[[#This Row],[Valor Nominal]]*(Tabla3[[#This Row],[Precio Clean]]-1),0),0)</f>
        <v>0</v>
      </c>
      <c r="AK254" s="605">
        <f>+IF(Tabla3[[#This Row],[Amortización k | cupón de intereses]]="Amortización de K",IF(Tabla3[[#This Row],[Precio Clean]]&lt;1,Tabla3[[#This Row],[Valor Nominal]]*(Tabla3[[#This Row],[Precio Clean]]-1),0),0)</f>
        <v>0</v>
      </c>
    </row>
    <row r="255" spans="1:37">
      <c r="A255" s="502"/>
      <c r="B255" s="437" t="str">
        <f t="shared" si="165"/>
        <v>Bancop S.A.</v>
      </c>
      <c r="C255" s="437" t="str">
        <f t="shared" si="163"/>
        <v>BCO_6,50%_02102028_AA4088-91_250K</v>
      </c>
      <c r="D255" s="437" t="s">
        <v>453</v>
      </c>
      <c r="E255" s="437" t="str">
        <f t="shared" si="166"/>
        <v>AA-py</v>
      </c>
      <c r="F255" s="437" t="s">
        <v>297</v>
      </c>
      <c r="G255" s="437" t="s">
        <v>298</v>
      </c>
      <c r="H255" s="437">
        <v>2</v>
      </c>
      <c r="I255" s="492">
        <v>1335.6164383561643</v>
      </c>
      <c r="J255" s="451"/>
      <c r="K255" s="450"/>
      <c r="L255" s="451"/>
      <c r="M255" s="493"/>
      <c r="N255" s="493"/>
      <c r="O255" s="494">
        <f t="shared" si="164"/>
        <v>6.5565869200000002E-2</v>
      </c>
      <c r="P255" s="494">
        <f t="shared" si="164"/>
        <v>6.3669465351994248E-2</v>
      </c>
      <c r="Q255" s="450">
        <f t="shared" si="164"/>
        <v>45937</v>
      </c>
      <c r="R255" s="450">
        <v>46953</v>
      </c>
      <c r="S255" s="509" t="s">
        <v>146</v>
      </c>
      <c r="T255" s="510">
        <f>Tabla3[[#This Row],[Cantidad]]*Tabla3[[#This Row],[Cortes]]</f>
        <v>2671.2328767123286</v>
      </c>
      <c r="U255" s="511">
        <f t="shared" si="144"/>
        <v>2307.6169194496965</v>
      </c>
      <c r="V255" s="511">
        <f t="shared" si="145"/>
        <v>2307.2154543801325</v>
      </c>
      <c r="W255" s="497">
        <f>IF(Tabla3[[#This Row],[Fecha de operación]]=$C$1,0,U255-V255)</f>
        <v>0.40146506956398298</v>
      </c>
      <c r="X255" s="512" t="str">
        <f t="shared" si="154"/>
        <v>Vigente</v>
      </c>
      <c r="Y255" s="498" t="s">
        <v>450</v>
      </c>
      <c r="Z255" s="469">
        <f t="shared" si="155"/>
        <v>841</v>
      </c>
      <c r="AA255" s="499">
        <f t="shared" si="167"/>
        <v>2.292947555581156</v>
      </c>
      <c r="AB255" s="499">
        <f t="shared" si="167"/>
        <v>2.255968914883034</v>
      </c>
      <c r="AC255" s="469" t="s">
        <v>451</v>
      </c>
      <c r="AD255" s="469" t="s">
        <v>454</v>
      </c>
      <c r="AG255" s="605">
        <f>+IF(Tabla3[[#This Row],[Amortización k | cupón de intereses]]="Amortización de K",Tabla3[[#This Row],[Valor Nominal]],0)</f>
        <v>0</v>
      </c>
      <c r="AH255" s="605">
        <f>+IF(AND(Tabla3[[#This Row],[Amortización k | cupón de intereses]]="Cupón de interés",Tabla3[[#This Row],[Estado]]="Vigente"),Tabla3[[#This Row],[Valor Nominal]],0)</f>
        <v>2671.2328767123286</v>
      </c>
      <c r="AI255" s="618">
        <f>+IF(Tabla3[[#This Row],[Amortización k | cupón de intereses]]="Amortización de K",SUMIFS($AH$7:$AH$557,Tabla3[Código Emisión],Tabla3[[#This Row],[Código Emisión]],Tabla3[Fecha de operación],Tabla3[[#This Row],[Fecha de operación]]),0)-Tabla3[[#This Row],[Accrued]]*Tabla3[[#This Row],[Valor Nominal]]</f>
        <v>0</v>
      </c>
      <c r="AJ255" s="605">
        <f>+IF(Tabla3[[#This Row],[Amortización k | cupón de intereses]]="Amortización de K",IF(Tabla3[[#This Row],[Precio Clean]]&gt;1,Tabla3[[#This Row],[Valor Nominal]]*(Tabla3[[#This Row],[Precio Clean]]-1),0),0)</f>
        <v>0</v>
      </c>
      <c r="AK255" s="605">
        <f>+IF(Tabla3[[#This Row],[Amortización k | cupón de intereses]]="Amortización de K",IF(Tabla3[[#This Row],[Precio Clean]]&lt;1,Tabla3[[#This Row],[Valor Nominal]]*(Tabla3[[#This Row],[Precio Clean]]-1),0),0)</f>
        <v>0</v>
      </c>
    </row>
    <row r="256" spans="1:37">
      <c r="A256" s="502"/>
      <c r="B256" s="437" t="str">
        <f t="shared" si="165"/>
        <v>Bancop S.A.</v>
      </c>
      <c r="C256" s="437" t="str">
        <f t="shared" si="163"/>
        <v>BCO_6,50%_02102028_AA4088-91_250K</v>
      </c>
      <c r="D256" s="437" t="s">
        <v>453</v>
      </c>
      <c r="E256" s="437" t="str">
        <f t="shared" si="166"/>
        <v>AA-py</v>
      </c>
      <c r="F256" s="437" t="s">
        <v>297</v>
      </c>
      <c r="G256" s="437" t="s">
        <v>298</v>
      </c>
      <c r="H256" s="437">
        <v>2</v>
      </c>
      <c r="I256" s="492">
        <v>1246.5753424657535</v>
      </c>
      <c r="J256" s="451"/>
      <c r="K256" s="450"/>
      <c r="L256" s="451"/>
      <c r="M256" s="493"/>
      <c r="N256" s="493"/>
      <c r="O256" s="494">
        <f t="shared" si="164"/>
        <v>6.5565869200000002E-2</v>
      </c>
      <c r="P256" s="494">
        <f t="shared" si="164"/>
        <v>6.3669465351994248E-2</v>
      </c>
      <c r="Q256" s="450">
        <f t="shared" si="164"/>
        <v>45937</v>
      </c>
      <c r="R256" s="450">
        <v>46923</v>
      </c>
      <c r="S256" s="509" t="s">
        <v>146</v>
      </c>
      <c r="T256" s="510">
        <f>Tabla3[[#This Row],[Cantidad]]*Tabla3[[#This Row],[Cortes]]</f>
        <v>2493.1506849315069</v>
      </c>
      <c r="U256" s="511">
        <f t="shared" si="144"/>
        <v>2165.0471822517216</v>
      </c>
      <c r="V256" s="511">
        <f t="shared" si="145"/>
        <v>2164.6705205925418</v>
      </c>
      <c r="W256" s="497">
        <f>IF(Tabla3[[#This Row],[Fecha de operación]]=$C$1,0,U256-V256)</f>
        <v>0.37666165917971739</v>
      </c>
      <c r="X256" s="512" t="str">
        <f t="shared" si="154"/>
        <v>Vigente</v>
      </c>
      <c r="Y256" s="498" t="s">
        <v>450</v>
      </c>
      <c r="Z256" s="469">
        <f t="shared" si="155"/>
        <v>811</v>
      </c>
      <c r="AA256" s="499">
        <f t="shared" si="167"/>
        <v>2.292947555581156</v>
      </c>
      <c r="AB256" s="499">
        <f t="shared" si="167"/>
        <v>2.255968914883034</v>
      </c>
      <c r="AC256" s="469" t="s">
        <v>451</v>
      </c>
      <c r="AD256" s="469" t="s">
        <v>454</v>
      </c>
      <c r="AG256" s="605">
        <f>+IF(Tabla3[[#This Row],[Amortización k | cupón de intereses]]="Amortización de K",Tabla3[[#This Row],[Valor Nominal]],0)</f>
        <v>0</v>
      </c>
      <c r="AH256" s="605">
        <f>+IF(AND(Tabla3[[#This Row],[Amortización k | cupón de intereses]]="Cupón de interés",Tabla3[[#This Row],[Estado]]="Vigente"),Tabla3[[#This Row],[Valor Nominal]],0)</f>
        <v>2493.1506849315069</v>
      </c>
      <c r="AI256" s="618">
        <f>+IF(Tabla3[[#This Row],[Amortización k | cupón de intereses]]="Amortización de K",SUMIFS($AH$7:$AH$557,Tabla3[Código Emisión],Tabla3[[#This Row],[Código Emisión]],Tabla3[Fecha de operación],Tabla3[[#This Row],[Fecha de operación]]),0)-Tabla3[[#This Row],[Accrued]]*Tabla3[[#This Row],[Valor Nominal]]</f>
        <v>0</v>
      </c>
      <c r="AJ256" s="605">
        <f>+IF(Tabla3[[#This Row],[Amortización k | cupón de intereses]]="Amortización de K",IF(Tabla3[[#This Row],[Precio Clean]]&gt;1,Tabla3[[#This Row],[Valor Nominal]]*(Tabla3[[#This Row],[Precio Clean]]-1),0),0)</f>
        <v>0</v>
      </c>
      <c r="AK256" s="605">
        <f>+IF(Tabla3[[#This Row],[Amortización k | cupón de intereses]]="Amortización de K",IF(Tabla3[[#This Row],[Precio Clean]]&lt;1,Tabla3[[#This Row],[Valor Nominal]]*(Tabla3[[#This Row],[Precio Clean]]-1),0),0)</f>
        <v>0</v>
      </c>
    </row>
    <row r="257" spans="1:37">
      <c r="A257" s="502"/>
      <c r="B257" s="437" t="str">
        <f t="shared" si="165"/>
        <v>Bancop S.A.</v>
      </c>
      <c r="C257" s="437" t="str">
        <f t="shared" si="163"/>
        <v>BCO_6,50%_02102028_AA4088-91_250K</v>
      </c>
      <c r="D257" s="437" t="s">
        <v>453</v>
      </c>
      <c r="E257" s="437" t="str">
        <f t="shared" si="166"/>
        <v>AA-py</v>
      </c>
      <c r="F257" s="437" t="s">
        <v>297</v>
      </c>
      <c r="G257" s="437" t="s">
        <v>298</v>
      </c>
      <c r="H257" s="437">
        <v>2</v>
      </c>
      <c r="I257" s="492">
        <v>1424.6575342465753</v>
      </c>
      <c r="J257" s="451"/>
      <c r="K257" s="450"/>
      <c r="L257" s="451"/>
      <c r="M257" s="493"/>
      <c r="N257" s="493"/>
      <c r="O257" s="494">
        <f t="shared" si="164"/>
        <v>6.5565869200000002E-2</v>
      </c>
      <c r="P257" s="494">
        <f t="shared" si="164"/>
        <v>6.3669465351994248E-2</v>
      </c>
      <c r="Q257" s="450">
        <f t="shared" si="164"/>
        <v>45937</v>
      </c>
      <c r="R257" s="450">
        <v>46895</v>
      </c>
      <c r="S257" s="509" t="s">
        <v>146</v>
      </c>
      <c r="T257" s="510">
        <f>Tabla3[[#This Row],[Cantidad]]*Tabla3[[#This Row],[Cortes]]</f>
        <v>2849.3150684931506</v>
      </c>
      <c r="U257" s="511">
        <f t="shared" si="144"/>
        <v>2486.4232685127918</v>
      </c>
      <c r="V257" s="511">
        <f t="shared" si="145"/>
        <v>2485.9906958088714</v>
      </c>
      <c r="W257" s="497">
        <f>IF(Tabla3[[#This Row],[Fecha de operación]]=$C$1,0,U257-V257)</f>
        <v>0.43257270392041391</v>
      </c>
      <c r="X257" s="512" t="str">
        <f t="shared" si="154"/>
        <v>Vigente</v>
      </c>
      <c r="Y257" s="498" t="s">
        <v>450</v>
      </c>
      <c r="Z257" s="469">
        <f t="shared" si="155"/>
        <v>783</v>
      </c>
      <c r="AA257" s="499">
        <f t="shared" si="167"/>
        <v>2.292947555581156</v>
      </c>
      <c r="AB257" s="499">
        <f t="shared" si="167"/>
        <v>2.255968914883034</v>
      </c>
      <c r="AC257" s="469" t="s">
        <v>451</v>
      </c>
      <c r="AD257" s="469" t="s">
        <v>454</v>
      </c>
      <c r="AG257" s="605">
        <f>+IF(Tabla3[[#This Row],[Amortización k | cupón de intereses]]="Amortización de K",Tabla3[[#This Row],[Valor Nominal]],0)</f>
        <v>0</v>
      </c>
      <c r="AH257" s="605">
        <f>+IF(AND(Tabla3[[#This Row],[Amortización k | cupón de intereses]]="Cupón de interés",Tabla3[[#This Row],[Estado]]="Vigente"),Tabla3[[#This Row],[Valor Nominal]],0)</f>
        <v>2849.3150684931506</v>
      </c>
      <c r="AI257" s="618">
        <f>+IF(Tabla3[[#This Row],[Amortización k | cupón de intereses]]="Amortización de K",SUMIFS($AH$7:$AH$557,Tabla3[Código Emisión],Tabla3[[#This Row],[Código Emisión]],Tabla3[Fecha de operación],Tabla3[[#This Row],[Fecha de operación]]),0)-Tabla3[[#This Row],[Accrued]]*Tabla3[[#This Row],[Valor Nominal]]</f>
        <v>0</v>
      </c>
      <c r="AJ257" s="605">
        <f>+IF(Tabla3[[#This Row],[Amortización k | cupón de intereses]]="Amortización de K",IF(Tabla3[[#This Row],[Precio Clean]]&gt;1,Tabla3[[#This Row],[Valor Nominal]]*(Tabla3[[#This Row],[Precio Clean]]-1),0),0)</f>
        <v>0</v>
      </c>
      <c r="AK257" s="605">
        <f>+IF(Tabla3[[#This Row],[Amortización k | cupón de intereses]]="Amortización de K",IF(Tabla3[[#This Row],[Precio Clean]]&lt;1,Tabla3[[#This Row],[Valor Nominal]]*(Tabla3[[#This Row],[Precio Clean]]-1),0),0)</f>
        <v>0</v>
      </c>
    </row>
    <row r="258" spans="1:37">
      <c r="A258" s="502"/>
      <c r="B258" s="437" t="str">
        <f t="shared" si="165"/>
        <v>Bancop S.A.</v>
      </c>
      <c r="C258" s="437" t="str">
        <f t="shared" si="163"/>
        <v>BCO_6,50%_02102028_AA4088-91_250K</v>
      </c>
      <c r="D258" s="437" t="s">
        <v>453</v>
      </c>
      <c r="E258" s="437" t="str">
        <f t="shared" si="166"/>
        <v>AA-py</v>
      </c>
      <c r="F258" s="437" t="s">
        <v>297</v>
      </c>
      <c r="G258" s="437" t="s">
        <v>298</v>
      </c>
      <c r="H258" s="437">
        <v>2</v>
      </c>
      <c r="I258" s="492">
        <v>1335.6164383561643</v>
      </c>
      <c r="J258" s="451"/>
      <c r="K258" s="450"/>
      <c r="L258" s="451"/>
      <c r="M258" s="493"/>
      <c r="N258" s="493"/>
      <c r="O258" s="494">
        <f t="shared" si="164"/>
        <v>6.5565869200000002E-2</v>
      </c>
      <c r="P258" s="494">
        <f t="shared" si="164"/>
        <v>6.3669465351994248E-2</v>
      </c>
      <c r="Q258" s="450">
        <f t="shared" si="164"/>
        <v>45937</v>
      </c>
      <c r="R258" s="450">
        <v>46863</v>
      </c>
      <c r="S258" s="509" t="s">
        <v>146</v>
      </c>
      <c r="T258" s="510">
        <f>Tabla3[[#This Row],[Cantidad]]*Tabla3[[#This Row],[Cortes]]</f>
        <v>2671.2328767123286</v>
      </c>
      <c r="U258" s="511">
        <f t="shared" si="144"/>
        <v>2344.0363208041404</v>
      </c>
      <c r="V258" s="511">
        <f t="shared" si="145"/>
        <v>2343.6285197100069</v>
      </c>
      <c r="W258" s="497">
        <f>IF(Tabla3[[#This Row],[Fecha de operación]]=$C$1,0,U258-V258)</f>
        <v>0.4078010941334469</v>
      </c>
      <c r="X258" s="512" t="str">
        <f t="shared" si="154"/>
        <v>Vigente</v>
      </c>
      <c r="Y258" s="498" t="s">
        <v>450</v>
      </c>
      <c r="Z258" s="469">
        <f t="shared" si="155"/>
        <v>751</v>
      </c>
      <c r="AA258" s="499">
        <f t="shared" si="167"/>
        <v>2.292947555581156</v>
      </c>
      <c r="AB258" s="499">
        <f t="shared" si="167"/>
        <v>2.255968914883034</v>
      </c>
      <c r="AC258" s="469" t="s">
        <v>451</v>
      </c>
      <c r="AD258" s="469" t="s">
        <v>454</v>
      </c>
      <c r="AG258" s="605">
        <f>+IF(Tabla3[[#This Row],[Amortización k | cupón de intereses]]="Amortización de K",Tabla3[[#This Row],[Valor Nominal]],0)</f>
        <v>0</v>
      </c>
      <c r="AH258" s="605">
        <f>+IF(AND(Tabla3[[#This Row],[Amortización k | cupón de intereses]]="Cupón de interés",Tabla3[[#This Row],[Estado]]="Vigente"),Tabla3[[#This Row],[Valor Nominal]],0)</f>
        <v>2671.2328767123286</v>
      </c>
      <c r="AI258" s="618">
        <f>+IF(Tabla3[[#This Row],[Amortización k | cupón de intereses]]="Amortización de K",SUMIFS($AH$7:$AH$557,Tabla3[Código Emisión],Tabla3[[#This Row],[Código Emisión]],Tabla3[Fecha de operación],Tabla3[[#This Row],[Fecha de operación]]),0)-Tabla3[[#This Row],[Accrued]]*Tabla3[[#This Row],[Valor Nominal]]</f>
        <v>0</v>
      </c>
      <c r="AJ258" s="605">
        <f>+IF(Tabla3[[#This Row],[Amortización k | cupón de intereses]]="Amortización de K",IF(Tabla3[[#This Row],[Precio Clean]]&gt;1,Tabla3[[#This Row],[Valor Nominal]]*(Tabla3[[#This Row],[Precio Clean]]-1),0),0)</f>
        <v>0</v>
      </c>
      <c r="AK258" s="605">
        <f>+IF(Tabla3[[#This Row],[Amortización k | cupón de intereses]]="Amortización de K",IF(Tabla3[[#This Row],[Precio Clean]]&lt;1,Tabla3[[#This Row],[Valor Nominal]]*(Tabla3[[#This Row],[Precio Clean]]-1),0),0)</f>
        <v>0</v>
      </c>
    </row>
    <row r="259" spans="1:37">
      <c r="A259" s="502"/>
      <c r="B259" s="437" t="str">
        <f t="shared" si="165"/>
        <v>Bancop S.A.</v>
      </c>
      <c r="C259" s="437" t="str">
        <f t="shared" si="163"/>
        <v>BCO_6,50%_02102028_AA4088-91_250K</v>
      </c>
      <c r="D259" s="437" t="s">
        <v>453</v>
      </c>
      <c r="E259" s="437" t="str">
        <f t="shared" si="166"/>
        <v>AA-py</v>
      </c>
      <c r="F259" s="437" t="s">
        <v>297</v>
      </c>
      <c r="G259" s="437" t="s">
        <v>298</v>
      </c>
      <c r="H259" s="437">
        <v>2</v>
      </c>
      <c r="I259" s="492">
        <v>1291.0958904109589</v>
      </c>
      <c r="J259" s="451"/>
      <c r="K259" s="450"/>
      <c r="L259" s="451"/>
      <c r="M259" s="493"/>
      <c r="N259" s="493"/>
      <c r="O259" s="494">
        <f t="shared" si="164"/>
        <v>6.5565869200000002E-2</v>
      </c>
      <c r="P259" s="494">
        <f t="shared" si="164"/>
        <v>6.3669465351994248E-2</v>
      </c>
      <c r="Q259" s="450">
        <f t="shared" si="164"/>
        <v>45937</v>
      </c>
      <c r="R259" s="450">
        <v>46833</v>
      </c>
      <c r="S259" s="509" t="s">
        <v>146</v>
      </c>
      <c r="T259" s="510">
        <f>Tabla3[[#This Row],[Cantidad]]*Tabla3[[#This Row],[Cortes]]</f>
        <v>2582.1917808219177</v>
      </c>
      <c r="U259" s="511">
        <f t="shared" si="144"/>
        <v>2277.7599583312781</v>
      </c>
      <c r="V259" s="511">
        <f t="shared" si="145"/>
        <v>2277.363687593092</v>
      </c>
      <c r="W259" s="497">
        <f>IF(Tabla3[[#This Row],[Fecha de operación]]=$C$1,0,U259-V259)</f>
        <v>0.3962707381861037</v>
      </c>
      <c r="X259" s="512" t="str">
        <f t="shared" si="154"/>
        <v>Vigente</v>
      </c>
      <c r="Y259" s="498" t="s">
        <v>450</v>
      </c>
      <c r="Z259" s="469">
        <f t="shared" si="155"/>
        <v>721</v>
      </c>
      <c r="AA259" s="499">
        <f t="shared" si="167"/>
        <v>2.292947555581156</v>
      </c>
      <c r="AB259" s="499">
        <f t="shared" si="167"/>
        <v>2.255968914883034</v>
      </c>
      <c r="AC259" s="469" t="s">
        <v>451</v>
      </c>
      <c r="AD259" s="469" t="s">
        <v>454</v>
      </c>
      <c r="AG259" s="605">
        <f>+IF(Tabla3[[#This Row],[Amortización k | cupón de intereses]]="Amortización de K",Tabla3[[#This Row],[Valor Nominal]],0)</f>
        <v>0</v>
      </c>
      <c r="AH259" s="605">
        <f>+IF(AND(Tabla3[[#This Row],[Amortización k | cupón de intereses]]="Cupón de interés",Tabla3[[#This Row],[Estado]]="Vigente"),Tabla3[[#This Row],[Valor Nominal]],0)</f>
        <v>2582.1917808219177</v>
      </c>
      <c r="AI259" s="618">
        <f>+IF(Tabla3[[#This Row],[Amortización k | cupón de intereses]]="Amortización de K",SUMIFS($AH$7:$AH$557,Tabla3[Código Emisión],Tabla3[[#This Row],[Código Emisión]],Tabla3[Fecha de operación],Tabla3[[#This Row],[Fecha de operación]]),0)-Tabla3[[#This Row],[Accrued]]*Tabla3[[#This Row],[Valor Nominal]]</f>
        <v>0</v>
      </c>
      <c r="AJ259" s="605">
        <f>+IF(Tabla3[[#This Row],[Amortización k | cupón de intereses]]="Amortización de K",IF(Tabla3[[#This Row],[Precio Clean]]&gt;1,Tabla3[[#This Row],[Valor Nominal]]*(Tabla3[[#This Row],[Precio Clean]]-1),0),0)</f>
        <v>0</v>
      </c>
      <c r="AK259" s="605">
        <f>+IF(Tabla3[[#This Row],[Amortización k | cupón de intereses]]="Amortización de K",IF(Tabla3[[#This Row],[Precio Clean]]&lt;1,Tabla3[[#This Row],[Valor Nominal]]*(Tabla3[[#This Row],[Precio Clean]]-1),0),0)</f>
        <v>0</v>
      </c>
    </row>
    <row r="260" spans="1:37">
      <c r="A260" s="502"/>
      <c r="B260" s="437" t="str">
        <f t="shared" si="165"/>
        <v>Bancop S.A.</v>
      </c>
      <c r="C260" s="437" t="str">
        <f t="shared" si="163"/>
        <v>BCO_6,50%_02102028_AA4088-91_250K</v>
      </c>
      <c r="D260" s="437" t="s">
        <v>453</v>
      </c>
      <c r="E260" s="437" t="str">
        <f t="shared" si="166"/>
        <v>AA-py</v>
      </c>
      <c r="F260" s="437" t="s">
        <v>297</v>
      </c>
      <c r="G260" s="437" t="s">
        <v>298</v>
      </c>
      <c r="H260" s="437">
        <v>2</v>
      </c>
      <c r="I260" s="492">
        <v>1380.1369863013699</v>
      </c>
      <c r="J260" s="451"/>
      <c r="K260" s="450"/>
      <c r="L260" s="451"/>
      <c r="M260" s="493"/>
      <c r="N260" s="493"/>
      <c r="O260" s="494">
        <f t="shared" si="164"/>
        <v>6.5565869200000002E-2</v>
      </c>
      <c r="P260" s="494">
        <f t="shared" si="164"/>
        <v>6.3669465351994248E-2</v>
      </c>
      <c r="Q260" s="450">
        <f t="shared" si="164"/>
        <v>45937</v>
      </c>
      <c r="R260" s="450">
        <v>46804</v>
      </c>
      <c r="S260" s="509" t="s">
        <v>146</v>
      </c>
      <c r="T260" s="510">
        <f>Tabla3[[#This Row],[Cantidad]]*Tabla3[[#This Row],[Cortes]]</f>
        <v>2760.2739726027398</v>
      </c>
      <c r="U260" s="511">
        <f t="shared" si="144"/>
        <v>2447.1633600564592</v>
      </c>
      <c r="V260" s="511">
        <f t="shared" si="145"/>
        <v>2446.7376175511504</v>
      </c>
      <c r="W260" s="497">
        <f>IF(Tabla3[[#This Row],[Fecha de operación]]=$C$1,0,U260-V260)</f>
        <v>0.42574250530878999</v>
      </c>
      <c r="X260" s="512" t="str">
        <f t="shared" si="154"/>
        <v>Vigente</v>
      </c>
      <c r="Y260" s="498" t="s">
        <v>450</v>
      </c>
      <c r="Z260" s="469">
        <f t="shared" si="155"/>
        <v>692</v>
      </c>
      <c r="AA260" s="499">
        <f t="shared" si="167"/>
        <v>2.292947555581156</v>
      </c>
      <c r="AB260" s="499">
        <f t="shared" si="167"/>
        <v>2.255968914883034</v>
      </c>
      <c r="AC260" s="469" t="s">
        <v>451</v>
      </c>
      <c r="AD260" s="469" t="s">
        <v>454</v>
      </c>
      <c r="AG260" s="605">
        <f>+IF(Tabla3[[#This Row],[Amortización k | cupón de intereses]]="Amortización de K",Tabla3[[#This Row],[Valor Nominal]],0)</f>
        <v>0</v>
      </c>
      <c r="AH260" s="605">
        <f>+IF(AND(Tabla3[[#This Row],[Amortización k | cupón de intereses]]="Cupón de interés",Tabla3[[#This Row],[Estado]]="Vigente"),Tabla3[[#This Row],[Valor Nominal]],0)</f>
        <v>2760.2739726027398</v>
      </c>
      <c r="AI260" s="618">
        <f>+IF(Tabla3[[#This Row],[Amortización k | cupón de intereses]]="Amortización de K",SUMIFS($AH$7:$AH$557,Tabla3[Código Emisión],Tabla3[[#This Row],[Código Emisión]],Tabla3[Fecha de operación],Tabla3[[#This Row],[Fecha de operación]]),0)-Tabla3[[#This Row],[Accrued]]*Tabla3[[#This Row],[Valor Nominal]]</f>
        <v>0</v>
      </c>
      <c r="AJ260" s="605">
        <f>+IF(Tabla3[[#This Row],[Amortización k | cupón de intereses]]="Amortización de K",IF(Tabla3[[#This Row],[Precio Clean]]&gt;1,Tabla3[[#This Row],[Valor Nominal]]*(Tabla3[[#This Row],[Precio Clean]]-1),0),0)</f>
        <v>0</v>
      </c>
      <c r="AK260" s="605">
        <f>+IF(Tabla3[[#This Row],[Amortización k | cupón de intereses]]="Amortización de K",IF(Tabla3[[#This Row],[Precio Clean]]&lt;1,Tabla3[[#This Row],[Valor Nominal]]*(Tabla3[[#This Row],[Precio Clean]]-1),0),0)</f>
        <v>0</v>
      </c>
    </row>
    <row r="261" spans="1:37">
      <c r="A261" s="502"/>
      <c r="B261" s="437" t="str">
        <f t="shared" si="165"/>
        <v>Bancop S.A.</v>
      </c>
      <c r="C261" s="437" t="str">
        <f t="shared" si="163"/>
        <v>BCO_6,50%_02102028_AA4088-91_250K</v>
      </c>
      <c r="D261" s="437" t="s">
        <v>453</v>
      </c>
      <c r="E261" s="437" t="str">
        <f t="shared" si="166"/>
        <v>AA-py</v>
      </c>
      <c r="F261" s="437" t="s">
        <v>297</v>
      </c>
      <c r="G261" s="437" t="s">
        <v>298</v>
      </c>
      <c r="H261" s="437">
        <v>2</v>
      </c>
      <c r="I261" s="492">
        <v>1335.6164383561643</v>
      </c>
      <c r="J261" s="451"/>
      <c r="K261" s="450"/>
      <c r="L261" s="451"/>
      <c r="M261" s="493"/>
      <c r="N261" s="493"/>
      <c r="O261" s="494">
        <f t="shared" si="164"/>
        <v>6.5565869200000002E-2</v>
      </c>
      <c r="P261" s="494">
        <f t="shared" si="164"/>
        <v>6.3669465351994248E-2</v>
      </c>
      <c r="Q261" s="450">
        <f t="shared" si="164"/>
        <v>45937</v>
      </c>
      <c r="R261" s="450">
        <v>46773</v>
      </c>
      <c r="S261" s="509" t="s">
        <v>146</v>
      </c>
      <c r="T261" s="510">
        <f>Tabla3[[#This Row],[Cantidad]]*Tabla3[[#This Row],[Cortes]]</f>
        <v>2671.2328767123286</v>
      </c>
      <c r="U261" s="511">
        <f t="shared" si="144"/>
        <v>2381.0305024801514</v>
      </c>
      <c r="V261" s="511">
        <f t="shared" si="145"/>
        <v>2380.6162653646866</v>
      </c>
      <c r="W261" s="497">
        <f>IF(Tabla3[[#This Row],[Fecha de operación]]=$C$1,0,U261-V261)</f>
        <v>0.4142371154648572</v>
      </c>
      <c r="X261" s="512" t="str">
        <f t="shared" si="154"/>
        <v>Vigente</v>
      </c>
      <c r="Y261" s="498" t="s">
        <v>450</v>
      </c>
      <c r="Z261" s="469">
        <f t="shared" si="155"/>
        <v>661</v>
      </c>
      <c r="AA261" s="499">
        <f t="shared" si="167"/>
        <v>2.292947555581156</v>
      </c>
      <c r="AB261" s="499">
        <f t="shared" si="167"/>
        <v>2.255968914883034</v>
      </c>
      <c r="AC261" s="469" t="s">
        <v>451</v>
      </c>
      <c r="AD261" s="469" t="s">
        <v>454</v>
      </c>
      <c r="AG261" s="605">
        <f>+IF(Tabla3[[#This Row],[Amortización k | cupón de intereses]]="Amortización de K",Tabla3[[#This Row],[Valor Nominal]],0)</f>
        <v>0</v>
      </c>
      <c r="AH261" s="605">
        <f>+IF(AND(Tabla3[[#This Row],[Amortización k | cupón de intereses]]="Cupón de interés",Tabla3[[#This Row],[Estado]]="Vigente"),Tabla3[[#This Row],[Valor Nominal]],0)</f>
        <v>2671.2328767123286</v>
      </c>
      <c r="AI261" s="618">
        <f>+IF(Tabla3[[#This Row],[Amortización k | cupón de intereses]]="Amortización de K",SUMIFS($AH$7:$AH$557,Tabla3[Código Emisión],Tabla3[[#This Row],[Código Emisión]],Tabla3[Fecha de operación],Tabla3[[#This Row],[Fecha de operación]]),0)-Tabla3[[#This Row],[Accrued]]*Tabla3[[#This Row],[Valor Nominal]]</f>
        <v>0</v>
      </c>
      <c r="AJ261" s="605">
        <f>+IF(Tabla3[[#This Row],[Amortización k | cupón de intereses]]="Amortización de K",IF(Tabla3[[#This Row],[Precio Clean]]&gt;1,Tabla3[[#This Row],[Valor Nominal]]*(Tabla3[[#This Row],[Precio Clean]]-1),0),0)</f>
        <v>0</v>
      </c>
      <c r="AK261" s="605">
        <f>+IF(Tabla3[[#This Row],[Amortización k | cupón de intereses]]="Amortización de K",IF(Tabla3[[#This Row],[Precio Clean]]&lt;1,Tabla3[[#This Row],[Valor Nominal]]*(Tabla3[[#This Row],[Precio Clean]]-1),0),0)</f>
        <v>0</v>
      </c>
    </row>
    <row r="262" spans="1:37">
      <c r="A262" s="502"/>
      <c r="B262" s="437" t="str">
        <f t="shared" si="165"/>
        <v>Bancop S.A.</v>
      </c>
      <c r="C262" s="437" t="str">
        <f t="shared" si="163"/>
        <v>BCO_6,50%_02102028_AA4088-91_250K</v>
      </c>
      <c r="D262" s="437" t="s">
        <v>453</v>
      </c>
      <c r="E262" s="437" t="str">
        <f t="shared" si="166"/>
        <v>AA-py</v>
      </c>
      <c r="F262" s="437" t="s">
        <v>297</v>
      </c>
      <c r="G262" s="437" t="s">
        <v>298</v>
      </c>
      <c r="H262" s="437">
        <v>2</v>
      </c>
      <c r="I262" s="492">
        <v>1335.6164383561643</v>
      </c>
      <c r="J262" s="451"/>
      <c r="K262" s="450"/>
      <c r="L262" s="451"/>
      <c r="M262" s="493"/>
      <c r="N262" s="493"/>
      <c r="O262" s="494">
        <f t="shared" si="164"/>
        <v>6.5565869200000002E-2</v>
      </c>
      <c r="P262" s="494">
        <f t="shared" si="164"/>
        <v>6.3669465351994248E-2</v>
      </c>
      <c r="Q262" s="450">
        <f t="shared" si="164"/>
        <v>45937</v>
      </c>
      <c r="R262" s="450">
        <v>46743</v>
      </c>
      <c r="S262" s="509" t="s">
        <v>146</v>
      </c>
      <c r="T262" s="510">
        <f>Tabla3[[#This Row],[Cantidad]]*Tabla3[[#This Row],[Cortes]]</f>
        <v>2671.2328767123286</v>
      </c>
      <c r="U262" s="511">
        <f t="shared" si="144"/>
        <v>2393.4911891141683</v>
      </c>
      <c r="V262" s="511">
        <f t="shared" si="145"/>
        <v>2393.0747841646989</v>
      </c>
      <c r="W262" s="497">
        <f>IF(Tabla3[[#This Row],[Fecha de operación]]=$C$1,0,U262-V262)</f>
        <v>0.41640494946932449</v>
      </c>
      <c r="X262" s="512" t="str">
        <f t="shared" si="154"/>
        <v>Vigente</v>
      </c>
      <c r="Y262" s="498" t="s">
        <v>450</v>
      </c>
      <c r="Z262" s="469">
        <f t="shared" si="155"/>
        <v>631</v>
      </c>
      <c r="AA262" s="499">
        <f t="shared" si="167"/>
        <v>2.292947555581156</v>
      </c>
      <c r="AB262" s="499">
        <f t="shared" si="167"/>
        <v>2.255968914883034</v>
      </c>
      <c r="AC262" s="469" t="s">
        <v>451</v>
      </c>
      <c r="AD262" s="469" t="s">
        <v>454</v>
      </c>
      <c r="AG262" s="605">
        <f>+IF(Tabla3[[#This Row],[Amortización k | cupón de intereses]]="Amortización de K",Tabla3[[#This Row],[Valor Nominal]],0)</f>
        <v>0</v>
      </c>
      <c r="AH262" s="605">
        <f>+IF(AND(Tabla3[[#This Row],[Amortización k | cupón de intereses]]="Cupón de interés",Tabla3[[#This Row],[Estado]]="Vigente"),Tabla3[[#This Row],[Valor Nominal]],0)</f>
        <v>2671.2328767123286</v>
      </c>
      <c r="AI262" s="618">
        <f>+IF(Tabla3[[#This Row],[Amortización k | cupón de intereses]]="Amortización de K",SUMIFS($AH$7:$AH$557,Tabla3[Código Emisión],Tabla3[[#This Row],[Código Emisión]],Tabla3[Fecha de operación],Tabla3[[#This Row],[Fecha de operación]]),0)-Tabla3[[#This Row],[Accrued]]*Tabla3[[#This Row],[Valor Nominal]]</f>
        <v>0</v>
      </c>
      <c r="AJ262" s="605">
        <f>+IF(Tabla3[[#This Row],[Amortización k | cupón de intereses]]="Amortización de K",IF(Tabla3[[#This Row],[Precio Clean]]&gt;1,Tabla3[[#This Row],[Valor Nominal]]*(Tabla3[[#This Row],[Precio Clean]]-1),0),0)</f>
        <v>0</v>
      </c>
      <c r="AK262" s="605">
        <f>+IF(Tabla3[[#This Row],[Amortización k | cupón de intereses]]="Amortización de K",IF(Tabla3[[#This Row],[Precio Clean]]&lt;1,Tabla3[[#This Row],[Valor Nominal]]*(Tabla3[[#This Row],[Precio Clean]]-1),0),0)</f>
        <v>0</v>
      </c>
    </row>
    <row r="263" spans="1:37">
      <c r="A263" s="502"/>
      <c r="B263" s="437" t="str">
        <f t="shared" si="165"/>
        <v>Bancop S.A.</v>
      </c>
      <c r="C263" s="437" t="str">
        <f t="shared" si="163"/>
        <v>BCO_6,50%_02102028_AA4088-91_250K</v>
      </c>
      <c r="D263" s="437" t="s">
        <v>453</v>
      </c>
      <c r="E263" s="437" t="str">
        <f t="shared" si="166"/>
        <v>AA-py</v>
      </c>
      <c r="F263" s="437" t="s">
        <v>297</v>
      </c>
      <c r="G263" s="437" t="s">
        <v>298</v>
      </c>
      <c r="H263" s="437">
        <v>2</v>
      </c>
      <c r="I263" s="492">
        <v>1246.5753424657535</v>
      </c>
      <c r="J263" s="451"/>
      <c r="K263" s="450"/>
      <c r="L263" s="451"/>
      <c r="M263" s="493"/>
      <c r="N263" s="493"/>
      <c r="O263" s="494">
        <f t="shared" si="164"/>
        <v>6.5565869200000002E-2</v>
      </c>
      <c r="P263" s="494">
        <f t="shared" si="164"/>
        <v>6.3669465351994248E-2</v>
      </c>
      <c r="Q263" s="450">
        <f t="shared" si="164"/>
        <v>45937</v>
      </c>
      <c r="R263" s="450">
        <v>46713</v>
      </c>
      <c r="S263" s="509" t="s">
        <v>146</v>
      </c>
      <c r="T263" s="510">
        <f>Tabla3[[#This Row],[Cantidad]]*Tabla3[[#This Row],[Cortes]]</f>
        <v>2493.1506849315069</v>
      </c>
      <c r="U263" s="511">
        <f t="shared" si="144"/>
        <v>2245.6159473695157</v>
      </c>
      <c r="V263" s="511">
        <f t="shared" si="145"/>
        <v>2245.2252688496428</v>
      </c>
      <c r="W263" s="497">
        <f>IF(Tabla3[[#This Row],[Fecha de operación]]=$C$1,0,U263-V263)</f>
        <v>0.39067851987283575</v>
      </c>
      <c r="X263" s="512" t="str">
        <f t="shared" si="154"/>
        <v>Vigente</v>
      </c>
      <c r="Y263" s="498" t="s">
        <v>450</v>
      </c>
      <c r="Z263" s="469">
        <f t="shared" si="155"/>
        <v>601</v>
      </c>
      <c r="AA263" s="499">
        <f t="shared" si="167"/>
        <v>2.292947555581156</v>
      </c>
      <c r="AB263" s="499">
        <f t="shared" si="167"/>
        <v>2.255968914883034</v>
      </c>
      <c r="AC263" s="469" t="s">
        <v>451</v>
      </c>
      <c r="AD263" s="469" t="s">
        <v>454</v>
      </c>
      <c r="AG263" s="605">
        <f>+IF(Tabla3[[#This Row],[Amortización k | cupón de intereses]]="Amortización de K",Tabla3[[#This Row],[Valor Nominal]],0)</f>
        <v>0</v>
      </c>
      <c r="AH263" s="605">
        <f>+IF(AND(Tabla3[[#This Row],[Amortización k | cupón de intereses]]="Cupón de interés",Tabla3[[#This Row],[Estado]]="Vigente"),Tabla3[[#This Row],[Valor Nominal]],0)</f>
        <v>2493.1506849315069</v>
      </c>
      <c r="AI263" s="618">
        <f>+IF(Tabla3[[#This Row],[Amortización k | cupón de intereses]]="Amortización de K",SUMIFS($AH$7:$AH$557,Tabla3[Código Emisión],Tabla3[[#This Row],[Código Emisión]],Tabla3[Fecha de operación],Tabla3[[#This Row],[Fecha de operación]]),0)-Tabla3[[#This Row],[Accrued]]*Tabla3[[#This Row],[Valor Nominal]]</f>
        <v>0</v>
      </c>
      <c r="AJ263" s="605">
        <f>+IF(Tabla3[[#This Row],[Amortización k | cupón de intereses]]="Amortización de K",IF(Tabla3[[#This Row],[Precio Clean]]&gt;1,Tabla3[[#This Row],[Valor Nominal]]*(Tabla3[[#This Row],[Precio Clean]]-1),0),0)</f>
        <v>0</v>
      </c>
      <c r="AK263" s="605">
        <f>+IF(Tabla3[[#This Row],[Amortización k | cupón de intereses]]="Amortización de K",IF(Tabla3[[#This Row],[Precio Clean]]&lt;1,Tabla3[[#This Row],[Valor Nominal]]*(Tabla3[[#This Row],[Precio Clean]]-1),0),0)</f>
        <v>0</v>
      </c>
    </row>
    <row r="264" spans="1:37">
      <c r="A264" s="502"/>
      <c r="B264" s="437" t="str">
        <f t="shared" si="165"/>
        <v>Bancop S.A.</v>
      </c>
      <c r="C264" s="437" t="str">
        <f t="shared" si="163"/>
        <v>BCO_6,50%_02102028_AA4088-91_250K</v>
      </c>
      <c r="D264" s="437" t="s">
        <v>453</v>
      </c>
      <c r="E264" s="437" t="str">
        <f t="shared" si="166"/>
        <v>AA-py</v>
      </c>
      <c r="F264" s="437" t="s">
        <v>297</v>
      </c>
      <c r="G264" s="437" t="s">
        <v>298</v>
      </c>
      <c r="H264" s="437">
        <v>2</v>
      </c>
      <c r="I264" s="492">
        <v>1424.6575342465753</v>
      </c>
      <c r="J264" s="451"/>
      <c r="K264" s="450"/>
      <c r="L264" s="451"/>
      <c r="M264" s="493"/>
      <c r="N264" s="493"/>
      <c r="O264" s="494">
        <f t="shared" si="164"/>
        <v>6.5565869200000002E-2</v>
      </c>
      <c r="P264" s="494">
        <f t="shared" si="164"/>
        <v>6.3669465351994248E-2</v>
      </c>
      <c r="Q264" s="450">
        <f t="shared" si="164"/>
        <v>45937</v>
      </c>
      <c r="R264" s="450">
        <v>46685</v>
      </c>
      <c r="S264" s="509" t="s">
        <v>146</v>
      </c>
      <c r="T264" s="510">
        <f>Tabla3[[#This Row],[Cantidad]]*Tabla3[[#This Row],[Cortes]]</f>
        <v>2849.3150684931506</v>
      </c>
      <c r="U264" s="511">
        <f t="shared" si="144"/>
        <v>2578.9515302275672</v>
      </c>
      <c r="V264" s="511">
        <f t="shared" si="145"/>
        <v>2578.5028600229252</v>
      </c>
      <c r="W264" s="497">
        <f>IF(Tabla3[[#This Row],[Fecha de operación]]=$C$1,0,U264-V264)</f>
        <v>0.44867020464198504</v>
      </c>
      <c r="X264" s="512" t="str">
        <f t="shared" si="154"/>
        <v>Vigente</v>
      </c>
      <c r="Y264" s="498" t="s">
        <v>450</v>
      </c>
      <c r="Z264" s="469">
        <f t="shared" si="155"/>
        <v>573</v>
      </c>
      <c r="AA264" s="499">
        <f t="shared" si="167"/>
        <v>2.292947555581156</v>
      </c>
      <c r="AB264" s="499">
        <f t="shared" si="167"/>
        <v>2.255968914883034</v>
      </c>
      <c r="AC264" s="469" t="s">
        <v>451</v>
      </c>
      <c r="AD264" s="469" t="s">
        <v>454</v>
      </c>
      <c r="AG264" s="605">
        <f>+IF(Tabla3[[#This Row],[Amortización k | cupón de intereses]]="Amortización de K",Tabla3[[#This Row],[Valor Nominal]],0)</f>
        <v>0</v>
      </c>
      <c r="AH264" s="605">
        <f>+IF(AND(Tabla3[[#This Row],[Amortización k | cupón de intereses]]="Cupón de interés",Tabla3[[#This Row],[Estado]]="Vigente"),Tabla3[[#This Row],[Valor Nominal]],0)</f>
        <v>2849.3150684931506</v>
      </c>
      <c r="AI264" s="618">
        <f>+IF(Tabla3[[#This Row],[Amortización k | cupón de intereses]]="Amortización de K",SUMIFS($AH$7:$AH$557,Tabla3[Código Emisión],Tabla3[[#This Row],[Código Emisión]],Tabla3[Fecha de operación],Tabla3[[#This Row],[Fecha de operación]]),0)-Tabla3[[#This Row],[Accrued]]*Tabla3[[#This Row],[Valor Nominal]]</f>
        <v>0</v>
      </c>
      <c r="AJ264" s="605">
        <f>+IF(Tabla3[[#This Row],[Amortización k | cupón de intereses]]="Amortización de K",IF(Tabla3[[#This Row],[Precio Clean]]&gt;1,Tabla3[[#This Row],[Valor Nominal]]*(Tabla3[[#This Row],[Precio Clean]]-1),0),0)</f>
        <v>0</v>
      </c>
      <c r="AK264" s="605">
        <f>+IF(Tabla3[[#This Row],[Amortización k | cupón de intereses]]="Amortización de K",IF(Tabla3[[#This Row],[Precio Clean]]&lt;1,Tabla3[[#This Row],[Valor Nominal]]*(Tabla3[[#This Row],[Precio Clean]]-1),0),0)</f>
        <v>0</v>
      </c>
    </row>
    <row r="265" spans="1:37">
      <c r="A265" s="502"/>
      <c r="B265" s="437" t="str">
        <f t="shared" si="165"/>
        <v>Bancop S.A.</v>
      </c>
      <c r="C265" s="437" t="str">
        <f t="shared" si="163"/>
        <v>BCO_6,50%_02102028_AA4088-91_250K</v>
      </c>
      <c r="D265" s="437" t="s">
        <v>453</v>
      </c>
      <c r="E265" s="437" t="str">
        <f t="shared" si="166"/>
        <v>AA-py</v>
      </c>
      <c r="F265" s="437" t="s">
        <v>297</v>
      </c>
      <c r="G265" s="437" t="s">
        <v>298</v>
      </c>
      <c r="H265" s="437">
        <v>2</v>
      </c>
      <c r="I265" s="492">
        <v>1335.6164383561643</v>
      </c>
      <c r="J265" s="451"/>
      <c r="K265" s="450"/>
      <c r="L265" s="451"/>
      <c r="M265" s="493"/>
      <c r="N265" s="493"/>
      <c r="O265" s="494">
        <f t="shared" si="164"/>
        <v>6.5565869200000002E-2</v>
      </c>
      <c r="P265" s="494">
        <f t="shared" si="164"/>
        <v>6.3669465351994248E-2</v>
      </c>
      <c r="Q265" s="450">
        <f t="shared" si="164"/>
        <v>45937</v>
      </c>
      <c r="R265" s="450">
        <v>46653</v>
      </c>
      <c r="S265" s="509" t="s">
        <v>146</v>
      </c>
      <c r="T265" s="510">
        <f>Tabla3[[#This Row],[Cantidad]]*Tabla3[[#This Row],[Cortes]]</f>
        <v>2671.2328767123286</v>
      </c>
      <c r="U265" s="511">
        <f t="shared" si="144"/>
        <v>2431.2658801904768</v>
      </c>
      <c r="V265" s="511">
        <f t="shared" si="145"/>
        <v>2430.8429034314258</v>
      </c>
      <c r="W265" s="497">
        <f>IF(Tabla3[[#This Row],[Fecha de operación]]=$C$1,0,U265-V265)</f>
        <v>0.42297675905092547</v>
      </c>
      <c r="X265" s="512" t="str">
        <f t="shared" si="154"/>
        <v>Vigente</v>
      </c>
      <c r="Y265" s="498" t="s">
        <v>450</v>
      </c>
      <c r="Z265" s="469">
        <f t="shared" si="155"/>
        <v>541</v>
      </c>
      <c r="AA265" s="499">
        <f t="shared" si="167"/>
        <v>2.292947555581156</v>
      </c>
      <c r="AB265" s="499">
        <f t="shared" si="167"/>
        <v>2.255968914883034</v>
      </c>
      <c r="AC265" s="469" t="s">
        <v>451</v>
      </c>
      <c r="AD265" s="469" t="s">
        <v>454</v>
      </c>
      <c r="AG265" s="605">
        <f>+IF(Tabla3[[#This Row],[Amortización k | cupón de intereses]]="Amortización de K",Tabla3[[#This Row],[Valor Nominal]],0)</f>
        <v>0</v>
      </c>
      <c r="AH265" s="605">
        <f>+IF(AND(Tabla3[[#This Row],[Amortización k | cupón de intereses]]="Cupón de interés",Tabla3[[#This Row],[Estado]]="Vigente"),Tabla3[[#This Row],[Valor Nominal]],0)</f>
        <v>2671.2328767123286</v>
      </c>
      <c r="AI265" s="618">
        <f>+IF(Tabla3[[#This Row],[Amortización k | cupón de intereses]]="Amortización de K",SUMIFS($AH$7:$AH$557,Tabla3[Código Emisión],Tabla3[[#This Row],[Código Emisión]],Tabla3[Fecha de operación],Tabla3[[#This Row],[Fecha de operación]]),0)-Tabla3[[#This Row],[Accrued]]*Tabla3[[#This Row],[Valor Nominal]]</f>
        <v>0</v>
      </c>
      <c r="AJ265" s="605">
        <f>+IF(Tabla3[[#This Row],[Amortización k | cupón de intereses]]="Amortización de K",IF(Tabla3[[#This Row],[Precio Clean]]&gt;1,Tabla3[[#This Row],[Valor Nominal]]*(Tabla3[[#This Row],[Precio Clean]]-1),0),0)</f>
        <v>0</v>
      </c>
      <c r="AK265" s="605">
        <f>+IF(Tabla3[[#This Row],[Amortización k | cupón de intereses]]="Amortización de K",IF(Tabla3[[#This Row],[Precio Clean]]&lt;1,Tabla3[[#This Row],[Valor Nominal]]*(Tabla3[[#This Row],[Precio Clean]]-1),0),0)</f>
        <v>0</v>
      </c>
    </row>
    <row r="266" spans="1:37">
      <c r="A266" s="502"/>
      <c r="B266" s="437" t="str">
        <f t="shared" si="165"/>
        <v>Bancop S.A.</v>
      </c>
      <c r="C266" s="437" t="str">
        <f t="shared" si="163"/>
        <v>BCO_6,50%_02102028_AA4088-91_250K</v>
      </c>
      <c r="D266" s="437" t="s">
        <v>453</v>
      </c>
      <c r="E266" s="437" t="str">
        <f t="shared" si="166"/>
        <v>AA-py</v>
      </c>
      <c r="F266" s="437" t="s">
        <v>297</v>
      </c>
      <c r="G266" s="437" t="s">
        <v>298</v>
      </c>
      <c r="H266" s="437">
        <v>2</v>
      </c>
      <c r="I266" s="492">
        <v>1291.0958904109589</v>
      </c>
      <c r="J266" s="451"/>
      <c r="K266" s="450"/>
      <c r="L266" s="451"/>
      <c r="M266" s="493"/>
      <c r="N266" s="493"/>
      <c r="O266" s="494">
        <f t="shared" si="164"/>
        <v>6.5565869200000002E-2</v>
      </c>
      <c r="P266" s="494">
        <f t="shared" si="164"/>
        <v>6.3669465351994248E-2</v>
      </c>
      <c r="Q266" s="450">
        <f t="shared" si="164"/>
        <v>45937</v>
      </c>
      <c r="R266" s="450">
        <v>46623</v>
      </c>
      <c r="S266" s="509" t="s">
        <v>146</v>
      </c>
      <c r="T266" s="510">
        <f>Tabla3[[#This Row],[Cantidad]]*Tabla3[[#This Row],[Cortes]]</f>
        <v>2582.1917808219177</v>
      </c>
      <c r="U266" s="511">
        <f t="shared" ref="U266:U329" si="168">IF(X266="VIgente",(T266/(1+O266)^((R266-$U$5)/365)))</f>
        <v>2362.5231489822299</v>
      </c>
      <c r="V266" s="511">
        <f t="shared" ref="V266:V329" si="169">IF(X266="VIgente",(T266/(1+O266)^((R266-$V$5)/365)))</f>
        <v>2362.1121316628655</v>
      </c>
      <c r="W266" s="497">
        <f>IF(Tabla3[[#This Row],[Fecha de operación]]=$C$1,0,U266-V266)</f>
        <v>0.41101731936441865</v>
      </c>
      <c r="X266" s="512" t="str">
        <f t="shared" si="154"/>
        <v>Vigente</v>
      </c>
      <c r="Y266" s="498" t="s">
        <v>450</v>
      </c>
      <c r="Z266" s="469">
        <f t="shared" si="155"/>
        <v>511</v>
      </c>
      <c r="AA266" s="499">
        <f t="shared" si="167"/>
        <v>2.292947555581156</v>
      </c>
      <c r="AB266" s="499">
        <f t="shared" si="167"/>
        <v>2.255968914883034</v>
      </c>
      <c r="AC266" s="469" t="s">
        <v>451</v>
      </c>
      <c r="AD266" s="469" t="s">
        <v>454</v>
      </c>
      <c r="AG266" s="605">
        <f>+IF(Tabla3[[#This Row],[Amortización k | cupón de intereses]]="Amortización de K",Tabla3[[#This Row],[Valor Nominal]],0)</f>
        <v>0</v>
      </c>
      <c r="AH266" s="605">
        <f>+IF(AND(Tabla3[[#This Row],[Amortización k | cupón de intereses]]="Cupón de interés",Tabla3[[#This Row],[Estado]]="Vigente"),Tabla3[[#This Row],[Valor Nominal]],0)</f>
        <v>2582.1917808219177</v>
      </c>
      <c r="AI266" s="618">
        <f>+IF(Tabla3[[#This Row],[Amortización k | cupón de intereses]]="Amortización de K",SUMIFS($AH$7:$AH$557,Tabla3[Código Emisión],Tabla3[[#This Row],[Código Emisión]],Tabla3[Fecha de operación],Tabla3[[#This Row],[Fecha de operación]]),0)-Tabla3[[#This Row],[Accrued]]*Tabla3[[#This Row],[Valor Nominal]]</f>
        <v>0</v>
      </c>
      <c r="AJ266" s="605">
        <f>+IF(Tabla3[[#This Row],[Amortización k | cupón de intereses]]="Amortización de K",IF(Tabla3[[#This Row],[Precio Clean]]&gt;1,Tabla3[[#This Row],[Valor Nominal]]*(Tabla3[[#This Row],[Precio Clean]]-1),0),0)</f>
        <v>0</v>
      </c>
      <c r="AK266" s="605">
        <f>+IF(Tabla3[[#This Row],[Amortización k | cupón de intereses]]="Amortización de K",IF(Tabla3[[#This Row],[Precio Clean]]&lt;1,Tabla3[[#This Row],[Valor Nominal]]*(Tabla3[[#This Row],[Precio Clean]]-1),0),0)</f>
        <v>0</v>
      </c>
    </row>
    <row r="267" spans="1:37">
      <c r="A267" s="502"/>
      <c r="B267" s="437" t="str">
        <f t="shared" si="165"/>
        <v>Bancop S.A.</v>
      </c>
      <c r="C267" s="437" t="str">
        <f t="shared" si="163"/>
        <v>BCO_6,50%_02102028_AA4088-91_250K</v>
      </c>
      <c r="D267" s="437" t="s">
        <v>453</v>
      </c>
      <c r="E267" s="437" t="str">
        <f t="shared" si="166"/>
        <v>AA-py</v>
      </c>
      <c r="F267" s="437" t="s">
        <v>297</v>
      </c>
      <c r="G267" s="437" t="s">
        <v>298</v>
      </c>
      <c r="H267" s="437">
        <v>2</v>
      </c>
      <c r="I267" s="492">
        <v>1380.1369863013699</v>
      </c>
      <c r="J267" s="451"/>
      <c r="K267" s="450"/>
      <c r="L267" s="451"/>
      <c r="M267" s="493"/>
      <c r="N267" s="493"/>
      <c r="O267" s="494">
        <f t="shared" si="164"/>
        <v>6.5565869200000002E-2</v>
      </c>
      <c r="P267" s="494">
        <f t="shared" si="164"/>
        <v>6.3669465351994248E-2</v>
      </c>
      <c r="Q267" s="450">
        <f t="shared" si="164"/>
        <v>45937</v>
      </c>
      <c r="R267" s="450">
        <v>46594</v>
      </c>
      <c r="S267" s="509" t="s">
        <v>146</v>
      </c>
      <c r="T267" s="510">
        <f>Tabla3[[#This Row],[Cantidad]]*Tabla3[[#This Row],[Cortes]]</f>
        <v>2760.2739726027398</v>
      </c>
      <c r="U267" s="511">
        <f t="shared" si="168"/>
        <v>2538.2306271246075</v>
      </c>
      <c r="V267" s="511">
        <f t="shared" si="169"/>
        <v>2537.7890412934853</v>
      </c>
      <c r="W267" s="497">
        <f>IF(Tabla3[[#This Row],[Fecha de operación]]=$C$1,0,U267-V267)</f>
        <v>0.44158583112221095</v>
      </c>
      <c r="X267" s="512" t="str">
        <f t="shared" si="154"/>
        <v>Vigente</v>
      </c>
      <c r="Y267" s="498" t="s">
        <v>450</v>
      </c>
      <c r="Z267" s="469">
        <f t="shared" si="155"/>
        <v>482</v>
      </c>
      <c r="AA267" s="499">
        <f t="shared" si="167"/>
        <v>2.292947555581156</v>
      </c>
      <c r="AB267" s="499">
        <f t="shared" si="167"/>
        <v>2.255968914883034</v>
      </c>
      <c r="AC267" s="469" t="s">
        <v>451</v>
      </c>
      <c r="AD267" s="469" t="s">
        <v>454</v>
      </c>
      <c r="AG267" s="605">
        <f>+IF(Tabla3[[#This Row],[Amortización k | cupón de intereses]]="Amortización de K",Tabla3[[#This Row],[Valor Nominal]],0)</f>
        <v>0</v>
      </c>
      <c r="AH267" s="605">
        <f>+IF(AND(Tabla3[[#This Row],[Amortización k | cupón de intereses]]="Cupón de interés",Tabla3[[#This Row],[Estado]]="Vigente"),Tabla3[[#This Row],[Valor Nominal]],0)</f>
        <v>2760.2739726027398</v>
      </c>
      <c r="AI267" s="618">
        <f>+IF(Tabla3[[#This Row],[Amortización k | cupón de intereses]]="Amortización de K",SUMIFS($AH$7:$AH$557,Tabla3[Código Emisión],Tabla3[[#This Row],[Código Emisión]],Tabla3[Fecha de operación],Tabla3[[#This Row],[Fecha de operación]]),0)-Tabla3[[#This Row],[Accrued]]*Tabla3[[#This Row],[Valor Nominal]]</f>
        <v>0</v>
      </c>
      <c r="AJ267" s="605">
        <f>+IF(Tabla3[[#This Row],[Amortización k | cupón de intereses]]="Amortización de K",IF(Tabla3[[#This Row],[Precio Clean]]&gt;1,Tabla3[[#This Row],[Valor Nominal]]*(Tabla3[[#This Row],[Precio Clean]]-1),0),0)</f>
        <v>0</v>
      </c>
      <c r="AK267" s="605">
        <f>+IF(Tabla3[[#This Row],[Amortización k | cupón de intereses]]="Amortización de K",IF(Tabla3[[#This Row],[Precio Clean]]&lt;1,Tabla3[[#This Row],[Valor Nominal]]*(Tabla3[[#This Row],[Precio Clean]]-1),0),0)</f>
        <v>0</v>
      </c>
    </row>
    <row r="268" spans="1:37">
      <c r="A268" s="502"/>
      <c r="B268" s="437" t="str">
        <f t="shared" si="165"/>
        <v>Bancop S.A.</v>
      </c>
      <c r="C268" s="437" t="str">
        <f t="shared" si="163"/>
        <v>BCO_6,50%_02102028_AA4088-91_250K</v>
      </c>
      <c r="D268" s="437" t="s">
        <v>453</v>
      </c>
      <c r="E268" s="437" t="str">
        <f t="shared" si="166"/>
        <v>AA-py</v>
      </c>
      <c r="F268" s="437" t="s">
        <v>297</v>
      </c>
      <c r="G268" s="437" t="s">
        <v>298</v>
      </c>
      <c r="H268" s="437">
        <v>2</v>
      </c>
      <c r="I268" s="492">
        <v>1335.6164383561643</v>
      </c>
      <c r="J268" s="451"/>
      <c r="K268" s="450"/>
      <c r="L268" s="451"/>
      <c r="M268" s="493"/>
      <c r="N268" s="493"/>
      <c r="O268" s="494">
        <f t="shared" si="164"/>
        <v>6.5565869200000002E-2</v>
      </c>
      <c r="P268" s="494">
        <f t="shared" si="164"/>
        <v>6.3669465351994248E-2</v>
      </c>
      <c r="Q268" s="450">
        <f t="shared" si="164"/>
        <v>45937</v>
      </c>
      <c r="R268" s="450">
        <v>46563</v>
      </c>
      <c r="S268" s="509" t="s">
        <v>146</v>
      </c>
      <c r="T268" s="510">
        <f>Tabla3[[#This Row],[Cantidad]]*Tabla3[[#This Row],[Cortes]]</f>
        <v>2671.2328767123286</v>
      </c>
      <c r="U268" s="511">
        <f t="shared" si="168"/>
        <v>2469.6367411179212</v>
      </c>
      <c r="V268" s="511">
        <f t="shared" si="169"/>
        <v>2469.2070888313069</v>
      </c>
      <c r="W268" s="497">
        <f>IF(Tabla3[[#This Row],[Fecha de operación]]=$C$1,0,U268-V268)</f>
        <v>0.42965228661432775</v>
      </c>
      <c r="X268" s="512" t="str">
        <f t="shared" si="154"/>
        <v>Vigente</v>
      </c>
      <c r="Y268" s="498" t="s">
        <v>450</v>
      </c>
      <c r="Z268" s="469">
        <f t="shared" si="155"/>
        <v>451</v>
      </c>
      <c r="AA268" s="499">
        <f t="shared" si="167"/>
        <v>2.292947555581156</v>
      </c>
      <c r="AB268" s="499">
        <f t="shared" si="167"/>
        <v>2.255968914883034</v>
      </c>
      <c r="AC268" s="469" t="s">
        <v>451</v>
      </c>
      <c r="AD268" s="469" t="s">
        <v>454</v>
      </c>
      <c r="AG268" s="605">
        <f>+IF(Tabla3[[#This Row],[Amortización k | cupón de intereses]]="Amortización de K",Tabla3[[#This Row],[Valor Nominal]],0)</f>
        <v>0</v>
      </c>
      <c r="AH268" s="605">
        <f>+IF(AND(Tabla3[[#This Row],[Amortización k | cupón de intereses]]="Cupón de interés",Tabla3[[#This Row],[Estado]]="Vigente"),Tabla3[[#This Row],[Valor Nominal]],0)</f>
        <v>2671.2328767123286</v>
      </c>
      <c r="AI268" s="618">
        <f>+IF(Tabla3[[#This Row],[Amortización k | cupón de intereses]]="Amortización de K",SUMIFS($AH$7:$AH$557,Tabla3[Código Emisión],Tabla3[[#This Row],[Código Emisión]],Tabla3[Fecha de operación],Tabla3[[#This Row],[Fecha de operación]]),0)-Tabla3[[#This Row],[Accrued]]*Tabla3[[#This Row],[Valor Nominal]]</f>
        <v>0</v>
      </c>
      <c r="AJ268" s="605">
        <f>+IF(Tabla3[[#This Row],[Amortización k | cupón de intereses]]="Amortización de K",IF(Tabla3[[#This Row],[Precio Clean]]&gt;1,Tabla3[[#This Row],[Valor Nominal]]*(Tabla3[[#This Row],[Precio Clean]]-1),0),0)</f>
        <v>0</v>
      </c>
      <c r="AK268" s="605">
        <f>+IF(Tabla3[[#This Row],[Amortización k | cupón de intereses]]="Amortización de K",IF(Tabla3[[#This Row],[Precio Clean]]&lt;1,Tabla3[[#This Row],[Valor Nominal]]*(Tabla3[[#This Row],[Precio Clean]]-1),0),0)</f>
        <v>0</v>
      </c>
    </row>
    <row r="269" spans="1:37">
      <c r="A269" s="502"/>
      <c r="B269" s="437" t="str">
        <f t="shared" si="165"/>
        <v>Bancop S.A.</v>
      </c>
      <c r="C269" s="437" t="str">
        <f t="shared" si="163"/>
        <v>BCO_6,50%_02102028_AA4088-91_250K</v>
      </c>
      <c r="D269" s="437" t="s">
        <v>453</v>
      </c>
      <c r="E269" s="437" t="str">
        <f t="shared" si="166"/>
        <v>AA-py</v>
      </c>
      <c r="F269" s="437" t="s">
        <v>297</v>
      </c>
      <c r="G269" s="437" t="s">
        <v>298</v>
      </c>
      <c r="H269" s="437">
        <v>2</v>
      </c>
      <c r="I269" s="492">
        <v>1335.6164383561643</v>
      </c>
      <c r="J269" s="451"/>
      <c r="K269" s="450"/>
      <c r="L269" s="451"/>
      <c r="M269" s="493"/>
      <c r="N269" s="493"/>
      <c r="O269" s="494">
        <f t="shared" ref="O269:Q284" si="170">+O268</f>
        <v>6.5565869200000002E-2</v>
      </c>
      <c r="P269" s="494">
        <f t="shared" si="170"/>
        <v>6.3669465351994248E-2</v>
      </c>
      <c r="Q269" s="450">
        <f t="shared" si="170"/>
        <v>45937</v>
      </c>
      <c r="R269" s="450">
        <v>46533</v>
      </c>
      <c r="S269" s="509" t="s">
        <v>146</v>
      </c>
      <c r="T269" s="510">
        <f>Tabla3[[#This Row],[Cantidad]]*Tabla3[[#This Row],[Cortes]]</f>
        <v>2671.2328767123286</v>
      </c>
      <c r="U269" s="511">
        <f t="shared" si="168"/>
        <v>2482.5611322581731</v>
      </c>
      <c r="V269" s="511">
        <f t="shared" si="169"/>
        <v>2482.1292314650832</v>
      </c>
      <c r="W269" s="497">
        <f>IF(Tabla3[[#This Row],[Fecha de operación]]=$C$1,0,U269-V269)</f>
        <v>0.43190079308988061</v>
      </c>
      <c r="X269" s="512" t="str">
        <f t="shared" si="154"/>
        <v>Vigente</v>
      </c>
      <c r="Y269" s="498" t="s">
        <v>450</v>
      </c>
      <c r="Z269" s="469">
        <f t="shared" si="155"/>
        <v>421</v>
      </c>
      <c r="AA269" s="499">
        <f t="shared" si="167"/>
        <v>2.292947555581156</v>
      </c>
      <c r="AB269" s="499">
        <f t="shared" si="167"/>
        <v>2.255968914883034</v>
      </c>
      <c r="AC269" s="469" t="s">
        <v>451</v>
      </c>
      <c r="AD269" s="469" t="s">
        <v>454</v>
      </c>
      <c r="AG269" s="605">
        <f>+IF(Tabla3[[#This Row],[Amortización k | cupón de intereses]]="Amortización de K",Tabla3[[#This Row],[Valor Nominal]],0)</f>
        <v>0</v>
      </c>
      <c r="AH269" s="605">
        <f>+IF(AND(Tabla3[[#This Row],[Amortización k | cupón de intereses]]="Cupón de interés",Tabla3[[#This Row],[Estado]]="Vigente"),Tabla3[[#This Row],[Valor Nominal]],0)</f>
        <v>2671.2328767123286</v>
      </c>
      <c r="AI269" s="618">
        <f>+IF(Tabla3[[#This Row],[Amortización k | cupón de intereses]]="Amortización de K",SUMIFS($AH$7:$AH$557,Tabla3[Código Emisión],Tabla3[[#This Row],[Código Emisión]],Tabla3[Fecha de operación],Tabla3[[#This Row],[Fecha de operación]]),0)-Tabla3[[#This Row],[Accrued]]*Tabla3[[#This Row],[Valor Nominal]]</f>
        <v>0</v>
      </c>
      <c r="AJ269" s="605">
        <f>+IF(Tabla3[[#This Row],[Amortización k | cupón de intereses]]="Amortización de K",IF(Tabla3[[#This Row],[Precio Clean]]&gt;1,Tabla3[[#This Row],[Valor Nominal]]*(Tabla3[[#This Row],[Precio Clean]]-1),0),0)</f>
        <v>0</v>
      </c>
      <c r="AK269" s="605">
        <f>+IF(Tabla3[[#This Row],[Amortización k | cupón de intereses]]="Amortización de K",IF(Tabla3[[#This Row],[Precio Clean]]&lt;1,Tabla3[[#This Row],[Valor Nominal]]*(Tabla3[[#This Row],[Precio Clean]]-1),0),0)</f>
        <v>0</v>
      </c>
    </row>
    <row r="270" spans="1:37">
      <c r="A270" s="502"/>
      <c r="B270" s="437" t="str">
        <f t="shared" ref="B270:C285" si="171">+B269</f>
        <v>Bancop S.A.</v>
      </c>
      <c r="C270" s="437" t="str">
        <f t="shared" si="163"/>
        <v>BCO_6,50%_02102028_AA4088-91_250K</v>
      </c>
      <c r="D270" s="437" t="s">
        <v>453</v>
      </c>
      <c r="E270" s="437" t="str">
        <f t="shared" si="166"/>
        <v>AA-py</v>
      </c>
      <c r="F270" s="437" t="s">
        <v>297</v>
      </c>
      <c r="G270" s="437" t="s">
        <v>298</v>
      </c>
      <c r="H270" s="437">
        <v>2</v>
      </c>
      <c r="I270" s="492">
        <v>1246.5753424657535</v>
      </c>
      <c r="J270" s="451"/>
      <c r="K270" s="450"/>
      <c r="L270" s="451"/>
      <c r="M270" s="493"/>
      <c r="N270" s="493"/>
      <c r="O270" s="494">
        <f t="shared" si="170"/>
        <v>6.5565869200000002E-2</v>
      </c>
      <c r="P270" s="494">
        <f t="shared" si="170"/>
        <v>6.3669465351994248E-2</v>
      </c>
      <c r="Q270" s="450">
        <f t="shared" si="170"/>
        <v>45937</v>
      </c>
      <c r="R270" s="450">
        <v>46503</v>
      </c>
      <c r="S270" s="509" t="s">
        <v>146</v>
      </c>
      <c r="T270" s="510">
        <f>Tabla3[[#This Row],[Cantidad]]*Tabla3[[#This Row],[Cortes]]</f>
        <v>2493.1506849315069</v>
      </c>
      <c r="U270" s="511">
        <f t="shared" si="168"/>
        <v>2329.182950108097</v>
      </c>
      <c r="V270" s="511">
        <f t="shared" si="169"/>
        <v>2328.7777331124985</v>
      </c>
      <c r="W270" s="497">
        <f>IF(Tabla3[[#This Row],[Fecha de operación]]=$C$1,0,U270-V270)</f>
        <v>0.40521699559849367</v>
      </c>
      <c r="X270" s="512" t="str">
        <f t="shared" si="154"/>
        <v>Vigente</v>
      </c>
      <c r="Y270" s="498" t="s">
        <v>450</v>
      </c>
      <c r="Z270" s="469">
        <f t="shared" si="155"/>
        <v>391</v>
      </c>
      <c r="AA270" s="499">
        <f t="shared" ref="AA270:AB285" si="172">+AA269</f>
        <v>2.292947555581156</v>
      </c>
      <c r="AB270" s="499">
        <f t="shared" si="172"/>
        <v>2.255968914883034</v>
      </c>
      <c r="AC270" s="469" t="s">
        <v>451</v>
      </c>
      <c r="AD270" s="469" t="s">
        <v>454</v>
      </c>
      <c r="AG270" s="605">
        <f>+IF(Tabla3[[#This Row],[Amortización k | cupón de intereses]]="Amortización de K",Tabla3[[#This Row],[Valor Nominal]],0)</f>
        <v>0</v>
      </c>
      <c r="AH270" s="605">
        <f>+IF(AND(Tabla3[[#This Row],[Amortización k | cupón de intereses]]="Cupón de interés",Tabla3[[#This Row],[Estado]]="Vigente"),Tabla3[[#This Row],[Valor Nominal]],0)</f>
        <v>2493.1506849315069</v>
      </c>
      <c r="AI270" s="618">
        <f>+IF(Tabla3[[#This Row],[Amortización k | cupón de intereses]]="Amortización de K",SUMIFS($AH$7:$AH$557,Tabla3[Código Emisión],Tabla3[[#This Row],[Código Emisión]],Tabla3[Fecha de operación],Tabla3[[#This Row],[Fecha de operación]]),0)-Tabla3[[#This Row],[Accrued]]*Tabla3[[#This Row],[Valor Nominal]]</f>
        <v>0</v>
      </c>
      <c r="AJ270" s="605">
        <f>+IF(Tabla3[[#This Row],[Amortización k | cupón de intereses]]="Amortización de K",IF(Tabla3[[#This Row],[Precio Clean]]&gt;1,Tabla3[[#This Row],[Valor Nominal]]*(Tabla3[[#This Row],[Precio Clean]]-1),0),0)</f>
        <v>0</v>
      </c>
      <c r="AK270" s="605">
        <f>+IF(Tabla3[[#This Row],[Amortización k | cupón de intereses]]="Amortización de K",IF(Tabla3[[#This Row],[Precio Clean]]&lt;1,Tabla3[[#This Row],[Valor Nominal]]*(Tabla3[[#This Row],[Precio Clean]]-1),0),0)</f>
        <v>0</v>
      </c>
    </row>
    <row r="271" spans="1:37">
      <c r="A271" s="502"/>
      <c r="B271" s="437" t="str">
        <f t="shared" si="171"/>
        <v>Bancop S.A.</v>
      </c>
      <c r="C271" s="437" t="str">
        <f t="shared" si="163"/>
        <v>BCO_6,50%_02102028_AA4088-91_250K</v>
      </c>
      <c r="D271" s="437" t="s">
        <v>453</v>
      </c>
      <c r="E271" s="437" t="str">
        <f t="shared" si="166"/>
        <v>AA-py</v>
      </c>
      <c r="F271" s="437" t="s">
        <v>297</v>
      </c>
      <c r="G271" s="437" t="s">
        <v>298</v>
      </c>
      <c r="H271" s="437">
        <v>2</v>
      </c>
      <c r="I271" s="492">
        <v>1424.6575342465753</v>
      </c>
      <c r="J271" s="451"/>
      <c r="K271" s="450"/>
      <c r="L271" s="451"/>
      <c r="M271" s="493"/>
      <c r="N271" s="493"/>
      <c r="O271" s="494">
        <f t="shared" si="170"/>
        <v>6.5565869200000002E-2</v>
      </c>
      <c r="P271" s="494">
        <f t="shared" si="170"/>
        <v>6.3669465351994248E-2</v>
      </c>
      <c r="Q271" s="450">
        <f t="shared" si="170"/>
        <v>45937</v>
      </c>
      <c r="R271" s="450">
        <v>46475</v>
      </c>
      <c r="S271" s="509" t="s">
        <v>146</v>
      </c>
      <c r="T271" s="510">
        <f>Tabla3[[#This Row],[Cantidad]]*Tabla3[[#This Row],[Cortes]]</f>
        <v>2849.3150684931506</v>
      </c>
      <c r="U271" s="511">
        <f t="shared" si="168"/>
        <v>2674.9230830844331</v>
      </c>
      <c r="V271" s="511">
        <f t="shared" si="169"/>
        <v>2674.4577163363497</v>
      </c>
      <c r="W271" s="497">
        <f>IF(Tabla3[[#This Row],[Fecha de operación]]=$C$1,0,U271-V271)</f>
        <v>0.4653667480833974</v>
      </c>
      <c r="X271" s="512" t="str">
        <f t="shared" si="154"/>
        <v>Vigente</v>
      </c>
      <c r="Y271" s="498" t="s">
        <v>450</v>
      </c>
      <c r="Z271" s="469">
        <f t="shared" si="155"/>
        <v>363</v>
      </c>
      <c r="AA271" s="499">
        <f t="shared" si="172"/>
        <v>2.292947555581156</v>
      </c>
      <c r="AB271" s="499">
        <f t="shared" si="172"/>
        <v>2.255968914883034</v>
      </c>
      <c r="AC271" s="469" t="s">
        <v>451</v>
      </c>
      <c r="AD271" s="469" t="s">
        <v>454</v>
      </c>
      <c r="AG271" s="605">
        <f>+IF(Tabla3[[#This Row],[Amortización k | cupón de intereses]]="Amortización de K",Tabla3[[#This Row],[Valor Nominal]],0)</f>
        <v>0</v>
      </c>
      <c r="AH271" s="605">
        <f>+IF(AND(Tabla3[[#This Row],[Amortización k | cupón de intereses]]="Cupón de interés",Tabla3[[#This Row],[Estado]]="Vigente"),Tabla3[[#This Row],[Valor Nominal]],0)</f>
        <v>2849.3150684931506</v>
      </c>
      <c r="AI271" s="618">
        <f>+IF(Tabla3[[#This Row],[Amortización k | cupón de intereses]]="Amortización de K",SUMIFS($AH$7:$AH$557,Tabla3[Código Emisión],Tabla3[[#This Row],[Código Emisión]],Tabla3[Fecha de operación],Tabla3[[#This Row],[Fecha de operación]]),0)-Tabla3[[#This Row],[Accrued]]*Tabla3[[#This Row],[Valor Nominal]]</f>
        <v>0</v>
      </c>
      <c r="AJ271" s="605">
        <f>+IF(Tabla3[[#This Row],[Amortización k | cupón de intereses]]="Amortización de K",IF(Tabla3[[#This Row],[Precio Clean]]&gt;1,Tabla3[[#This Row],[Valor Nominal]]*(Tabla3[[#This Row],[Precio Clean]]-1),0),0)</f>
        <v>0</v>
      </c>
      <c r="AK271" s="605">
        <f>+IF(Tabla3[[#This Row],[Amortización k | cupón de intereses]]="Amortización de K",IF(Tabla3[[#This Row],[Precio Clean]]&lt;1,Tabla3[[#This Row],[Valor Nominal]]*(Tabla3[[#This Row],[Precio Clean]]-1),0),0)</f>
        <v>0</v>
      </c>
    </row>
    <row r="272" spans="1:37">
      <c r="A272" s="502"/>
      <c r="B272" s="437" t="str">
        <f t="shared" si="171"/>
        <v>Bancop S.A.</v>
      </c>
      <c r="C272" s="437" t="str">
        <f t="shared" si="163"/>
        <v>BCO_6,50%_02102028_AA4088-91_250K</v>
      </c>
      <c r="D272" s="437" t="s">
        <v>453</v>
      </c>
      <c r="E272" s="437" t="str">
        <f t="shared" si="166"/>
        <v>AA-py</v>
      </c>
      <c r="F272" s="437" t="s">
        <v>297</v>
      </c>
      <c r="G272" s="437" t="s">
        <v>298</v>
      </c>
      <c r="H272" s="437">
        <v>2</v>
      </c>
      <c r="I272" s="492">
        <v>1335.6164383561643</v>
      </c>
      <c r="J272" s="451"/>
      <c r="K272" s="450"/>
      <c r="L272" s="451"/>
      <c r="M272" s="493"/>
      <c r="N272" s="493"/>
      <c r="O272" s="494">
        <f t="shared" si="170"/>
        <v>6.5565869200000002E-2</v>
      </c>
      <c r="P272" s="494">
        <f t="shared" si="170"/>
        <v>6.3669465351994248E-2</v>
      </c>
      <c r="Q272" s="450">
        <f t="shared" si="170"/>
        <v>45937</v>
      </c>
      <c r="R272" s="450">
        <v>46443</v>
      </c>
      <c r="S272" s="509" t="s">
        <v>146</v>
      </c>
      <c r="T272" s="510">
        <f>Tabla3[[#This Row],[Cantidad]]*Tabla3[[#This Row],[Cortes]]</f>
        <v>2671.2328767123286</v>
      </c>
      <c r="U272" s="511">
        <f t="shared" si="168"/>
        <v>2521.7415479938209</v>
      </c>
      <c r="V272" s="511">
        <f t="shared" si="169"/>
        <v>2521.3028308317762</v>
      </c>
      <c r="W272" s="497">
        <f>IF(Tabla3[[#This Row],[Fecha de operación]]=$C$1,0,U272-V272)</f>
        <v>0.43871716204466793</v>
      </c>
      <c r="X272" s="512" t="str">
        <f t="shared" si="154"/>
        <v>Vigente</v>
      </c>
      <c r="Y272" s="498" t="s">
        <v>450</v>
      </c>
      <c r="Z272" s="469">
        <f t="shared" si="155"/>
        <v>331</v>
      </c>
      <c r="AA272" s="499">
        <f t="shared" si="172"/>
        <v>2.292947555581156</v>
      </c>
      <c r="AB272" s="499">
        <f t="shared" si="172"/>
        <v>2.255968914883034</v>
      </c>
      <c r="AC272" s="469" t="s">
        <v>451</v>
      </c>
      <c r="AD272" s="469" t="s">
        <v>454</v>
      </c>
      <c r="AG272" s="605">
        <f>+IF(Tabla3[[#This Row],[Amortización k | cupón de intereses]]="Amortización de K",Tabla3[[#This Row],[Valor Nominal]],0)</f>
        <v>0</v>
      </c>
      <c r="AH272" s="605">
        <f>+IF(AND(Tabla3[[#This Row],[Amortización k | cupón de intereses]]="Cupón de interés",Tabla3[[#This Row],[Estado]]="Vigente"),Tabla3[[#This Row],[Valor Nominal]],0)</f>
        <v>2671.2328767123286</v>
      </c>
      <c r="AI272" s="618">
        <f>+IF(Tabla3[[#This Row],[Amortización k | cupón de intereses]]="Amortización de K",SUMIFS($AH$7:$AH$557,Tabla3[Código Emisión],Tabla3[[#This Row],[Código Emisión]],Tabla3[Fecha de operación],Tabla3[[#This Row],[Fecha de operación]]),0)-Tabla3[[#This Row],[Accrued]]*Tabla3[[#This Row],[Valor Nominal]]</f>
        <v>0</v>
      </c>
      <c r="AJ272" s="605">
        <f>+IF(Tabla3[[#This Row],[Amortización k | cupón de intereses]]="Amortización de K",IF(Tabla3[[#This Row],[Precio Clean]]&gt;1,Tabla3[[#This Row],[Valor Nominal]]*(Tabla3[[#This Row],[Precio Clean]]-1),0),0)</f>
        <v>0</v>
      </c>
      <c r="AK272" s="605">
        <f>+IF(Tabla3[[#This Row],[Amortización k | cupón de intereses]]="Amortización de K",IF(Tabla3[[#This Row],[Precio Clean]]&lt;1,Tabla3[[#This Row],[Valor Nominal]]*(Tabla3[[#This Row],[Precio Clean]]-1),0),0)</f>
        <v>0</v>
      </c>
    </row>
    <row r="273" spans="1:37">
      <c r="A273" s="502"/>
      <c r="B273" s="437" t="str">
        <f t="shared" si="171"/>
        <v>Bancop S.A.</v>
      </c>
      <c r="C273" s="437" t="str">
        <f t="shared" si="163"/>
        <v>BCO_6,50%_02102028_AA4088-91_250K</v>
      </c>
      <c r="D273" s="437" t="s">
        <v>453</v>
      </c>
      <c r="E273" s="437" t="str">
        <f t="shared" si="166"/>
        <v>AA-py</v>
      </c>
      <c r="F273" s="437" t="s">
        <v>297</v>
      </c>
      <c r="G273" s="437" t="s">
        <v>298</v>
      </c>
      <c r="H273" s="437">
        <v>2</v>
      </c>
      <c r="I273" s="492">
        <v>1291.0958904109589</v>
      </c>
      <c r="J273" s="451"/>
      <c r="K273" s="450"/>
      <c r="L273" s="451"/>
      <c r="M273" s="493"/>
      <c r="N273" s="493"/>
      <c r="O273" s="494">
        <f t="shared" si="170"/>
        <v>6.5565869200000002E-2</v>
      </c>
      <c r="P273" s="494">
        <f t="shared" si="170"/>
        <v>6.3669465351994248E-2</v>
      </c>
      <c r="Q273" s="450">
        <f t="shared" si="170"/>
        <v>45937</v>
      </c>
      <c r="R273" s="450">
        <v>46413</v>
      </c>
      <c r="S273" s="509" t="s">
        <v>146</v>
      </c>
      <c r="T273" s="510">
        <f>Tabla3[[#This Row],[Cantidad]]*Tabla3[[#This Row],[Cortes]]</f>
        <v>2582.1917808219177</v>
      </c>
      <c r="U273" s="511">
        <f t="shared" si="168"/>
        <v>2450.4406660858226</v>
      </c>
      <c r="V273" s="511">
        <f t="shared" si="169"/>
        <v>2450.0143534148674</v>
      </c>
      <c r="W273" s="497">
        <f>IF(Tabla3[[#This Row],[Fecha de operación]]=$C$1,0,U273-V273)</f>
        <v>0.42631267095521252</v>
      </c>
      <c r="X273" s="512" t="str">
        <f t="shared" si="154"/>
        <v>Vigente</v>
      </c>
      <c r="Y273" s="498" t="s">
        <v>450</v>
      </c>
      <c r="Z273" s="469">
        <f t="shared" si="155"/>
        <v>301</v>
      </c>
      <c r="AA273" s="499">
        <f t="shared" si="172"/>
        <v>2.292947555581156</v>
      </c>
      <c r="AB273" s="499">
        <f t="shared" si="172"/>
        <v>2.255968914883034</v>
      </c>
      <c r="AC273" s="469" t="s">
        <v>451</v>
      </c>
      <c r="AD273" s="469" t="s">
        <v>454</v>
      </c>
      <c r="AG273" s="605">
        <f>+IF(Tabla3[[#This Row],[Amortización k | cupón de intereses]]="Amortización de K",Tabla3[[#This Row],[Valor Nominal]],0)</f>
        <v>0</v>
      </c>
      <c r="AH273" s="605">
        <f>+IF(AND(Tabla3[[#This Row],[Amortización k | cupón de intereses]]="Cupón de interés",Tabla3[[#This Row],[Estado]]="Vigente"),Tabla3[[#This Row],[Valor Nominal]],0)</f>
        <v>2582.1917808219177</v>
      </c>
      <c r="AI273" s="618">
        <f>+IF(Tabla3[[#This Row],[Amortización k | cupón de intereses]]="Amortización de K",SUMIFS($AH$7:$AH$557,Tabla3[Código Emisión],Tabla3[[#This Row],[Código Emisión]],Tabla3[Fecha de operación],Tabla3[[#This Row],[Fecha de operación]]),0)-Tabla3[[#This Row],[Accrued]]*Tabla3[[#This Row],[Valor Nominal]]</f>
        <v>0</v>
      </c>
      <c r="AJ273" s="605">
        <f>+IF(Tabla3[[#This Row],[Amortización k | cupón de intereses]]="Amortización de K",IF(Tabla3[[#This Row],[Precio Clean]]&gt;1,Tabla3[[#This Row],[Valor Nominal]]*(Tabla3[[#This Row],[Precio Clean]]-1),0),0)</f>
        <v>0</v>
      </c>
      <c r="AK273" s="605">
        <f>+IF(Tabla3[[#This Row],[Amortización k | cupón de intereses]]="Amortización de K",IF(Tabla3[[#This Row],[Precio Clean]]&lt;1,Tabla3[[#This Row],[Valor Nominal]]*(Tabla3[[#This Row],[Precio Clean]]-1),0),0)</f>
        <v>0</v>
      </c>
    </row>
    <row r="274" spans="1:37">
      <c r="A274" s="502"/>
      <c r="B274" s="437" t="str">
        <f t="shared" si="171"/>
        <v>Bancop S.A.</v>
      </c>
      <c r="C274" s="437" t="str">
        <f t="shared" si="163"/>
        <v>BCO_6,50%_02102028_AA4088-91_250K</v>
      </c>
      <c r="D274" s="437" t="s">
        <v>453</v>
      </c>
      <c r="E274" s="437" t="str">
        <f t="shared" si="166"/>
        <v>AA-py</v>
      </c>
      <c r="F274" s="437" t="s">
        <v>297</v>
      </c>
      <c r="G274" s="437" t="s">
        <v>298</v>
      </c>
      <c r="H274" s="437">
        <v>2</v>
      </c>
      <c r="I274" s="492">
        <v>1380.1369863013699</v>
      </c>
      <c r="J274" s="451"/>
      <c r="K274" s="450"/>
      <c r="L274" s="451"/>
      <c r="M274" s="493"/>
      <c r="N274" s="493"/>
      <c r="O274" s="494">
        <f t="shared" si="170"/>
        <v>6.5565869200000002E-2</v>
      </c>
      <c r="P274" s="494">
        <f t="shared" si="170"/>
        <v>6.3669465351994248E-2</v>
      </c>
      <c r="Q274" s="450">
        <f t="shared" si="170"/>
        <v>45937</v>
      </c>
      <c r="R274" s="450">
        <v>46384</v>
      </c>
      <c r="S274" s="509" t="s">
        <v>146</v>
      </c>
      <c r="T274" s="510">
        <f>Tabla3[[#This Row],[Cantidad]]*Tabla3[[#This Row],[Cortes]]</f>
        <v>2760.2739726027398</v>
      </c>
      <c r="U274" s="511">
        <f t="shared" si="168"/>
        <v>2632.6868167578077</v>
      </c>
      <c r="V274" s="511">
        <f t="shared" si="169"/>
        <v>2632.2287980168626</v>
      </c>
      <c r="W274" s="497">
        <f>IF(Tabla3[[#This Row],[Fecha de operación]]=$C$1,0,U274-V274)</f>
        <v>0.45801874094513551</v>
      </c>
      <c r="X274" s="512" t="str">
        <f t="shared" si="154"/>
        <v>Vigente</v>
      </c>
      <c r="Y274" s="498" t="s">
        <v>450</v>
      </c>
      <c r="Z274" s="469">
        <f t="shared" si="155"/>
        <v>272</v>
      </c>
      <c r="AA274" s="499">
        <f t="shared" si="172"/>
        <v>2.292947555581156</v>
      </c>
      <c r="AB274" s="499">
        <f t="shared" si="172"/>
        <v>2.255968914883034</v>
      </c>
      <c r="AC274" s="469" t="s">
        <v>451</v>
      </c>
      <c r="AD274" s="469" t="s">
        <v>454</v>
      </c>
      <c r="AG274" s="605">
        <f>+IF(Tabla3[[#This Row],[Amortización k | cupón de intereses]]="Amortización de K",Tabla3[[#This Row],[Valor Nominal]],0)</f>
        <v>0</v>
      </c>
      <c r="AH274" s="605">
        <f>+IF(AND(Tabla3[[#This Row],[Amortización k | cupón de intereses]]="Cupón de interés",Tabla3[[#This Row],[Estado]]="Vigente"),Tabla3[[#This Row],[Valor Nominal]],0)</f>
        <v>2760.2739726027398</v>
      </c>
      <c r="AI274" s="618">
        <f>+IF(Tabla3[[#This Row],[Amortización k | cupón de intereses]]="Amortización de K",SUMIFS($AH$7:$AH$557,Tabla3[Código Emisión],Tabla3[[#This Row],[Código Emisión]],Tabla3[Fecha de operación],Tabla3[[#This Row],[Fecha de operación]]),0)-Tabla3[[#This Row],[Accrued]]*Tabla3[[#This Row],[Valor Nominal]]</f>
        <v>0</v>
      </c>
      <c r="AJ274" s="605">
        <f>+IF(Tabla3[[#This Row],[Amortización k | cupón de intereses]]="Amortización de K",IF(Tabla3[[#This Row],[Precio Clean]]&gt;1,Tabla3[[#This Row],[Valor Nominal]]*(Tabla3[[#This Row],[Precio Clean]]-1),0),0)</f>
        <v>0</v>
      </c>
      <c r="AK274" s="605">
        <f>+IF(Tabla3[[#This Row],[Amortización k | cupón de intereses]]="Amortización de K",IF(Tabla3[[#This Row],[Precio Clean]]&lt;1,Tabla3[[#This Row],[Valor Nominal]]*(Tabla3[[#This Row],[Precio Clean]]-1),0),0)</f>
        <v>0</v>
      </c>
    </row>
    <row r="275" spans="1:37">
      <c r="A275" s="502"/>
      <c r="B275" s="437" t="str">
        <f t="shared" si="171"/>
        <v>Bancop S.A.</v>
      </c>
      <c r="C275" s="437" t="str">
        <f t="shared" si="163"/>
        <v>BCO_6,50%_02102028_AA4088-91_250K</v>
      </c>
      <c r="D275" s="437" t="s">
        <v>453</v>
      </c>
      <c r="E275" s="437" t="str">
        <f t="shared" si="166"/>
        <v>AA-py</v>
      </c>
      <c r="F275" s="437" t="s">
        <v>297</v>
      </c>
      <c r="G275" s="437" t="s">
        <v>298</v>
      </c>
      <c r="H275" s="437">
        <v>2</v>
      </c>
      <c r="I275" s="492">
        <v>1335.6164383561643</v>
      </c>
      <c r="J275" s="451"/>
      <c r="K275" s="450"/>
      <c r="L275" s="451"/>
      <c r="M275" s="493"/>
      <c r="N275" s="493"/>
      <c r="O275" s="494">
        <f t="shared" si="170"/>
        <v>6.5565869200000002E-2</v>
      </c>
      <c r="P275" s="494">
        <f t="shared" si="170"/>
        <v>6.3669465351994248E-2</v>
      </c>
      <c r="Q275" s="450">
        <f t="shared" si="170"/>
        <v>45937</v>
      </c>
      <c r="R275" s="450">
        <v>46353</v>
      </c>
      <c r="S275" s="509" t="s">
        <v>146</v>
      </c>
      <c r="T275" s="510">
        <f>Tabla3[[#This Row],[Cantidad]]*Tabla3[[#This Row],[Cortes]]</f>
        <v>2671.2328767123286</v>
      </c>
      <c r="U275" s="511">
        <f t="shared" si="168"/>
        <v>2561.5403190872762</v>
      </c>
      <c r="V275" s="511">
        <f t="shared" si="169"/>
        <v>2561.0946779785959</v>
      </c>
      <c r="W275" s="497">
        <f>IF(Tabla3[[#This Row],[Fecha de operación]]=$C$1,0,U275-V275)</f>
        <v>0.44564110868032003</v>
      </c>
      <c r="X275" s="512" t="str">
        <f t="shared" si="154"/>
        <v>Vigente</v>
      </c>
      <c r="Y275" s="498" t="s">
        <v>450</v>
      </c>
      <c r="Z275" s="469">
        <f t="shared" si="155"/>
        <v>241</v>
      </c>
      <c r="AA275" s="499">
        <f t="shared" si="172"/>
        <v>2.292947555581156</v>
      </c>
      <c r="AB275" s="499">
        <f t="shared" si="172"/>
        <v>2.255968914883034</v>
      </c>
      <c r="AC275" s="469" t="s">
        <v>451</v>
      </c>
      <c r="AD275" s="469" t="s">
        <v>454</v>
      </c>
      <c r="AG275" s="605">
        <f>+IF(Tabla3[[#This Row],[Amortización k | cupón de intereses]]="Amortización de K",Tabla3[[#This Row],[Valor Nominal]],0)</f>
        <v>0</v>
      </c>
      <c r="AH275" s="605">
        <f>+IF(AND(Tabla3[[#This Row],[Amortización k | cupón de intereses]]="Cupón de interés",Tabla3[[#This Row],[Estado]]="Vigente"),Tabla3[[#This Row],[Valor Nominal]],0)</f>
        <v>2671.2328767123286</v>
      </c>
      <c r="AI275" s="618">
        <f>+IF(Tabla3[[#This Row],[Amortización k | cupón de intereses]]="Amortización de K",SUMIFS($AH$7:$AH$557,Tabla3[Código Emisión],Tabla3[[#This Row],[Código Emisión]],Tabla3[Fecha de operación],Tabla3[[#This Row],[Fecha de operación]]),0)-Tabla3[[#This Row],[Accrued]]*Tabla3[[#This Row],[Valor Nominal]]</f>
        <v>0</v>
      </c>
      <c r="AJ275" s="605">
        <f>+IF(Tabla3[[#This Row],[Amortización k | cupón de intereses]]="Amortización de K",IF(Tabla3[[#This Row],[Precio Clean]]&gt;1,Tabla3[[#This Row],[Valor Nominal]]*(Tabla3[[#This Row],[Precio Clean]]-1),0),0)</f>
        <v>0</v>
      </c>
      <c r="AK275" s="605">
        <f>+IF(Tabla3[[#This Row],[Amortización k | cupón de intereses]]="Amortización de K",IF(Tabla3[[#This Row],[Precio Clean]]&lt;1,Tabla3[[#This Row],[Valor Nominal]]*(Tabla3[[#This Row],[Precio Clean]]-1),0),0)</f>
        <v>0</v>
      </c>
    </row>
    <row r="276" spans="1:37">
      <c r="A276" s="502"/>
      <c r="B276" s="437" t="str">
        <f t="shared" si="171"/>
        <v>Bancop S.A.</v>
      </c>
      <c r="C276" s="437" t="str">
        <f t="shared" si="163"/>
        <v>BCO_6,50%_02102028_AA4088-91_250K</v>
      </c>
      <c r="D276" s="437" t="s">
        <v>453</v>
      </c>
      <c r="E276" s="437" t="str">
        <f t="shared" si="166"/>
        <v>AA-py</v>
      </c>
      <c r="F276" s="437" t="s">
        <v>297</v>
      </c>
      <c r="G276" s="437" t="s">
        <v>298</v>
      </c>
      <c r="H276" s="437">
        <v>2</v>
      </c>
      <c r="I276" s="492">
        <v>1335.6164383561643</v>
      </c>
      <c r="J276" s="451"/>
      <c r="K276" s="450"/>
      <c r="L276" s="451"/>
      <c r="M276" s="493"/>
      <c r="N276" s="493"/>
      <c r="O276" s="494">
        <f t="shared" si="170"/>
        <v>6.5565869200000002E-2</v>
      </c>
      <c r="P276" s="494">
        <f t="shared" si="170"/>
        <v>6.3669465351994248E-2</v>
      </c>
      <c r="Q276" s="450">
        <f t="shared" si="170"/>
        <v>45937</v>
      </c>
      <c r="R276" s="450">
        <v>46323</v>
      </c>
      <c r="S276" s="509" t="s">
        <v>146</v>
      </c>
      <c r="T276" s="510">
        <f>Tabla3[[#This Row],[Cantidad]]*Tabla3[[#This Row],[Cortes]]</f>
        <v>2671.2328767123286</v>
      </c>
      <c r="U276" s="511">
        <f t="shared" si="168"/>
        <v>2574.9456707546738</v>
      </c>
      <c r="V276" s="511">
        <f t="shared" si="169"/>
        <v>2574.497697464948</v>
      </c>
      <c r="W276" s="497">
        <f>IF(Tabla3[[#This Row],[Fecha de operación]]=$C$1,0,U276-V276)</f>
        <v>0.44797328972572359</v>
      </c>
      <c r="X276" s="512" t="str">
        <f t="shared" si="154"/>
        <v>Vigente</v>
      </c>
      <c r="Y276" s="498" t="s">
        <v>450</v>
      </c>
      <c r="Z276" s="469">
        <f t="shared" si="155"/>
        <v>211</v>
      </c>
      <c r="AA276" s="499">
        <f t="shared" si="172"/>
        <v>2.292947555581156</v>
      </c>
      <c r="AB276" s="499">
        <f t="shared" si="172"/>
        <v>2.255968914883034</v>
      </c>
      <c r="AC276" s="469" t="s">
        <v>451</v>
      </c>
      <c r="AD276" s="469" t="s">
        <v>454</v>
      </c>
      <c r="AG276" s="605">
        <f>+IF(Tabla3[[#This Row],[Amortización k | cupón de intereses]]="Amortización de K",Tabla3[[#This Row],[Valor Nominal]],0)</f>
        <v>0</v>
      </c>
      <c r="AH276" s="605">
        <f>+IF(AND(Tabla3[[#This Row],[Amortización k | cupón de intereses]]="Cupón de interés",Tabla3[[#This Row],[Estado]]="Vigente"),Tabla3[[#This Row],[Valor Nominal]],0)</f>
        <v>2671.2328767123286</v>
      </c>
      <c r="AI276" s="618">
        <f>+IF(Tabla3[[#This Row],[Amortización k | cupón de intereses]]="Amortización de K",SUMIFS($AH$7:$AH$557,Tabla3[Código Emisión],Tabla3[[#This Row],[Código Emisión]],Tabla3[Fecha de operación],Tabla3[[#This Row],[Fecha de operación]]),0)-Tabla3[[#This Row],[Accrued]]*Tabla3[[#This Row],[Valor Nominal]]</f>
        <v>0</v>
      </c>
      <c r="AJ276" s="605">
        <f>+IF(Tabla3[[#This Row],[Amortización k | cupón de intereses]]="Amortización de K",IF(Tabla3[[#This Row],[Precio Clean]]&gt;1,Tabla3[[#This Row],[Valor Nominal]]*(Tabla3[[#This Row],[Precio Clean]]-1),0),0)</f>
        <v>0</v>
      </c>
      <c r="AK276" s="605">
        <f>+IF(Tabla3[[#This Row],[Amortización k | cupón de intereses]]="Amortización de K",IF(Tabla3[[#This Row],[Precio Clean]]&lt;1,Tabla3[[#This Row],[Valor Nominal]]*(Tabla3[[#This Row],[Precio Clean]]-1),0),0)</f>
        <v>0</v>
      </c>
    </row>
    <row r="277" spans="1:37">
      <c r="A277" s="502"/>
      <c r="B277" s="437" t="str">
        <f t="shared" si="171"/>
        <v>Bancop S.A.</v>
      </c>
      <c r="C277" s="437" t="str">
        <f t="shared" si="171"/>
        <v>BCO_6,50%_02102028_AA4088-91_250K</v>
      </c>
      <c r="D277" s="437" t="s">
        <v>453</v>
      </c>
      <c r="E277" s="437" t="str">
        <f t="shared" si="166"/>
        <v>AA-py</v>
      </c>
      <c r="F277" s="437" t="s">
        <v>297</v>
      </c>
      <c r="G277" s="437" t="s">
        <v>298</v>
      </c>
      <c r="H277" s="437">
        <v>2</v>
      </c>
      <c r="I277" s="492">
        <v>1246.5753424657535</v>
      </c>
      <c r="J277" s="451"/>
      <c r="K277" s="450"/>
      <c r="L277" s="451"/>
      <c r="M277" s="493"/>
      <c r="N277" s="493"/>
      <c r="O277" s="494">
        <f t="shared" si="170"/>
        <v>6.5565869200000002E-2</v>
      </c>
      <c r="P277" s="494">
        <f t="shared" si="170"/>
        <v>6.3669465351994248E-2</v>
      </c>
      <c r="Q277" s="450">
        <f t="shared" si="170"/>
        <v>45937</v>
      </c>
      <c r="R277" s="450">
        <v>46293</v>
      </c>
      <c r="S277" s="509" t="s">
        <v>146</v>
      </c>
      <c r="T277" s="510">
        <f>Tabla3[[#This Row],[Cantidad]]*Tabla3[[#This Row],[Cortes]]</f>
        <v>2493.1506849315069</v>
      </c>
      <c r="U277" s="511">
        <f t="shared" si="168"/>
        <v>2415.8597650809966</v>
      </c>
      <c r="V277" s="511">
        <f t="shared" si="169"/>
        <v>2415.4394685835705</v>
      </c>
      <c r="W277" s="497">
        <f>IF(Tabla3[[#This Row],[Fecha de operación]]=$C$1,0,U277-V277)</f>
        <v>0.42029649742607944</v>
      </c>
      <c r="X277" s="512" t="str">
        <f t="shared" si="154"/>
        <v>Vigente</v>
      </c>
      <c r="Y277" s="498" t="s">
        <v>450</v>
      </c>
      <c r="Z277" s="469">
        <f t="shared" si="155"/>
        <v>181</v>
      </c>
      <c r="AA277" s="499">
        <f t="shared" si="172"/>
        <v>2.292947555581156</v>
      </c>
      <c r="AB277" s="499">
        <f t="shared" si="172"/>
        <v>2.255968914883034</v>
      </c>
      <c r="AC277" s="469" t="s">
        <v>451</v>
      </c>
      <c r="AD277" s="469" t="s">
        <v>454</v>
      </c>
      <c r="AG277" s="605">
        <f>+IF(Tabla3[[#This Row],[Amortización k | cupón de intereses]]="Amortización de K",Tabla3[[#This Row],[Valor Nominal]],0)</f>
        <v>0</v>
      </c>
      <c r="AH277" s="605">
        <f>+IF(AND(Tabla3[[#This Row],[Amortización k | cupón de intereses]]="Cupón de interés",Tabla3[[#This Row],[Estado]]="Vigente"),Tabla3[[#This Row],[Valor Nominal]],0)</f>
        <v>2493.1506849315069</v>
      </c>
      <c r="AI277" s="618">
        <f>+IF(Tabla3[[#This Row],[Amortización k | cupón de intereses]]="Amortización de K",SUMIFS($AH$7:$AH$557,Tabla3[Código Emisión],Tabla3[[#This Row],[Código Emisión]],Tabla3[Fecha de operación],Tabla3[[#This Row],[Fecha de operación]]),0)-Tabla3[[#This Row],[Accrued]]*Tabla3[[#This Row],[Valor Nominal]]</f>
        <v>0</v>
      </c>
      <c r="AJ277" s="605">
        <f>+IF(Tabla3[[#This Row],[Amortización k | cupón de intereses]]="Amortización de K",IF(Tabla3[[#This Row],[Precio Clean]]&gt;1,Tabla3[[#This Row],[Valor Nominal]]*(Tabla3[[#This Row],[Precio Clean]]-1),0),0)</f>
        <v>0</v>
      </c>
      <c r="AK277" s="605">
        <f>+IF(Tabla3[[#This Row],[Amortización k | cupón de intereses]]="Amortización de K",IF(Tabla3[[#This Row],[Precio Clean]]&lt;1,Tabla3[[#This Row],[Valor Nominal]]*(Tabla3[[#This Row],[Precio Clean]]-1),0),0)</f>
        <v>0</v>
      </c>
    </row>
    <row r="278" spans="1:37">
      <c r="A278" s="502"/>
      <c r="B278" s="437" t="str">
        <f t="shared" si="171"/>
        <v>Bancop S.A.</v>
      </c>
      <c r="C278" s="437" t="str">
        <f t="shared" si="171"/>
        <v>BCO_6,50%_02102028_AA4088-91_250K</v>
      </c>
      <c r="D278" s="437" t="s">
        <v>453</v>
      </c>
      <c r="E278" s="437" t="str">
        <f t="shared" si="166"/>
        <v>AA-py</v>
      </c>
      <c r="F278" s="437" t="s">
        <v>297</v>
      </c>
      <c r="G278" s="437" t="s">
        <v>298</v>
      </c>
      <c r="H278" s="437">
        <v>2</v>
      </c>
      <c r="I278" s="492">
        <v>1424.6575342465753</v>
      </c>
      <c r="J278" s="451"/>
      <c r="K278" s="450"/>
      <c r="L278" s="451"/>
      <c r="M278" s="493"/>
      <c r="N278" s="493"/>
      <c r="O278" s="494">
        <f t="shared" si="170"/>
        <v>6.5565869200000002E-2</v>
      </c>
      <c r="P278" s="494">
        <f t="shared" si="170"/>
        <v>6.3669465351994248E-2</v>
      </c>
      <c r="Q278" s="450">
        <f t="shared" si="170"/>
        <v>45937</v>
      </c>
      <c r="R278" s="450">
        <v>46265</v>
      </c>
      <c r="S278" s="509" t="s">
        <v>146</v>
      </c>
      <c r="T278" s="510">
        <f>Tabla3[[#This Row],[Cantidad]]*Tabla3[[#This Row],[Cortes]]</f>
        <v>2849.3150684931506</v>
      </c>
      <c r="U278" s="511">
        <f t="shared" si="168"/>
        <v>2774.4660636512831</v>
      </c>
      <c r="V278" s="511">
        <f t="shared" si="169"/>
        <v>2773.9833790246194</v>
      </c>
      <c r="W278" s="497">
        <f>IF(Tabla3[[#This Row],[Fecha de operación]]=$C$1,0,U278-V278)</f>
        <v>0.48268462666374035</v>
      </c>
      <c r="X278" s="512" t="str">
        <f t="shared" si="154"/>
        <v>Vigente</v>
      </c>
      <c r="Y278" s="498" t="s">
        <v>450</v>
      </c>
      <c r="Z278" s="469">
        <f t="shared" si="155"/>
        <v>153</v>
      </c>
      <c r="AA278" s="499">
        <f t="shared" si="172"/>
        <v>2.292947555581156</v>
      </c>
      <c r="AB278" s="499">
        <f t="shared" si="172"/>
        <v>2.255968914883034</v>
      </c>
      <c r="AC278" s="469" t="s">
        <v>451</v>
      </c>
      <c r="AD278" s="469" t="s">
        <v>454</v>
      </c>
      <c r="AG278" s="605">
        <f>+IF(Tabla3[[#This Row],[Amortización k | cupón de intereses]]="Amortización de K",Tabla3[[#This Row],[Valor Nominal]],0)</f>
        <v>0</v>
      </c>
      <c r="AH278" s="605">
        <f>+IF(AND(Tabla3[[#This Row],[Amortización k | cupón de intereses]]="Cupón de interés",Tabla3[[#This Row],[Estado]]="Vigente"),Tabla3[[#This Row],[Valor Nominal]],0)</f>
        <v>2849.3150684931506</v>
      </c>
      <c r="AI278" s="618">
        <f>+IF(Tabla3[[#This Row],[Amortización k | cupón de intereses]]="Amortización de K",SUMIFS($AH$7:$AH$557,Tabla3[Código Emisión],Tabla3[[#This Row],[Código Emisión]],Tabla3[Fecha de operación],Tabla3[[#This Row],[Fecha de operación]]),0)-Tabla3[[#This Row],[Accrued]]*Tabla3[[#This Row],[Valor Nominal]]</f>
        <v>0</v>
      </c>
      <c r="AJ278" s="605">
        <f>+IF(Tabla3[[#This Row],[Amortización k | cupón de intereses]]="Amortización de K",IF(Tabla3[[#This Row],[Precio Clean]]&gt;1,Tabla3[[#This Row],[Valor Nominal]]*(Tabla3[[#This Row],[Precio Clean]]-1),0),0)</f>
        <v>0</v>
      </c>
      <c r="AK278" s="605">
        <f>+IF(Tabla3[[#This Row],[Amortización k | cupón de intereses]]="Amortización de K",IF(Tabla3[[#This Row],[Precio Clean]]&lt;1,Tabla3[[#This Row],[Valor Nominal]]*(Tabla3[[#This Row],[Precio Clean]]-1),0),0)</f>
        <v>0</v>
      </c>
    </row>
    <row r="279" spans="1:37">
      <c r="A279" s="502"/>
      <c r="B279" s="437" t="str">
        <f t="shared" si="171"/>
        <v>Bancop S.A.</v>
      </c>
      <c r="C279" s="437" t="str">
        <f t="shared" si="171"/>
        <v>BCO_6,50%_02102028_AA4088-91_250K</v>
      </c>
      <c r="D279" s="437" t="s">
        <v>453</v>
      </c>
      <c r="E279" s="437" t="str">
        <f t="shared" si="166"/>
        <v>AA-py</v>
      </c>
      <c r="F279" s="437" t="s">
        <v>297</v>
      </c>
      <c r="G279" s="437" t="s">
        <v>298</v>
      </c>
      <c r="H279" s="437">
        <v>2</v>
      </c>
      <c r="I279" s="492">
        <v>1335.6164383561643</v>
      </c>
      <c r="J279" s="451"/>
      <c r="K279" s="450"/>
      <c r="L279" s="451"/>
      <c r="M279" s="493"/>
      <c r="N279" s="493"/>
      <c r="O279" s="494">
        <f t="shared" si="170"/>
        <v>6.5565869200000002E-2</v>
      </c>
      <c r="P279" s="494">
        <f t="shared" si="170"/>
        <v>6.3669465351994248E-2</v>
      </c>
      <c r="Q279" s="450">
        <f t="shared" si="170"/>
        <v>45937</v>
      </c>
      <c r="R279" s="450">
        <v>46233</v>
      </c>
      <c r="S279" s="509" t="s">
        <v>146</v>
      </c>
      <c r="T279" s="510">
        <f>Tabla3[[#This Row],[Cantidad]]*Tabla3[[#This Row],[Cortes]]</f>
        <v>2671.2328767123286</v>
      </c>
      <c r="U279" s="511">
        <f t="shared" si="168"/>
        <v>2615.5841229425982</v>
      </c>
      <c r="V279" s="511">
        <f t="shared" si="169"/>
        <v>2615.1290796236585</v>
      </c>
      <c r="W279" s="497">
        <f>IF(Tabla3[[#This Row],[Fecha de operación]]=$C$1,0,U279-V279)</f>
        <v>0.45504331893971539</v>
      </c>
      <c r="X279" s="512" t="str">
        <f t="shared" si="154"/>
        <v>Vigente</v>
      </c>
      <c r="Y279" s="498" t="s">
        <v>450</v>
      </c>
      <c r="Z279" s="469">
        <f t="shared" si="155"/>
        <v>121</v>
      </c>
      <c r="AA279" s="499">
        <f t="shared" si="172"/>
        <v>2.292947555581156</v>
      </c>
      <c r="AB279" s="499">
        <f t="shared" si="172"/>
        <v>2.255968914883034</v>
      </c>
      <c r="AC279" s="469" t="s">
        <v>451</v>
      </c>
      <c r="AD279" s="469" t="s">
        <v>454</v>
      </c>
      <c r="AG279" s="605">
        <f>+IF(Tabla3[[#This Row],[Amortización k | cupón de intereses]]="Amortización de K",Tabla3[[#This Row],[Valor Nominal]],0)</f>
        <v>0</v>
      </c>
      <c r="AH279" s="605">
        <f>+IF(AND(Tabla3[[#This Row],[Amortización k | cupón de intereses]]="Cupón de interés",Tabla3[[#This Row],[Estado]]="Vigente"),Tabla3[[#This Row],[Valor Nominal]],0)</f>
        <v>2671.2328767123286</v>
      </c>
      <c r="AI279" s="618">
        <f>+IF(Tabla3[[#This Row],[Amortización k | cupón de intereses]]="Amortización de K",SUMIFS($AH$7:$AH$557,Tabla3[Código Emisión],Tabla3[[#This Row],[Código Emisión]],Tabla3[Fecha de operación],Tabla3[[#This Row],[Fecha de operación]]),0)-Tabla3[[#This Row],[Accrued]]*Tabla3[[#This Row],[Valor Nominal]]</f>
        <v>0</v>
      </c>
      <c r="AJ279" s="605">
        <f>+IF(Tabla3[[#This Row],[Amortización k | cupón de intereses]]="Amortización de K",IF(Tabla3[[#This Row],[Precio Clean]]&gt;1,Tabla3[[#This Row],[Valor Nominal]]*(Tabla3[[#This Row],[Precio Clean]]-1),0),0)</f>
        <v>0</v>
      </c>
      <c r="AK279" s="605">
        <f>+IF(Tabla3[[#This Row],[Amortización k | cupón de intereses]]="Amortización de K",IF(Tabla3[[#This Row],[Precio Clean]]&lt;1,Tabla3[[#This Row],[Valor Nominal]]*(Tabla3[[#This Row],[Precio Clean]]-1),0),0)</f>
        <v>0</v>
      </c>
    </row>
    <row r="280" spans="1:37">
      <c r="A280" s="502"/>
      <c r="B280" s="437" t="str">
        <f t="shared" si="171"/>
        <v>Bancop S.A.</v>
      </c>
      <c r="C280" s="437" t="str">
        <f t="shared" si="171"/>
        <v>BCO_6,50%_02102028_AA4088-91_250K</v>
      </c>
      <c r="D280" s="437" t="s">
        <v>453</v>
      </c>
      <c r="E280" s="437" t="str">
        <f t="shared" si="166"/>
        <v>AA-py</v>
      </c>
      <c r="F280" s="437" t="s">
        <v>297</v>
      </c>
      <c r="G280" s="437" t="s">
        <v>298</v>
      </c>
      <c r="H280" s="437">
        <v>2</v>
      </c>
      <c r="I280" s="492">
        <v>1291.0958904109589</v>
      </c>
      <c r="J280" s="451"/>
      <c r="K280" s="450"/>
      <c r="L280" s="451"/>
      <c r="M280" s="493"/>
      <c r="N280" s="493"/>
      <c r="O280" s="494">
        <f t="shared" si="170"/>
        <v>6.5565869200000002E-2</v>
      </c>
      <c r="P280" s="494">
        <f t="shared" si="170"/>
        <v>6.3669465351994248E-2</v>
      </c>
      <c r="Q280" s="450">
        <f t="shared" si="170"/>
        <v>45937</v>
      </c>
      <c r="R280" s="450">
        <v>46203</v>
      </c>
      <c r="S280" s="509" t="s">
        <v>146</v>
      </c>
      <c r="T280" s="510">
        <f>Tabla3[[#This Row],[Cantidad]]*Tabla3[[#This Row],[Cortes]]</f>
        <v>2582.1917808219177</v>
      </c>
      <c r="U280" s="511">
        <f t="shared" si="168"/>
        <v>2541.6298928515998</v>
      </c>
      <c r="V280" s="511">
        <f t="shared" si="169"/>
        <v>2541.1877156370283</v>
      </c>
      <c r="W280" s="497">
        <f>IF(Tabla3[[#This Row],[Fecha de operación]]=$C$1,0,U280-V280)</f>
        <v>0.44217721457152948</v>
      </c>
      <c r="X280" s="512" t="str">
        <f t="shared" si="154"/>
        <v>Vigente</v>
      </c>
      <c r="Y280" s="498" t="s">
        <v>450</v>
      </c>
      <c r="Z280" s="469">
        <f t="shared" si="155"/>
        <v>91</v>
      </c>
      <c r="AA280" s="499">
        <f t="shared" si="172"/>
        <v>2.292947555581156</v>
      </c>
      <c r="AB280" s="499">
        <f t="shared" si="172"/>
        <v>2.255968914883034</v>
      </c>
      <c r="AC280" s="469" t="s">
        <v>451</v>
      </c>
      <c r="AD280" s="469" t="s">
        <v>454</v>
      </c>
      <c r="AG280" s="605">
        <f>+IF(Tabla3[[#This Row],[Amortización k | cupón de intereses]]="Amortización de K",Tabla3[[#This Row],[Valor Nominal]],0)</f>
        <v>0</v>
      </c>
      <c r="AH280" s="605">
        <f>+IF(AND(Tabla3[[#This Row],[Amortización k | cupón de intereses]]="Cupón de interés",Tabla3[[#This Row],[Estado]]="Vigente"),Tabla3[[#This Row],[Valor Nominal]],0)</f>
        <v>2582.1917808219177</v>
      </c>
      <c r="AI280" s="618">
        <f>+IF(Tabla3[[#This Row],[Amortización k | cupón de intereses]]="Amortización de K",SUMIFS($AH$7:$AH$557,Tabla3[Código Emisión],Tabla3[[#This Row],[Código Emisión]],Tabla3[Fecha de operación],Tabla3[[#This Row],[Fecha de operación]]),0)-Tabla3[[#This Row],[Accrued]]*Tabla3[[#This Row],[Valor Nominal]]</f>
        <v>0</v>
      </c>
      <c r="AJ280" s="605">
        <f>+IF(Tabla3[[#This Row],[Amortización k | cupón de intereses]]="Amortización de K",IF(Tabla3[[#This Row],[Precio Clean]]&gt;1,Tabla3[[#This Row],[Valor Nominal]]*(Tabla3[[#This Row],[Precio Clean]]-1),0),0)</f>
        <v>0</v>
      </c>
      <c r="AK280" s="605">
        <f>+IF(Tabla3[[#This Row],[Amortización k | cupón de intereses]]="Amortización de K",IF(Tabla3[[#This Row],[Precio Clean]]&lt;1,Tabla3[[#This Row],[Valor Nominal]]*(Tabla3[[#This Row],[Precio Clean]]-1),0),0)</f>
        <v>0</v>
      </c>
    </row>
    <row r="281" spans="1:37">
      <c r="A281" s="502"/>
      <c r="B281" s="437" t="str">
        <f t="shared" si="171"/>
        <v>Bancop S.A.</v>
      </c>
      <c r="C281" s="437" t="str">
        <f t="shared" si="171"/>
        <v>BCO_6,50%_02102028_AA4088-91_250K</v>
      </c>
      <c r="D281" s="437" t="s">
        <v>453</v>
      </c>
      <c r="E281" s="437" t="str">
        <f t="shared" si="166"/>
        <v>AA-py</v>
      </c>
      <c r="F281" s="437" t="s">
        <v>297</v>
      </c>
      <c r="G281" s="437" t="s">
        <v>298</v>
      </c>
      <c r="H281" s="437">
        <v>2</v>
      </c>
      <c r="I281" s="492">
        <v>1246.5753424657535</v>
      </c>
      <c r="J281" s="451"/>
      <c r="K281" s="450"/>
      <c r="L281" s="451"/>
      <c r="M281" s="493"/>
      <c r="N281" s="493"/>
      <c r="O281" s="494">
        <f t="shared" si="170"/>
        <v>6.5565869200000002E-2</v>
      </c>
      <c r="P281" s="494">
        <f t="shared" si="170"/>
        <v>6.3669465351994248E-2</v>
      </c>
      <c r="Q281" s="450">
        <f t="shared" si="170"/>
        <v>45937</v>
      </c>
      <c r="R281" s="450">
        <v>46174</v>
      </c>
      <c r="S281" s="509" t="s">
        <v>146</v>
      </c>
      <c r="T281" s="510">
        <f>Tabla3[[#This Row],[Cantidad]]*Tabla3[[#This Row],[Cortes]]</f>
        <v>2493.1506849315069</v>
      </c>
      <c r="U281" s="511">
        <f t="shared" si="168"/>
        <v>2466.4008123858994</v>
      </c>
      <c r="V281" s="511">
        <f t="shared" si="169"/>
        <v>2465.9717230663637</v>
      </c>
      <c r="W281" s="497">
        <f>IF(Tabla3[[#This Row],[Fecha de operación]]=$C$1,0,U281-V281)</f>
        <v>0.42908931953570573</v>
      </c>
      <c r="X281" s="512" t="str">
        <f t="shared" si="154"/>
        <v>Vigente</v>
      </c>
      <c r="Y281" s="498" t="s">
        <v>450</v>
      </c>
      <c r="Z281" s="469">
        <f t="shared" si="155"/>
        <v>62</v>
      </c>
      <c r="AA281" s="499">
        <f t="shared" si="172"/>
        <v>2.292947555581156</v>
      </c>
      <c r="AB281" s="499">
        <f t="shared" si="172"/>
        <v>2.255968914883034</v>
      </c>
      <c r="AC281" s="469" t="s">
        <v>451</v>
      </c>
      <c r="AD281" s="469" t="s">
        <v>454</v>
      </c>
      <c r="AG281" s="605">
        <f>+IF(Tabla3[[#This Row],[Amortización k | cupón de intereses]]="Amortización de K",Tabla3[[#This Row],[Valor Nominal]],0)</f>
        <v>0</v>
      </c>
      <c r="AH281" s="605">
        <f>+IF(AND(Tabla3[[#This Row],[Amortización k | cupón de intereses]]="Cupón de interés",Tabla3[[#This Row],[Estado]]="Vigente"),Tabla3[[#This Row],[Valor Nominal]],0)</f>
        <v>2493.1506849315069</v>
      </c>
      <c r="AI281" s="618">
        <f>+IF(Tabla3[[#This Row],[Amortización k | cupón de intereses]]="Amortización de K",SUMIFS($AH$7:$AH$557,Tabla3[Código Emisión],Tabla3[[#This Row],[Código Emisión]],Tabla3[Fecha de operación],Tabla3[[#This Row],[Fecha de operación]]),0)-Tabla3[[#This Row],[Accrued]]*Tabla3[[#This Row],[Valor Nominal]]</f>
        <v>0</v>
      </c>
      <c r="AJ281" s="605">
        <f>+IF(Tabla3[[#This Row],[Amortización k | cupón de intereses]]="Amortización de K",IF(Tabla3[[#This Row],[Precio Clean]]&gt;1,Tabla3[[#This Row],[Valor Nominal]]*(Tabla3[[#This Row],[Precio Clean]]-1),0),0)</f>
        <v>0</v>
      </c>
      <c r="AK281" s="605">
        <f>+IF(Tabla3[[#This Row],[Amortización k | cupón de intereses]]="Amortización de K",IF(Tabla3[[#This Row],[Precio Clean]]&lt;1,Tabla3[[#This Row],[Valor Nominal]]*(Tabla3[[#This Row],[Precio Clean]]-1),0),0)</f>
        <v>0</v>
      </c>
    </row>
    <row r="282" spans="1:37">
      <c r="A282" s="502"/>
      <c r="B282" s="437" t="str">
        <f t="shared" si="171"/>
        <v>Bancop S.A.</v>
      </c>
      <c r="C282" s="437" t="str">
        <f t="shared" si="171"/>
        <v>BCO_6,50%_02102028_AA4088-91_250K</v>
      </c>
      <c r="D282" s="437" t="s">
        <v>453</v>
      </c>
      <c r="E282" s="437" t="str">
        <f t="shared" si="166"/>
        <v>AA-py</v>
      </c>
      <c r="F282" s="437" t="s">
        <v>297</v>
      </c>
      <c r="G282" s="437" t="s">
        <v>298</v>
      </c>
      <c r="H282" s="437">
        <v>2</v>
      </c>
      <c r="I282" s="492">
        <v>1469.1780821917807</v>
      </c>
      <c r="J282" s="451"/>
      <c r="K282" s="450"/>
      <c r="L282" s="451"/>
      <c r="M282" s="493"/>
      <c r="N282" s="493"/>
      <c r="O282" s="494">
        <f t="shared" si="170"/>
        <v>6.5565869200000002E-2</v>
      </c>
      <c r="P282" s="494">
        <f t="shared" si="170"/>
        <v>6.3669465351994248E-2</v>
      </c>
      <c r="Q282" s="450">
        <f t="shared" si="170"/>
        <v>45937</v>
      </c>
      <c r="R282" s="450">
        <v>46146</v>
      </c>
      <c r="S282" s="509" t="s">
        <v>146</v>
      </c>
      <c r="T282" s="510">
        <f>Tabla3[[#This Row],[Cantidad]]*Tabla3[[#This Row],[Cortes]]</f>
        <v>2938.3561643835615</v>
      </c>
      <c r="U282" s="511">
        <f t="shared" si="168"/>
        <v>2921.0252588405097</v>
      </c>
      <c r="V282" s="511">
        <f t="shared" si="169"/>
        <v>2920.5170767419754</v>
      </c>
      <c r="W282" s="497">
        <f>IF(Tabla3[[#This Row],[Fecha de operación]]=$C$1,0,U282-V282)</f>
        <v>0.50818209853423468</v>
      </c>
      <c r="X282" s="512" t="str">
        <f t="shared" si="154"/>
        <v>Vigente</v>
      </c>
      <c r="Y282" s="498" t="s">
        <v>450</v>
      </c>
      <c r="Z282" s="469">
        <f t="shared" si="155"/>
        <v>34</v>
      </c>
      <c r="AA282" s="499">
        <f t="shared" si="172"/>
        <v>2.292947555581156</v>
      </c>
      <c r="AB282" s="499">
        <f t="shared" si="172"/>
        <v>2.255968914883034</v>
      </c>
      <c r="AC282" s="469" t="s">
        <v>451</v>
      </c>
      <c r="AD282" s="469" t="s">
        <v>454</v>
      </c>
      <c r="AG282" s="605">
        <f>+IF(Tabla3[[#This Row],[Amortización k | cupón de intereses]]="Amortización de K",Tabla3[[#This Row],[Valor Nominal]],0)</f>
        <v>0</v>
      </c>
      <c r="AH282" s="605">
        <f>+IF(AND(Tabla3[[#This Row],[Amortización k | cupón de intereses]]="Cupón de interés",Tabla3[[#This Row],[Estado]]="Vigente"),Tabla3[[#This Row],[Valor Nominal]],0)</f>
        <v>2938.3561643835615</v>
      </c>
      <c r="AI282" s="618">
        <f>+IF(Tabla3[[#This Row],[Amortización k | cupón de intereses]]="Amortización de K",SUMIFS($AH$7:$AH$557,Tabla3[Código Emisión],Tabla3[[#This Row],[Código Emisión]],Tabla3[Fecha de operación],Tabla3[[#This Row],[Fecha de operación]]),0)-Tabla3[[#This Row],[Accrued]]*Tabla3[[#This Row],[Valor Nominal]]</f>
        <v>0</v>
      </c>
      <c r="AJ282" s="605">
        <f>+IF(Tabla3[[#This Row],[Amortización k | cupón de intereses]]="Amortización de K",IF(Tabla3[[#This Row],[Precio Clean]]&gt;1,Tabla3[[#This Row],[Valor Nominal]]*(Tabla3[[#This Row],[Precio Clean]]-1),0),0)</f>
        <v>0</v>
      </c>
      <c r="AK282" s="605">
        <f>+IF(Tabla3[[#This Row],[Amortización k | cupón de intereses]]="Amortización de K",IF(Tabla3[[#This Row],[Precio Clean]]&lt;1,Tabla3[[#This Row],[Valor Nominal]]*(Tabla3[[#This Row],[Precio Clean]]-1),0),0)</f>
        <v>0</v>
      </c>
    </row>
    <row r="283" spans="1:37">
      <c r="A283" s="502"/>
      <c r="B283" s="437" t="str">
        <f t="shared" si="171"/>
        <v>Bancop S.A.</v>
      </c>
      <c r="C283" s="437" t="str">
        <f t="shared" si="171"/>
        <v>BCO_6,50%_02102028_AA4088-91_250K</v>
      </c>
      <c r="D283" s="437" t="s">
        <v>453</v>
      </c>
      <c r="E283" s="437" t="str">
        <f t="shared" si="166"/>
        <v>AA-py</v>
      </c>
      <c r="F283" s="437" t="s">
        <v>297</v>
      </c>
      <c r="G283" s="437" t="s">
        <v>298</v>
      </c>
      <c r="H283" s="437">
        <v>2</v>
      </c>
      <c r="I283" s="492">
        <v>1335.6164383561643</v>
      </c>
      <c r="J283" s="451"/>
      <c r="K283" s="450"/>
      <c r="L283" s="451"/>
      <c r="M283" s="493"/>
      <c r="N283" s="493"/>
      <c r="O283" s="494">
        <f t="shared" si="170"/>
        <v>6.5565869200000002E-2</v>
      </c>
      <c r="P283" s="494">
        <f t="shared" si="170"/>
        <v>6.3669465351994248E-2</v>
      </c>
      <c r="Q283" s="450">
        <f t="shared" si="170"/>
        <v>45937</v>
      </c>
      <c r="R283" s="450">
        <v>46113</v>
      </c>
      <c r="S283" s="509" t="s">
        <v>146</v>
      </c>
      <c r="T283" s="510">
        <f>Tabla3[[#This Row],[Cantidad]]*Tabla3[[#This Row],[Cortes]]</f>
        <v>2671.2328767123286</v>
      </c>
      <c r="U283" s="511">
        <f t="shared" si="168"/>
        <v>2670.7681519637658</v>
      </c>
      <c r="V283" s="511">
        <f t="shared" si="169"/>
        <v>2670.3035080651712</v>
      </c>
      <c r="W283" s="497">
        <f>IF(Tabla3[[#This Row],[Fecha de operación]]=$C$1,0,U283-V283)</f>
        <v>0.46464389859465882</v>
      </c>
      <c r="X283" s="512" t="str">
        <f t="shared" si="154"/>
        <v>Vigente</v>
      </c>
      <c r="Y283" s="498" t="s">
        <v>450</v>
      </c>
      <c r="Z283" s="469">
        <f t="shared" si="155"/>
        <v>1</v>
      </c>
      <c r="AA283" s="499">
        <f t="shared" si="172"/>
        <v>2.292947555581156</v>
      </c>
      <c r="AB283" s="499">
        <f t="shared" si="172"/>
        <v>2.255968914883034</v>
      </c>
      <c r="AC283" s="469" t="s">
        <v>451</v>
      </c>
      <c r="AD283" s="469" t="s">
        <v>454</v>
      </c>
      <c r="AG283" s="605">
        <f>+IF(Tabla3[[#This Row],[Amortización k | cupón de intereses]]="Amortización de K",Tabla3[[#This Row],[Valor Nominal]],0)</f>
        <v>0</v>
      </c>
      <c r="AH283" s="605">
        <f>+IF(AND(Tabla3[[#This Row],[Amortización k | cupón de intereses]]="Cupón de interés",Tabla3[[#This Row],[Estado]]="Vigente"),Tabla3[[#This Row],[Valor Nominal]],0)</f>
        <v>2671.2328767123286</v>
      </c>
      <c r="AI283" s="618">
        <f>+IF(Tabla3[[#This Row],[Amortización k | cupón de intereses]]="Amortización de K",SUMIFS($AH$7:$AH$557,Tabla3[Código Emisión],Tabla3[[#This Row],[Código Emisión]],Tabla3[Fecha de operación],Tabla3[[#This Row],[Fecha de operación]]),0)-Tabla3[[#This Row],[Accrued]]*Tabla3[[#This Row],[Valor Nominal]]</f>
        <v>0</v>
      </c>
      <c r="AJ283" s="605">
        <f>+IF(Tabla3[[#This Row],[Amortización k | cupón de intereses]]="Amortización de K",IF(Tabla3[[#This Row],[Precio Clean]]&gt;1,Tabla3[[#This Row],[Valor Nominal]]*(Tabla3[[#This Row],[Precio Clean]]-1),0),0)</f>
        <v>0</v>
      </c>
      <c r="AK283" s="605">
        <f>+IF(Tabla3[[#This Row],[Amortización k | cupón de intereses]]="Amortización de K",IF(Tabla3[[#This Row],[Precio Clean]]&lt;1,Tabla3[[#This Row],[Valor Nominal]]*(Tabla3[[#This Row],[Precio Clean]]-1),0),0)</f>
        <v>0</v>
      </c>
    </row>
    <row r="284" spans="1:37">
      <c r="A284" s="502"/>
      <c r="B284" s="437" t="str">
        <f t="shared" si="171"/>
        <v>Bancop S.A.</v>
      </c>
      <c r="C284" s="437" t="str">
        <f t="shared" si="171"/>
        <v>BCO_6,50%_02102028_AA4088-91_250K</v>
      </c>
      <c r="D284" s="437" t="s">
        <v>453</v>
      </c>
      <c r="E284" s="437" t="str">
        <f t="shared" si="166"/>
        <v>AA-py</v>
      </c>
      <c r="F284" s="437" t="s">
        <v>297</v>
      </c>
      <c r="G284" s="437" t="s">
        <v>298</v>
      </c>
      <c r="H284" s="437">
        <v>2</v>
      </c>
      <c r="I284" s="492">
        <v>1246.5753424657535</v>
      </c>
      <c r="J284" s="451"/>
      <c r="K284" s="450"/>
      <c r="L284" s="451"/>
      <c r="M284" s="493"/>
      <c r="N284" s="493"/>
      <c r="O284" s="494">
        <f t="shared" si="170"/>
        <v>6.5565869200000002E-2</v>
      </c>
      <c r="P284" s="494">
        <f t="shared" si="170"/>
        <v>6.3669465351994248E-2</v>
      </c>
      <c r="Q284" s="450">
        <f t="shared" si="170"/>
        <v>45937</v>
      </c>
      <c r="R284" s="450">
        <v>46083</v>
      </c>
      <c r="S284" s="509" t="s">
        <v>146</v>
      </c>
      <c r="T284" s="510">
        <f>Tabla3[[#This Row],[Cantidad]]*Tabla3[[#This Row],[Cortes]]</f>
        <v>2493.1506849315069</v>
      </c>
      <c r="U284" s="511" t="b">
        <f t="shared" si="168"/>
        <v>0</v>
      </c>
      <c r="V284" s="511" t="b">
        <f t="shared" si="169"/>
        <v>0</v>
      </c>
      <c r="W284" s="497">
        <f>IF(Tabla3[[#This Row],[Fecha de operación]]=$C$1,0,U284-V284)</f>
        <v>0</v>
      </c>
      <c r="X284" s="512" t="str">
        <f t="shared" si="154"/>
        <v>Vencido</v>
      </c>
      <c r="Y284" s="498" t="s">
        <v>450</v>
      </c>
      <c r="Z284" s="469">
        <f t="shared" si="155"/>
        <v>-29</v>
      </c>
      <c r="AA284" s="499">
        <f t="shared" si="172"/>
        <v>2.292947555581156</v>
      </c>
      <c r="AB284" s="499">
        <f t="shared" si="172"/>
        <v>2.255968914883034</v>
      </c>
      <c r="AC284" s="469" t="s">
        <v>451</v>
      </c>
      <c r="AD284" s="469" t="s">
        <v>454</v>
      </c>
      <c r="AG284" s="605">
        <f>+IF(Tabla3[[#This Row],[Amortización k | cupón de intereses]]="Amortización de K",Tabla3[[#This Row],[Valor Nominal]],0)</f>
        <v>0</v>
      </c>
      <c r="AH284" s="605">
        <f>+IF(AND(Tabla3[[#This Row],[Amortización k | cupón de intereses]]="Cupón de interés",Tabla3[[#This Row],[Estado]]="Vigente"),Tabla3[[#This Row],[Valor Nominal]],0)</f>
        <v>0</v>
      </c>
      <c r="AI284" s="618">
        <f>+IF(Tabla3[[#This Row],[Amortización k | cupón de intereses]]="Amortización de K",SUMIFS($AH$7:$AH$557,Tabla3[Código Emisión],Tabla3[[#This Row],[Código Emisión]],Tabla3[Fecha de operación],Tabla3[[#This Row],[Fecha de operación]]),0)-Tabla3[[#This Row],[Accrued]]*Tabla3[[#This Row],[Valor Nominal]]</f>
        <v>0</v>
      </c>
      <c r="AJ284" s="605">
        <f>+IF(Tabla3[[#This Row],[Amortización k | cupón de intereses]]="Amortización de K",IF(Tabla3[[#This Row],[Precio Clean]]&gt;1,Tabla3[[#This Row],[Valor Nominal]]*(Tabla3[[#This Row],[Precio Clean]]-1),0),0)</f>
        <v>0</v>
      </c>
      <c r="AK284" s="605">
        <f>+IF(Tabla3[[#This Row],[Amortización k | cupón de intereses]]="Amortización de K",IF(Tabla3[[#This Row],[Precio Clean]]&lt;1,Tabla3[[#This Row],[Valor Nominal]]*(Tabla3[[#This Row],[Precio Clean]]-1),0),0)</f>
        <v>0</v>
      </c>
    </row>
    <row r="285" spans="1:37">
      <c r="A285" s="502"/>
      <c r="B285" s="437" t="str">
        <f t="shared" si="171"/>
        <v>Bancop S.A.</v>
      </c>
      <c r="C285" s="437" t="str">
        <f t="shared" si="171"/>
        <v>BCO_6,50%_02102028_AA4088-91_250K</v>
      </c>
      <c r="D285" s="437" t="s">
        <v>453</v>
      </c>
      <c r="E285" s="437" t="str">
        <f t="shared" si="166"/>
        <v>AA-py</v>
      </c>
      <c r="F285" s="437" t="s">
        <v>297</v>
      </c>
      <c r="G285" s="437" t="s">
        <v>298</v>
      </c>
      <c r="H285" s="437">
        <v>2</v>
      </c>
      <c r="I285" s="492">
        <v>1380.1369863013699</v>
      </c>
      <c r="J285" s="451"/>
      <c r="K285" s="450"/>
      <c r="L285" s="451"/>
      <c r="M285" s="493"/>
      <c r="N285" s="493"/>
      <c r="O285" s="494">
        <f t="shared" ref="O285:Q288" si="173">+O284</f>
        <v>6.5565869200000002E-2</v>
      </c>
      <c r="P285" s="494">
        <f t="shared" si="173"/>
        <v>6.3669465351994248E-2</v>
      </c>
      <c r="Q285" s="450">
        <f t="shared" si="173"/>
        <v>45937</v>
      </c>
      <c r="R285" s="450">
        <v>46055</v>
      </c>
      <c r="S285" s="509" t="s">
        <v>146</v>
      </c>
      <c r="T285" s="510">
        <f>Tabla3[[#This Row],[Cantidad]]*Tabla3[[#This Row],[Cortes]]</f>
        <v>2760.2739726027398</v>
      </c>
      <c r="U285" s="511" t="b">
        <f t="shared" si="168"/>
        <v>0</v>
      </c>
      <c r="V285" s="511" t="b">
        <f t="shared" si="169"/>
        <v>0</v>
      </c>
      <c r="W285" s="497">
        <f>IF(Tabla3[[#This Row],[Fecha de operación]]=$C$1,0,U285-V285)</f>
        <v>0</v>
      </c>
      <c r="X285" s="512" t="str">
        <f t="shared" si="154"/>
        <v>Vencido</v>
      </c>
      <c r="Y285" s="498" t="s">
        <v>450</v>
      </c>
      <c r="Z285" s="469">
        <f t="shared" si="155"/>
        <v>-57</v>
      </c>
      <c r="AA285" s="499">
        <f t="shared" si="172"/>
        <v>2.292947555581156</v>
      </c>
      <c r="AB285" s="499">
        <f t="shared" si="172"/>
        <v>2.255968914883034</v>
      </c>
      <c r="AC285" s="469" t="s">
        <v>451</v>
      </c>
      <c r="AD285" s="469" t="s">
        <v>454</v>
      </c>
      <c r="AG285" s="605">
        <f>+IF(Tabla3[[#This Row],[Amortización k | cupón de intereses]]="Amortización de K",Tabla3[[#This Row],[Valor Nominal]],0)</f>
        <v>0</v>
      </c>
      <c r="AH285" s="605">
        <f>+IF(AND(Tabla3[[#This Row],[Amortización k | cupón de intereses]]="Cupón de interés",Tabla3[[#This Row],[Estado]]="Vigente"),Tabla3[[#This Row],[Valor Nominal]],0)</f>
        <v>0</v>
      </c>
      <c r="AI285" s="618">
        <f>+IF(Tabla3[[#This Row],[Amortización k | cupón de intereses]]="Amortización de K",SUMIFS($AH$7:$AH$557,Tabla3[Código Emisión],Tabla3[[#This Row],[Código Emisión]],Tabla3[Fecha de operación],Tabla3[[#This Row],[Fecha de operación]]),0)-Tabla3[[#This Row],[Accrued]]*Tabla3[[#This Row],[Valor Nominal]]</f>
        <v>0</v>
      </c>
      <c r="AJ285" s="605">
        <f>+IF(Tabla3[[#This Row],[Amortización k | cupón de intereses]]="Amortización de K",IF(Tabla3[[#This Row],[Precio Clean]]&gt;1,Tabla3[[#This Row],[Valor Nominal]]*(Tabla3[[#This Row],[Precio Clean]]-1),0),0)</f>
        <v>0</v>
      </c>
      <c r="AK285" s="605">
        <f>+IF(Tabla3[[#This Row],[Amortización k | cupón de intereses]]="Amortización de K",IF(Tabla3[[#This Row],[Precio Clean]]&lt;1,Tabla3[[#This Row],[Valor Nominal]]*(Tabla3[[#This Row],[Precio Clean]]-1),0),0)</f>
        <v>0</v>
      </c>
    </row>
    <row r="286" spans="1:37">
      <c r="A286" s="502"/>
      <c r="B286" s="437" t="str">
        <f t="shared" ref="B286:C288" si="174">+B285</f>
        <v>Bancop S.A.</v>
      </c>
      <c r="C286" s="437" t="str">
        <f t="shared" si="174"/>
        <v>BCO_6,50%_02102028_AA4088-91_250K</v>
      </c>
      <c r="D286" s="437" t="s">
        <v>453</v>
      </c>
      <c r="E286" s="437" t="str">
        <f t="shared" si="166"/>
        <v>AA-py</v>
      </c>
      <c r="F286" s="437" t="s">
        <v>297</v>
      </c>
      <c r="G286" s="437" t="s">
        <v>298</v>
      </c>
      <c r="H286" s="437">
        <v>2</v>
      </c>
      <c r="I286" s="492">
        <v>1380.1369863013699</v>
      </c>
      <c r="J286" s="451"/>
      <c r="K286" s="450"/>
      <c r="L286" s="451"/>
      <c r="M286" s="493"/>
      <c r="N286" s="493"/>
      <c r="O286" s="494">
        <f t="shared" si="173"/>
        <v>6.5565869200000002E-2</v>
      </c>
      <c r="P286" s="494">
        <f t="shared" si="173"/>
        <v>6.3669465351994248E-2</v>
      </c>
      <c r="Q286" s="450">
        <f t="shared" si="173"/>
        <v>45937</v>
      </c>
      <c r="R286" s="450">
        <v>46024</v>
      </c>
      <c r="S286" s="509" t="s">
        <v>146</v>
      </c>
      <c r="T286" s="510">
        <f>Tabla3[[#This Row],[Cantidad]]*Tabla3[[#This Row],[Cortes]]</f>
        <v>2760.2739726027398</v>
      </c>
      <c r="U286" s="511" t="b">
        <f t="shared" si="168"/>
        <v>0</v>
      </c>
      <c r="V286" s="511" t="b">
        <f t="shared" si="169"/>
        <v>0</v>
      </c>
      <c r="W286" s="497">
        <f>IF(Tabla3[[#This Row],[Fecha de operación]]=$C$1,0,U286-V286)</f>
        <v>0</v>
      </c>
      <c r="X286" s="512" t="str">
        <f t="shared" si="154"/>
        <v>Vencido</v>
      </c>
      <c r="Y286" s="498" t="s">
        <v>450</v>
      </c>
      <c r="Z286" s="469">
        <f t="shared" si="155"/>
        <v>-88</v>
      </c>
      <c r="AA286" s="499">
        <f t="shared" ref="AA286:AB288" si="175">+AA285</f>
        <v>2.292947555581156</v>
      </c>
      <c r="AB286" s="499">
        <f t="shared" si="175"/>
        <v>2.255968914883034</v>
      </c>
      <c r="AC286" s="469" t="s">
        <v>451</v>
      </c>
      <c r="AD286" s="469" t="s">
        <v>454</v>
      </c>
      <c r="AG286" s="605">
        <f>+IF(Tabla3[[#This Row],[Amortización k | cupón de intereses]]="Amortización de K",Tabla3[[#This Row],[Valor Nominal]],0)</f>
        <v>0</v>
      </c>
      <c r="AH286" s="605">
        <f>+IF(AND(Tabla3[[#This Row],[Amortización k | cupón de intereses]]="Cupón de interés",Tabla3[[#This Row],[Estado]]="Vigente"),Tabla3[[#This Row],[Valor Nominal]],0)</f>
        <v>0</v>
      </c>
      <c r="AI286" s="618">
        <f>+IF(Tabla3[[#This Row],[Amortización k | cupón de intereses]]="Amortización de K",SUMIFS($AH$7:$AH$557,Tabla3[Código Emisión],Tabla3[[#This Row],[Código Emisión]],Tabla3[Fecha de operación],Tabla3[[#This Row],[Fecha de operación]]),0)-Tabla3[[#This Row],[Accrued]]*Tabla3[[#This Row],[Valor Nominal]]</f>
        <v>0</v>
      </c>
      <c r="AJ286" s="605">
        <f>+IF(Tabla3[[#This Row],[Amortización k | cupón de intereses]]="Amortización de K",IF(Tabla3[[#This Row],[Precio Clean]]&gt;1,Tabla3[[#This Row],[Valor Nominal]]*(Tabla3[[#This Row],[Precio Clean]]-1),0),0)</f>
        <v>0</v>
      </c>
      <c r="AK286" s="605">
        <f>+IF(Tabla3[[#This Row],[Amortización k | cupón de intereses]]="Amortización de K",IF(Tabla3[[#This Row],[Precio Clean]]&lt;1,Tabla3[[#This Row],[Valor Nominal]]*(Tabla3[[#This Row],[Precio Clean]]-1),0),0)</f>
        <v>0</v>
      </c>
    </row>
    <row r="287" spans="1:37">
      <c r="A287" s="502"/>
      <c r="B287" s="437" t="str">
        <f t="shared" si="174"/>
        <v>Bancop S.A.</v>
      </c>
      <c r="C287" s="437" t="str">
        <f t="shared" si="174"/>
        <v>BCO_6,50%_02102028_AA4088-91_250K</v>
      </c>
      <c r="D287" s="437" t="s">
        <v>453</v>
      </c>
      <c r="E287" s="437" t="str">
        <f t="shared" si="166"/>
        <v>AA-py</v>
      </c>
      <c r="F287" s="437" t="s">
        <v>297</v>
      </c>
      <c r="G287" s="437" t="s">
        <v>298</v>
      </c>
      <c r="H287" s="437">
        <v>2</v>
      </c>
      <c r="I287" s="492">
        <v>1291.0958904109589</v>
      </c>
      <c r="J287" s="451"/>
      <c r="K287" s="450"/>
      <c r="L287" s="451"/>
      <c r="M287" s="493"/>
      <c r="N287" s="493"/>
      <c r="O287" s="494">
        <f t="shared" si="173"/>
        <v>6.5565869200000002E-2</v>
      </c>
      <c r="P287" s="494">
        <f t="shared" si="173"/>
        <v>6.3669465351994248E-2</v>
      </c>
      <c r="Q287" s="450">
        <f t="shared" si="173"/>
        <v>45937</v>
      </c>
      <c r="R287" s="450">
        <v>45993</v>
      </c>
      <c r="S287" s="509" t="s">
        <v>146</v>
      </c>
      <c r="T287" s="510">
        <f>Tabla3[[#This Row],[Cantidad]]*Tabla3[[#This Row],[Cortes]]</f>
        <v>2582.1917808219177</v>
      </c>
      <c r="U287" s="511" t="b">
        <f t="shared" si="168"/>
        <v>0</v>
      </c>
      <c r="V287" s="511" t="b">
        <f t="shared" si="169"/>
        <v>0</v>
      </c>
      <c r="W287" s="497">
        <f>IF(Tabla3[[#This Row],[Fecha de operación]]=$C$1,0,U287-V287)</f>
        <v>0</v>
      </c>
      <c r="X287" s="512" t="str">
        <f t="shared" si="154"/>
        <v>Vencido</v>
      </c>
      <c r="Y287" s="498" t="s">
        <v>450</v>
      </c>
      <c r="Z287" s="469">
        <f t="shared" si="155"/>
        <v>-119</v>
      </c>
      <c r="AA287" s="499">
        <f t="shared" si="175"/>
        <v>2.292947555581156</v>
      </c>
      <c r="AB287" s="499">
        <f t="shared" si="175"/>
        <v>2.255968914883034</v>
      </c>
      <c r="AC287" s="469" t="s">
        <v>451</v>
      </c>
      <c r="AD287" s="469" t="s">
        <v>454</v>
      </c>
      <c r="AG287" s="605">
        <f>+IF(Tabla3[[#This Row],[Amortización k | cupón de intereses]]="Amortización de K",Tabla3[[#This Row],[Valor Nominal]],0)</f>
        <v>0</v>
      </c>
      <c r="AH287" s="605">
        <f>+IF(AND(Tabla3[[#This Row],[Amortización k | cupón de intereses]]="Cupón de interés",Tabla3[[#This Row],[Estado]]="Vigente"),Tabla3[[#This Row],[Valor Nominal]],0)</f>
        <v>0</v>
      </c>
      <c r="AI287" s="618">
        <f>+IF(Tabla3[[#This Row],[Amortización k | cupón de intereses]]="Amortización de K",SUMIFS($AH$7:$AH$557,Tabla3[Código Emisión],Tabla3[[#This Row],[Código Emisión]],Tabla3[Fecha de operación],Tabla3[[#This Row],[Fecha de operación]]),0)-Tabla3[[#This Row],[Accrued]]*Tabla3[[#This Row],[Valor Nominal]]</f>
        <v>0</v>
      </c>
      <c r="AJ287" s="605">
        <f>+IF(Tabla3[[#This Row],[Amortización k | cupón de intereses]]="Amortización de K",IF(Tabla3[[#This Row],[Precio Clean]]&gt;1,Tabla3[[#This Row],[Valor Nominal]]*(Tabla3[[#This Row],[Precio Clean]]-1),0),0)</f>
        <v>0</v>
      </c>
      <c r="AK287" s="605">
        <f>+IF(Tabla3[[#This Row],[Amortización k | cupón de intereses]]="Amortización de K",IF(Tabla3[[#This Row],[Precio Clean]]&lt;1,Tabla3[[#This Row],[Valor Nominal]]*(Tabla3[[#This Row],[Precio Clean]]-1),0),0)</f>
        <v>0</v>
      </c>
    </row>
    <row r="288" spans="1:37">
      <c r="A288" s="502"/>
      <c r="B288" s="437" t="str">
        <f t="shared" si="174"/>
        <v>Bancop S.A.</v>
      </c>
      <c r="C288" s="437" t="str">
        <f t="shared" si="174"/>
        <v>BCO_6,50%_02102028_AA4088-91_250K</v>
      </c>
      <c r="D288" s="437" t="s">
        <v>453</v>
      </c>
      <c r="E288" s="437" t="str">
        <f t="shared" si="166"/>
        <v>AA-py</v>
      </c>
      <c r="F288" s="437" t="s">
        <v>297</v>
      </c>
      <c r="G288" s="437" t="s">
        <v>298</v>
      </c>
      <c r="H288" s="437">
        <v>2</v>
      </c>
      <c r="I288" s="492">
        <v>1380.1369863013699</v>
      </c>
      <c r="J288" s="451"/>
      <c r="K288" s="450"/>
      <c r="L288" s="451"/>
      <c r="M288" s="493"/>
      <c r="N288" s="493"/>
      <c r="O288" s="494">
        <f t="shared" si="173"/>
        <v>6.5565869200000002E-2</v>
      </c>
      <c r="P288" s="494">
        <f t="shared" si="173"/>
        <v>6.3669465351994248E-2</v>
      </c>
      <c r="Q288" s="450">
        <f t="shared" si="173"/>
        <v>45937</v>
      </c>
      <c r="R288" s="450">
        <v>45964</v>
      </c>
      <c r="S288" s="509" t="s">
        <v>146</v>
      </c>
      <c r="T288" s="510">
        <f>Tabla3[[#This Row],[Cantidad]]*Tabla3[[#This Row],[Cortes]]</f>
        <v>2760.2739726027398</v>
      </c>
      <c r="U288" s="511" t="b">
        <f t="shared" si="168"/>
        <v>0</v>
      </c>
      <c r="V288" s="511" t="b">
        <f t="shared" si="169"/>
        <v>0</v>
      </c>
      <c r="W288" s="497">
        <f>IF(Tabla3[[#This Row],[Fecha de operación]]=$C$1,0,U288-V288)</f>
        <v>0</v>
      </c>
      <c r="X288" s="512" t="str">
        <f t="shared" si="154"/>
        <v>Vencido</v>
      </c>
      <c r="Y288" s="498" t="s">
        <v>450</v>
      </c>
      <c r="Z288" s="469">
        <f t="shared" si="155"/>
        <v>-148</v>
      </c>
      <c r="AA288" s="499">
        <f t="shared" si="175"/>
        <v>2.292947555581156</v>
      </c>
      <c r="AB288" s="499">
        <f t="shared" si="175"/>
        <v>2.255968914883034</v>
      </c>
      <c r="AC288" s="469" t="s">
        <v>451</v>
      </c>
      <c r="AD288" s="469" t="s">
        <v>454</v>
      </c>
      <c r="AG288" s="605">
        <f>+IF(Tabla3[[#This Row],[Amortización k | cupón de intereses]]="Amortización de K",Tabla3[[#This Row],[Valor Nominal]],0)</f>
        <v>0</v>
      </c>
      <c r="AH288" s="605">
        <f>+IF(AND(Tabla3[[#This Row],[Amortización k | cupón de intereses]]="Cupón de interés",Tabla3[[#This Row],[Estado]]="Vigente"),Tabla3[[#This Row],[Valor Nominal]],0)</f>
        <v>0</v>
      </c>
      <c r="AI288" s="618">
        <f>+IF(Tabla3[[#This Row],[Amortización k | cupón de intereses]]="Amortización de K",SUMIFS($AH$7:$AH$557,Tabla3[Código Emisión],Tabla3[[#This Row],[Código Emisión]],Tabla3[Fecha de operación],Tabla3[[#This Row],[Fecha de operación]]),0)-Tabla3[[#This Row],[Accrued]]*Tabla3[[#This Row],[Valor Nominal]]</f>
        <v>0</v>
      </c>
      <c r="AJ288" s="605">
        <f>+IF(Tabla3[[#This Row],[Amortización k | cupón de intereses]]="Amortización de K",IF(Tabla3[[#This Row],[Precio Clean]]&gt;1,Tabla3[[#This Row],[Valor Nominal]]*(Tabla3[[#This Row],[Precio Clean]]-1),0),0)</f>
        <v>0</v>
      </c>
      <c r="AK288" s="605">
        <f>+IF(Tabla3[[#This Row],[Amortización k | cupón de intereses]]="Amortización de K",IF(Tabla3[[#This Row],[Precio Clean]]&lt;1,Tabla3[[#This Row],[Valor Nominal]]*(Tabla3[[#This Row],[Precio Clean]]-1),0),0)</f>
        <v>0</v>
      </c>
    </row>
    <row r="289" spans="1:37" ht="15">
      <c r="A289" s="500">
        <f>+A252+1</f>
        <v>25</v>
      </c>
      <c r="B289" s="475" t="s">
        <v>485</v>
      </c>
      <c r="C289" s="475" t="s">
        <v>486</v>
      </c>
      <c r="D289" s="475" t="s">
        <v>453</v>
      </c>
      <c r="E289" s="475" t="s">
        <v>487</v>
      </c>
      <c r="F289" s="475" t="s">
        <v>297</v>
      </c>
      <c r="G289" s="475" t="s">
        <v>298</v>
      </c>
      <c r="H289" s="475">
        <v>1</v>
      </c>
      <c r="I289" s="477">
        <v>200000</v>
      </c>
      <c r="J289" s="478">
        <v>6.4500000000000002E-2</v>
      </c>
      <c r="K289" s="479">
        <f>_xlfn.MAXIFS(R:R,C:C,C289,AD:AD,"Cupón de interés",X:X,"Vencido")</f>
        <v>46100</v>
      </c>
      <c r="L289" s="478">
        <f>+Tabla3[[#This Row],[Tasa de Interés]]*($U$5-Tabla3[[#This Row],[Last coupon]])/365</f>
        <v>2.1205479452054794E-3</v>
      </c>
      <c r="M289" s="480">
        <f>+Tabla3[[#This Row],[Precio Dirty]]-Tabla3[[#This Row],[Accrued]]</f>
        <v>1.0014141138732118</v>
      </c>
      <c r="N289" s="481">
        <f>SUMIFS(U:U,C:C,C289,Q:Q,Q289)/SUMIFS(T:T,C:C,C289,Q:Q,Q289,AD:AD,"Amortización de K")</f>
        <v>1.0035346618184173</v>
      </c>
      <c r="O289" s="478">
        <v>6.4459112286567685E-2</v>
      </c>
      <c r="P289" s="478">
        <v>6.3452555584031511E-2</v>
      </c>
      <c r="Q289" s="484">
        <v>45944</v>
      </c>
      <c r="R289" s="450">
        <v>46650</v>
      </c>
      <c r="S289" s="504" t="s">
        <v>146</v>
      </c>
      <c r="T289" s="505">
        <f>Tabla3[[#This Row],[Cantidad]]*Tabla3[[#This Row],[Cortes]]</f>
        <v>200000</v>
      </c>
      <c r="U289" s="506">
        <f t="shared" si="168"/>
        <v>182407.46860077881</v>
      </c>
      <c r="V289" s="506">
        <f t="shared" si="169"/>
        <v>182376.25371076178</v>
      </c>
      <c r="W289" s="487">
        <f>IF(Tabla3[[#This Row],[Fecha de operación]]=$C$1,0,U289-V289)</f>
        <v>31.214890017028665</v>
      </c>
      <c r="X289" s="507" t="str">
        <f t="shared" si="154"/>
        <v>Vigente</v>
      </c>
      <c r="Y289" s="488" t="s">
        <v>450</v>
      </c>
      <c r="Z289" s="488">
        <f t="shared" si="155"/>
        <v>538</v>
      </c>
      <c r="AA289" s="477">
        <f>IF(Y289="Mensual",DURATION($C$1,$C$1+Z289*12,J289/12,O289/12,1)/12,DURATION($C$1,R289,J289,O289,IF(Y289="Cupón cero",1,IF(Y289="Al vencimiento",1,IF(Y289="Anual",1,IF(Y289="Semestral",2,IF(Y289="Trimestral",4,"")))))))</f>
        <v>1.4111815588475096</v>
      </c>
      <c r="AB289" s="477">
        <f>IF(Y289="Mensual",MDURATION($C$1,$C$1+Z289*12,J289/12,O289/12,1)/12,MDURATION($C$1,R289,J289,O289,IF(Y289="Cupón cero",1,IF(Y289="Al vencimiento",1,IF(Y289="Anual",1,IF(Y289="Semestral",2,IF(Y289="Trimestral",4,"")))))))</f>
        <v>1.388801333571406</v>
      </c>
      <c r="AC289" s="488" t="s">
        <v>451</v>
      </c>
      <c r="AD289" s="488" t="s">
        <v>452</v>
      </c>
      <c r="AG289" s="605">
        <f>+IF(Tabla3[[#This Row],[Amortización k | cupón de intereses]]="Amortización de K",Tabla3[[#This Row],[Valor Nominal]],0)</f>
        <v>200000</v>
      </c>
      <c r="AH289" s="605">
        <f>+IF(AND(Tabla3[[#This Row],[Amortización k | cupón de intereses]]="Cupón de interés",Tabla3[[#This Row],[Estado]]="Vigente"),Tabla3[[#This Row],[Valor Nominal]],0)</f>
        <v>0</v>
      </c>
      <c r="AI289" s="618">
        <f>+IF(Tabla3[[#This Row],[Amortización k | cupón de intereses]]="Amortización de K",SUMIFS($AH$7:$AH$557,Tabla3[Código Emisión],Tabla3[[#This Row],[Código Emisión]],Tabla3[Fecha de operación],Tabla3[[#This Row],[Fecha de operación]]),0)-Tabla3[[#This Row],[Accrued]]*Tabla3[[#This Row],[Valor Nominal]]</f>
        <v>19014.230410958906</v>
      </c>
      <c r="AJ289" s="605">
        <f>+IF(Tabla3[[#This Row],[Amortización k | cupón de intereses]]="Amortización de K",IF(Tabla3[[#This Row],[Precio Clean]]&gt;1,Tabla3[[#This Row],[Valor Nominal]]*(Tabla3[[#This Row],[Precio Clean]]-1),0),0)</f>
        <v>282.82277464235506</v>
      </c>
      <c r="AK289" s="605">
        <f>+IF(Tabla3[[#This Row],[Amortización k | cupón de intereses]]="Amortización de K",IF(Tabla3[[#This Row],[Precio Clean]]&lt;1,Tabla3[[#This Row],[Valor Nominal]]*(Tabla3[[#This Row],[Precio Clean]]-1),0),0)</f>
        <v>0</v>
      </c>
    </row>
    <row r="290" spans="1:37">
      <c r="A290" s="502"/>
      <c r="B290" s="437" t="s">
        <v>485</v>
      </c>
      <c r="C290" s="437" t="str">
        <f>+C289</f>
        <v>BNF_6,45%_200927_BB1790-1794_200K</v>
      </c>
      <c r="D290" s="437" t="s">
        <v>453</v>
      </c>
      <c r="E290" s="437" t="str">
        <f>+E289</f>
        <v>AA+py</v>
      </c>
      <c r="F290" s="437" t="s">
        <v>297</v>
      </c>
      <c r="G290" s="437" t="s">
        <v>298</v>
      </c>
      <c r="H290" s="437">
        <f>+H289</f>
        <v>1</v>
      </c>
      <c r="I290" s="445">
        <v>6538.35</v>
      </c>
      <c r="J290" s="462"/>
      <c r="K290" s="450"/>
      <c r="L290" s="462"/>
      <c r="M290" s="493"/>
      <c r="N290" s="493"/>
      <c r="O290" s="462">
        <f t="shared" ref="O290:Q293" si="176">+O289</f>
        <v>6.4459112286567685E-2</v>
      </c>
      <c r="P290" s="462">
        <f t="shared" si="176"/>
        <v>6.3452555584031511E-2</v>
      </c>
      <c r="Q290" s="450">
        <f t="shared" si="176"/>
        <v>45944</v>
      </c>
      <c r="R290" s="450">
        <v>46650</v>
      </c>
      <c r="S290" s="509" t="s">
        <v>146</v>
      </c>
      <c r="T290" s="510">
        <f>Tabla3[[#This Row],[Cantidad]]*Tabla3[[#This Row],[Cortes]]</f>
        <v>6538.35</v>
      </c>
      <c r="U290" s="511">
        <f t="shared" si="168"/>
        <v>5963.2193616295108</v>
      </c>
      <c r="V290" s="511">
        <f t="shared" si="169"/>
        <v>5962.1988922487972</v>
      </c>
      <c r="W290" s="497">
        <f>IF(Tabla3[[#This Row],[Fecha de operación]]=$C$1,0,U290-V290)</f>
        <v>1.0204693807136209</v>
      </c>
      <c r="X290" s="512" t="str">
        <f t="shared" si="154"/>
        <v>Vigente</v>
      </c>
      <c r="Y290" s="449" t="s">
        <v>450</v>
      </c>
      <c r="Z290" s="449">
        <f t="shared" si="155"/>
        <v>538</v>
      </c>
      <c r="AA290" s="445">
        <f t="shared" ref="AA290:AB293" si="177">+AA289</f>
        <v>1.4111815588475096</v>
      </c>
      <c r="AB290" s="445">
        <f t="shared" si="177"/>
        <v>1.388801333571406</v>
      </c>
      <c r="AC290" s="449" t="s">
        <v>451</v>
      </c>
      <c r="AD290" s="449" t="s">
        <v>454</v>
      </c>
      <c r="AG290" s="605">
        <f>+IF(Tabla3[[#This Row],[Amortización k | cupón de intereses]]="Amortización de K",Tabla3[[#This Row],[Valor Nominal]],0)</f>
        <v>0</v>
      </c>
      <c r="AH290" s="605">
        <f>+IF(AND(Tabla3[[#This Row],[Amortización k | cupón de intereses]]="Cupón de interés",Tabla3[[#This Row],[Estado]]="Vigente"),Tabla3[[#This Row],[Valor Nominal]],0)</f>
        <v>6538.35</v>
      </c>
      <c r="AI290" s="618">
        <f>+IF(Tabla3[[#This Row],[Amortización k | cupón de intereses]]="Amortización de K",SUMIFS($AH$7:$AH$557,Tabla3[Código Emisión],Tabla3[[#This Row],[Código Emisión]],Tabla3[Fecha de operación],Tabla3[[#This Row],[Fecha de operación]]),0)-Tabla3[[#This Row],[Accrued]]*Tabla3[[#This Row],[Valor Nominal]]</f>
        <v>0</v>
      </c>
      <c r="AJ290" s="605">
        <f>+IF(Tabla3[[#This Row],[Amortización k | cupón de intereses]]="Amortización de K",IF(Tabla3[[#This Row],[Precio Clean]]&gt;1,Tabla3[[#This Row],[Valor Nominal]]*(Tabla3[[#This Row],[Precio Clean]]-1),0),0)</f>
        <v>0</v>
      </c>
      <c r="AK290" s="605">
        <f>+IF(Tabla3[[#This Row],[Amortización k | cupón de intereses]]="Amortización de K",IF(Tabla3[[#This Row],[Precio Clean]]&lt;1,Tabla3[[#This Row],[Valor Nominal]]*(Tabla3[[#This Row],[Precio Clean]]-1),0),0)</f>
        <v>0</v>
      </c>
    </row>
    <row r="291" spans="1:37">
      <c r="A291" s="502"/>
      <c r="B291" s="437" t="s">
        <v>485</v>
      </c>
      <c r="C291" s="437" t="str">
        <f>+C290</f>
        <v>BNF_6,45%_200927_BB1790-1794_200K</v>
      </c>
      <c r="D291" s="437" t="s">
        <v>453</v>
      </c>
      <c r="E291" s="437" t="str">
        <f>+E290</f>
        <v>AA+py</v>
      </c>
      <c r="F291" s="437" t="s">
        <v>297</v>
      </c>
      <c r="G291" s="437" t="s">
        <v>298</v>
      </c>
      <c r="H291" s="437">
        <f>+H290</f>
        <v>1</v>
      </c>
      <c r="I291" s="445">
        <v>6326.3</v>
      </c>
      <c r="J291" s="462"/>
      <c r="K291" s="450"/>
      <c r="L291" s="462"/>
      <c r="M291" s="493"/>
      <c r="N291" s="493"/>
      <c r="O291" s="462">
        <f t="shared" si="176"/>
        <v>6.4459112286567685E-2</v>
      </c>
      <c r="P291" s="462">
        <f t="shared" si="176"/>
        <v>6.3452555584031511E-2</v>
      </c>
      <c r="Q291" s="450">
        <f t="shared" si="176"/>
        <v>45944</v>
      </c>
      <c r="R291" s="450">
        <v>46465</v>
      </c>
      <c r="S291" s="509" t="s">
        <v>146</v>
      </c>
      <c r="T291" s="510">
        <f>Tabla3[[#This Row],[Cantidad]]*Tabla3[[#This Row],[Cortes]]</f>
        <v>6326.3</v>
      </c>
      <c r="U291" s="511">
        <f t="shared" si="168"/>
        <v>5955.4243252480655</v>
      </c>
      <c r="V291" s="511">
        <f t="shared" si="169"/>
        <v>5954.4051898105554</v>
      </c>
      <c r="W291" s="497">
        <f>IF(Tabla3[[#This Row],[Fecha de operación]]=$C$1,0,U291-V291)</f>
        <v>1.0191354375101582</v>
      </c>
      <c r="X291" s="512" t="str">
        <f t="shared" si="154"/>
        <v>Vigente</v>
      </c>
      <c r="Y291" s="449" t="s">
        <v>450</v>
      </c>
      <c r="Z291" s="449">
        <f t="shared" si="155"/>
        <v>353</v>
      </c>
      <c r="AA291" s="445">
        <f t="shared" si="177"/>
        <v>1.4111815588475096</v>
      </c>
      <c r="AB291" s="445">
        <f t="shared" si="177"/>
        <v>1.388801333571406</v>
      </c>
      <c r="AC291" s="449" t="s">
        <v>451</v>
      </c>
      <c r="AD291" s="449" t="s">
        <v>454</v>
      </c>
      <c r="AG291" s="605">
        <f>+IF(Tabla3[[#This Row],[Amortización k | cupón de intereses]]="Amortización de K",Tabla3[[#This Row],[Valor Nominal]],0)</f>
        <v>0</v>
      </c>
      <c r="AH291" s="605">
        <f>+IF(AND(Tabla3[[#This Row],[Amortización k | cupón de intereses]]="Cupón de interés",Tabla3[[#This Row],[Estado]]="Vigente"),Tabla3[[#This Row],[Valor Nominal]],0)</f>
        <v>6326.3</v>
      </c>
      <c r="AI291" s="618">
        <f>+IF(Tabla3[[#This Row],[Amortización k | cupón de intereses]]="Amortización de K",SUMIFS($AH$7:$AH$557,Tabla3[Código Emisión],Tabla3[[#This Row],[Código Emisión]],Tabla3[Fecha de operación],Tabla3[[#This Row],[Fecha de operación]]),0)-Tabla3[[#This Row],[Accrued]]*Tabla3[[#This Row],[Valor Nominal]]</f>
        <v>0</v>
      </c>
      <c r="AJ291" s="605">
        <f>+IF(Tabla3[[#This Row],[Amortización k | cupón de intereses]]="Amortización de K",IF(Tabla3[[#This Row],[Precio Clean]]&gt;1,Tabla3[[#This Row],[Valor Nominal]]*(Tabla3[[#This Row],[Precio Clean]]-1),0),0)</f>
        <v>0</v>
      </c>
      <c r="AK291" s="605">
        <f>+IF(Tabla3[[#This Row],[Amortización k | cupón de intereses]]="Amortización de K",IF(Tabla3[[#This Row],[Precio Clean]]&lt;1,Tabla3[[#This Row],[Valor Nominal]]*(Tabla3[[#This Row],[Precio Clean]]-1),0),0)</f>
        <v>0</v>
      </c>
    </row>
    <row r="292" spans="1:37">
      <c r="A292" s="502"/>
      <c r="B292" s="437" t="s">
        <v>485</v>
      </c>
      <c r="C292" s="437" t="str">
        <f>+C291</f>
        <v>BNF_6,45%_200927_BB1790-1794_200K</v>
      </c>
      <c r="D292" s="437" t="s">
        <v>453</v>
      </c>
      <c r="E292" s="437" t="str">
        <f>+E291</f>
        <v>AA+py</v>
      </c>
      <c r="F292" s="437" t="s">
        <v>297</v>
      </c>
      <c r="G292" s="437" t="s">
        <v>298</v>
      </c>
      <c r="H292" s="437">
        <f>+H291</f>
        <v>1</v>
      </c>
      <c r="I292" s="445">
        <v>6573.69</v>
      </c>
      <c r="J292" s="462"/>
      <c r="K292" s="450"/>
      <c r="L292" s="462"/>
      <c r="M292" s="493"/>
      <c r="N292" s="493"/>
      <c r="O292" s="462">
        <f t="shared" si="176"/>
        <v>6.4459112286567685E-2</v>
      </c>
      <c r="P292" s="462">
        <f t="shared" si="176"/>
        <v>6.3452555584031511E-2</v>
      </c>
      <c r="Q292" s="450">
        <f t="shared" si="176"/>
        <v>45944</v>
      </c>
      <c r="R292" s="450">
        <v>46286</v>
      </c>
      <c r="S292" s="509" t="s">
        <v>146</v>
      </c>
      <c r="T292" s="510">
        <f>Tabla3[[#This Row],[Cantidad]]*Tabla3[[#This Row],[Cortes]]</f>
        <v>6573.69</v>
      </c>
      <c r="U292" s="511">
        <f t="shared" si="168"/>
        <v>6380.8200760270693</v>
      </c>
      <c r="V292" s="511">
        <f t="shared" si="169"/>
        <v>6379.7281437809861</v>
      </c>
      <c r="W292" s="497">
        <f>IF(Tabla3[[#This Row],[Fecha de operación]]=$C$1,0,U292-V292)</f>
        <v>1.0919322460831609</v>
      </c>
      <c r="X292" s="512" t="str">
        <f t="shared" si="154"/>
        <v>Vigente</v>
      </c>
      <c r="Y292" s="449" t="s">
        <v>450</v>
      </c>
      <c r="Z292" s="449">
        <f t="shared" si="155"/>
        <v>174</v>
      </c>
      <c r="AA292" s="445">
        <f t="shared" si="177"/>
        <v>1.4111815588475096</v>
      </c>
      <c r="AB292" s="445">
        <f t="shared" si="177"/>
        <v>1.388801333571406</v>
      </c>
      <c r="AC292" s="449" t="s">
        <v>451</v>
      </c>
      <c r="AD292" s="449" t="s">
        <v>454</v>
      </c>
      <c r="AG292" s="605">
        <f>+IF(Tabla3[[#This Row],[Amortización k | cupón de intereses]]="Amortización de K",Tabla3[[#This Row],[Valor Nominal]],0)</f>
        <v>0</v>
      </c>
      <c r="AH292" s="605">
        <f>+IF(AND(Tabla3[[#This Row],[Amortización k | cupón de intereses]]="Cupón de interés",Tabla3[[#This Row],[Estado]]="Vigente"),Tabla3[[#This Row],[Valor Nominal]],0)</f>
        <v>6573.69</v>
      </c>
      <c r="AI292" s="618">
        <f>+IF(Tabla3[[#This Row],[Amortización k | cupón de intereses]]="Amortización de K",SUMIFS($AH$7:$AH$557,Tabla3[Código Emisión],Tabla3[[#This Row],[Código Emisión]],Tabla3[Fecha de operación],Tabla3[[#This Row],[Fecha de operación]]),0)-Tabla3[[#This Row],[Accrued]]*Tabla3[[#This Row],[Valor Nominal]]</f>
        <v>0</v>
      </c>
      <c r="AJ292" s="605">
        <f>+IF(Tabla3[[#This Row],[Amortización k | cupón de intereses]]="Amortización de K",IF(Tabla3[[#This Row],[Precio Clean]]&gt;1,Tabla3[[#This Row],[Valor Nominal]]*(Tabla3[[#This Row],[Precio Clean]]-1),0),0)</f>
        <v>0</v>
      </c>
      <c r="AK292" s="605">
        <f>+IF(Tabla3[[#This Row],[Amortización k | cupón de intereses]]="Amortización de K",IF(Tabla3[[#This Row],[Precio Clean]]&lt;1,Tabla3[[#This Row],[Valor Nominal]]*(Tabla3[[#This Row],[Precio Clean]]-1),0),0)</f>
        <v>0</v>
      </c>
    </row>
    <row r="293" spans="1:37">
      <c r="A293" s="502"/>
      <c r="B293" s="437" t="s">
        <v>485</v>
      </c>
      <c r="C293" s="437" t="str">
        <f>+C292</f>
        <v>BNF_6,45%_200927_BB1790-1794_200K</v>
      </c>
      <c r="D293" s="437" t="s">
        <v>453</v>
      </c>
      <c r="E293" s="437" t="str">
        <f>+E292</f>
        <v>AA+py</v>
      </c>
      <c r="F293" s="437" t="s">
        <v>297</v>
      </c>
      <c r="G293" s="437" t="s">
        <v>298</v>
      </c>
      <c r="H293" s="437">
        <f>+H292</f>
        <v>1</v>
      </c>
      <c r="I293" s="445">
        <v>6396.98</v>
      </c>
      <c r="J293" s="462"/>
      <c r="K293" s="450"/>
      <c r="L293" s="462"/>
      <c r="M293" s="493"/>
      <c r="N293" s="493"/>
      <c r="O293" s="462">
        <f t="shared" si="176"/>
        <v>6.4459112286567685E-2</v>
      </c>
      <c r="P293" s="462">
        <f t="shared" si="176"/>
        <v>6.3452555584031511E-2</v>
      </c>
      <c r="Q293" s="450">
        <f t="shared" si="176"/>
        <v>45944</v>
      </c>
      <c r="R293" s="450">
        <v>46100</v>
      </c>
      <c r="S293" s="509" t="s">
        <v>146</v>
      </c>
      <c r="T293" s="510">
        <f>Tabla3[[#This Row],[Cantidad]]*Tabla3[[#This Row],[Cortes]]</f>
        <v>6396.98</v>
      </c>
      <c r="U293" s="511" t="b">
        <f t="shared" si="168"/>
        <v>0</v>
      </c>
      <c r="V293" s="511" t="b">
        <f t="shared" si="169"/>
        <v>0</v>
      </c>
      <c r="W293" s="497">
        <f>IF(Tabla3[[#This Row],[Fecha de operación]]=$C$1,0,U293-V293)</f>
        <v>0</v>
      </c>
      <c r="X293" s="512" t="str">
        <f t="shared" ref="X293:X356" si="178">IF(R293&lt;=$U$5,"Vencido","Vigente")</f>
        <v>Vencido</v>
      </c>
      <c r="Y293" s="449" t="s">
        <v>450</v>
      </c>
      <c r="Z293" s="449">
        <f t="shared" ref="Z293:Z356" si="179">+R293-$U$5</f>
        <v>-12</v>
      </c>
      <c r="AA293" s="445">
        <f t="shared" si="177"/>
        <v>1.4111815588475096</v>
      </c>
      <c r="AB293" s="445">
        <f t="shared" si="177"/>
        <v>1.388801333571406</v>
      </c>
      <c r="AC293" s="449" t="s">
        <v>451</v>
      </c>
      <c r="AD293" s="449" t="s">
        <v>454</v>
      </c>
      <c r="AG293" s="605">
        <f>+IF(Tabla3[[#This Row],[Amortización k | cupón de intereses]]="Amortización de K",Tabla3[[#This Row],[Valor Nominal]],0)</f>
        <v>0</v>
      </c>
      <c r="AH293" s="605">
        <f>+IF(AND(Tabla3[[#This Row],[Amortización k | cupón de intereses]]="Cupón de interés",Tabla3[[#This Row],[Estado]]="Vigente"),Tabla3[[#This Row],[Valor Nominal]],0)</f>
        <v>0</v>
      </c>
      <c r="AI293" s="618">
        <f>+IF(Tabla3[[#This Row],[Amortización k | cupón de intereses]]="Amortización de K",SUMIFS($AH$7:$AH$557,Tabla3[Código Emisión],Tabla3[[#This Row],[Código Emisión]],Tabla3[Fecha de operación],Tabla3[[#This Row],[Fecha de operación]]),0)-Tabla3[[#This Row],[Accrued]]*Tabla3[[#This Row],[Valor Nominal]]</f>
        <v>0</v>
      </c>
      <c r="AJ293" s="605">
        <f>+IF(Tabla3[[#This Row],[Amortización k | cupón de intereses]]="Amortización de K",IF(Tabla3[[#This Row],[Precio Clean]]&gt;1,Tabla3[[#This Row],[Valor Nominal]]*(Tabla3[[#This Row],[Precio Clean]]-1),0),0)</f>
        <v>0</v>
      </c>
      <c r="AK293" s="605">
        <f>+IF(Tabla3[[#This Row],[Amortización k | cupón de intereses]]="Amortización de K",IF(Tabla3[[#This Row],[Precio Clean]]&lt;1,Tabla3[[#This Row],[Valor Nominal]]*(Tabla3[[#This Row],[Precio Clean]]-1),0),0)</f>
        <v>0</v>
      </c>
    </row>
    <row r="294" spans="1:37" ht="15">
      <c r="A294" s="500">
        <f>+A289+1</f>
        <v>26</v>
      </c>
      <c r="B294" s="475" t="s">
        <v>485</v>
      </c>
      <c r="C294" s="475" t="s">
        <v>486</v>
      </c>
      <c r="D294" s="475" t="s">
        <v>453</v>
      </c>
      <c r="E294" s="475" t="s">
        <v>487</v>
      </c>
      <c r="F294" s="475" t="s">
        <v>297</v>
      </c>
      <c r="G294" s="475" t="s">
        <v>298</v>
      </c>
      <c r="H294" s="475">
        <v>1</v>
      </c>
      <c r="I294" s="477">
        <v>200000</v>
      </c>
      <c r="J294" s="478">
        <v>6.4500000000000002E-2</v>
      </c>
      <c r="K294" s="479">
        <f>_xlfn.MAXIFS(R:R,C:C,C294,AD:AD,"Cupón de interés",X:X,"Vencido")</f>
        <v>46100</v>
      </c>
      <c r="L294" s="478">
        <f>+Tabla3[[#This Row],[Tasa de Interés]]*($U$5-Tabla3[[#This Row],[Last coupon]])/365</f>
        <v>2.1205479452054794E-3</v>
      </c>
      <c r="M294" s="480">
        <f>+Tabla3[[#This Row],[Precio Dirty]]-Tabla3[[#This Row],[Accrued]]</f>
        <v>1.0014140898130641</v>
      </c>
      <c r="N294" s="481">
        <f>SUMIFS(U:U,C:C,C294,Q:Q,Q294)/SUMIFS(T:T,C:C,C294,Q:Q,Q294,AD:AD,"Amortización de K")</f>
        <v>1.0035346377582697</v>
      </c>
      <c r="O294" s="478">
        <v>6.4459130167961107E-2</v>
      </c>
      <c r="P294" s="478">
        <v>6.3452572915560168E-2</v>
      </c>
      <c r="Q294" s="484">
        <v>45945</v>
      </c>
      <c r="R294" s="450">
        <v>46650</v>
      </c>
      <c r="S294" s="504" t="s">
        <v>146</v>
      </c>
      <c r="T294" s="505">
        <f>Tabla3[[#This Row],[Cantidad]]*Tabla3[[#This Row],[Cortes]]</f>
        <v>200000</v>
      </c>
      <c r="U294" s="506">
        <f t="shared" si="168"/>
        <v>182407.46408425408</v>
      </c>
      <c r="V294" s="506">
        <f t="shared" si="169"/>
        <v>182376.2491866163</v>
      </c>
      <c r="W294" s="487">
        <f>IF(Tabla3[[#This Row],[Fecha de operación]]=$C$1,0,U294-V294)</f>
        <v>31.214897637779359</v>
      </c>
      <c r="X294" s="507" t="str">
        <f t="shared" si="178"/>
        <v>Vigente</v>
      </c>
      <c r="Y294" s="488" t="s">
        <v>450</v>
      </c>
      <c r="Z294" s="488">
        <f t="shared" si="179"/>
        <v>538</v>
      </c>
      <c r="AA294" s="477">
        <f>IF(Y294="Mensual",DURATION($C$1,$C$1+Z294*12,J294/12,O294/12,1)/12,DURATION($C$1,R294,J294,O294,IF(Y294="Cupón cero",1,IF(Y294="Al vencimiento",1,IF(Y294="Anual",1,IF(Y294="Semestral",2,IF(Y294="Trimestral",4,"")))))))</f>
        <v>1.4111815579610525</v>
      </c>
      <c r="AB294" s="477">
        <f>IF(Y294="Mensual",MDURATION($C$1,$C$1+Z294*12,J294/12,O294/12,1)/12,MDURATION($C$1,R294,J294,O294,IF(Y294="Cupón cero",1,IF(Y294="Al vencimiento",1,IF(Y294="Anual",1,IF(Y294="Semestral",2,IF(Y294="Trimestral",4,"")))))))</f>
        <v>1.3888013265890424</v>
      </c>
      <c r="AC294" s="488" t="s">
        <v>451</v>
      </c>
      <c r="AD294" s="488" t="s">
        <v>452</v>
      </c>
      <c r="AG294" s="605">
        <f>+IF(Tabla3[[#This Row],[Amortización k | cupón de intereses]]="Amortización de K",Tabla3[[#This Row],[Valor Nominal]],0)</f>
        <v>200000</v>
      </c>
      <c r="AH294" s="605">
        <f>+IF(AND(Tabla3[[#This Row],[Amortización k | cupón de intereses]]="Cupón de interés",Tabla3[[#This Row],[Estado]]="Vigente"),Tabla3[[#This Row],[Valor Nominal]],0)</f>
        <v>0</v>
      </c>
      <c r="AI294" s="618">
        <f>+IF(Tabla3[[#This Row],[Amortización k | cupón de intereses]]="Amortización de K",SUMIFS($AH$7:$AH$557,Tabla3[Código Emisión],Tabla3[[#This Row],[Código Emisión]],Tabla3[Fecha de operación],Tabla3[[#This Row],[Fecha de operación]]),0)-Tabla3[[#This Row],[Accrued]]*Tabla3[[#This Row],[Valor Nominal]]</f>
        <v>19014.230410958906</v>
      </c>
      <c r="AJ294" s="605">
        <f>+IF(Tabla3[[#This Row],[Amortización k | cupón de intereses]]="Amortización de K",IF(Tabla3[[#This Row],[Precio Clean]]&gt;1,Tabla3[[#This Row],[Valor Nominal]]*(Tabla3[[#This Row],[Precio Clean]]-1),0),0)</f>
        <v>282.81796261282466</v>
      </c>
      <c r="AK294" s="605">
        <f>+IF(Tabla3[[#This Row],[Amortización k | cupón de intereses]]="Amortización de K",IF(Tabla3[[#This Row],[Precio Clean]]&lt;1,Tabla3[[#This Row],[Valor Nominal]]*(Tabla3[[#This Row],[Precio Clean]]-1),0),0)</f>
        <v>0</v>
      </c>
    </row>
    <row r="295" spans="1:37">
      <c r="A295" s="502"/>
      <c r="B295" s="437" t="s">
        <v>485</v>
      </c>
      <c r="C295" s="437" t="str">
        <f>+C294</f>
        <v>BNF_6,45%_200927_BB1790-1794_200K</v>
      </c>
      <c r="D295" s="437" t="s">
        <v>453</v>
      </c>
      <c r="E295" s="437" t="str">
        <f>+E294</f>
        <v>AA+py</v>
      </c>
      <c r="F295" s="437" t="s">
        <v>297</v>
      </c>
      <c r="G295" s="437" t="s">
        <v>298</v>
      </c>
      <c r="H295" s="437">
        <f>+H294</f>
        <v>1</v>
      </c>
      <c r="I295" s="445">
        <v>6538.35</v>
      </c>
      <c r="J295" s="462"/>
      <c r="K295" s="450"/>
      <c r="L295" s="462"/>
      <c r="M295" s="493"/>
      <c r="N295" s="493"/>
      <c r="O295" s="462">
        <f t="shared" ref="O295:Q298" si="180">+O294</f>
        <v>6.4459130167961107E-2</v>
      </c>
      <c r="P295" s="462">
        <f t="shared" si="180"/>
        <v>6.3452572915560168E-2</v>
      </c>
      <c r="Q295" s="450">
        <f t="shared" si="180"/>
        <v>45945</v>
      </c>
      <c r="R295" s="450">
        <v>46650</v>
      </c>
      <c r="S295" s="509" t="s">
        <v>146</v>
      </c>
      <c r="T295" s="510">
        <f>Tabla3[[#This Row],[Cantidad]]*Tabla3[[#This Row],[Cortes]]</f>
        <v>6538.35</v>
      </c>
      <c r="U295" s="511">
        <f t="shared" si="168"/>
        <v>5963.2192139764138</v>
      </c>
      <c r="V295" s="511">
        <f t="shared" si="169"/>
        <v>5962.1987443465641</v>
      </c>
      <c r="W295" s="497">
        <f>IF(Tabla3[[#This Row],[Fecha de operación]]=$C$1,0,U295-V295)</f>
        <v>1.0204696298496856</v>
      </c>
      <c r="X295" s="512" t="str">
        <f t="shared" si="178"/>
        <v>Vigente</v>
      </c>
      <c r="Y295" s="449" t="s">
        <v>450</v>
      </c>
      <c r="Z295" s="449">
        <f t="shared" si="179"/>
        <v>538</v>
      </c>
      <c r="AA295" s="445">
        <f t="shared" ref="AA295:AB298" si="181">+AA294</f>
        <v>1.4111815579610525</v>
      </c>
      <c r="AB295" s="445">
        <f t="shared" si="181"/>
        <v>1.3888013265890424</v>
      </c>
      <c r="AC295" s="449" t="s">
        <v>451</v>
      </c>
      <c r="AD295" s="449" t="s">
        <v>454</v>
      </c>
      <c r="AG295" s="605">
        <f>+IF(Tabla3[[#This Row],[Amortización k | cupón de intereses]]="Amortización de K",Tabla3[[#This Row],[Valor Nominal]],0)</f>
        <v>0</v>
      </c>
      <c r="AH295" s="605">
        <f>+IF(AND(Tabla3[[#This Row],[Amortización k | cupón de intereses]]="Cupón de interés",Tabla3[[#This Row],[Estado]]="Vigente"),Tabla3[[#This Row],[Valor Nominal]],0)</f>
        <v>6538.35</v>
      </c>
      <c r="AI295" s="618">
        <f>+IF(Tabla3[[#This Row],[Amortización k | cupón de intereses]]="Amortización de K",SUMIFS($AH$7:$AH$557,Tabla3[Código Emisión],Tabla3[[#This Row],[Código Emisión]],Tabla3[Fecha de operación],Tabla3[[#This Row],[Fecha de operación]]),0)-Tabla3[[#This Row],[Accrued]]*Tabla3[[#This Row],[Valor Nominal]]</f>
        <v>0</v>
      </c>
      <c r="AJ295" s="605">
        <f>+IF(Tabla3[[#This Row],[Amortización k | cupón de intereses]]="Amortización de K",IF(Tabla3[[#This Row],[Precio Clean]]&gt;1,Tabla3[[#This Row],[Valor Nominal]]*(Tabla3[[#This Row],[Precio Clean]]-1),0),0)</f>
        <v>0</v>
      </c>
      <c r="AK295" s="605">
        <f>+IF(Tabla3[[#This Row],[Amortización k | cupón de intereses]]="Amortización de K",IF(Tabla3[[#This Row],[Precio Clean]]&lt;1,Tabla3[[#This Row],[Valor Nominal]]*(Tabla3[[#This Row],[Precio Clean]]-1),0),0)</f>
        <v>0</v>
      </c>
    </row>
    <row r="296" spans="1:37">
      <c r="A296" s="502"/>
      <c r="B296" s="437" t="s">
        <v>485</v>
      </c>
      <c r="C296" s="437" t="str">
        <f>+C295</f>
        <v>BNF_6,45%_200927_BB1790-1794_200K</v>
      </c>
      <c r="D296" s="437" t="s">
        <v>453</v>
      </c>
      <c r="E296" s="437" t="str">
        <f>+E295</f>
        <v>AA+py</v>
      </c>
      <c r="F296" s="437" t="s">
        <v>297</v>
      </c>
      <c r="G296" s="437" t="s">
        <v>298</v>
      </c>
      <c r="H296" s="437">
        <f>+H295</f>
        <v>1</v>
      </c>
      <c r="I296" s="445">
        <v>6326.3</v>
      </c>
      <c r="J296" s="462"/>
      <c r="K296" s="450"/>
      <c r="L296" s="462"/>
      <c r="M296" s="493"/>
      <c r="N296" s="493"/>
      <c r="O296" s="462">
        <f t="shared" si="180"/>
        <v>6.4459130167961107E-2</v>
      </c>
      <c r="P296" s="462">
        <f t="shared" si="180"/>
        <v>6.3452572915560168E-2</v>
      </c>
      <c r="Q296" s="450">
        <f t="shared" si="180"/>
        <v>45945</v>
      </c>
      <c r="R296" s="450">
        <v>46465</v>
      </c>
      <c r="S296" s="509" t="s">
        <v>146</v>
      </c>
      <c r="T296" s="510">
        <f>Tabla3[[#This Row],[Cantidad]]*Tabla3[[#This Row],[Cortes]]</f>
        <v>6326.3</v>
      </c>
      <c r="U296" s="511">
        <f t="shared" si="168"/>
        <v>5955.424228494513</v>
      </c>
      <c r="V296" s="511">
        <f t="shared" si="169"/>
        <v>5954.4050927995177</v>
      </c>
      <c r="W296" s="497">
        <f>IF(Tabla3[[#This Row],[Fecha de operación]]=$C$1,0,U296-V296)</f>
        <v>1.0191356949953843</v>
      </c>
      <c r="X296" s="512" t="str">
        <f t="shared" si="178"/>
        <v>Vigente</v>
      </c>
      <c r="Y296" s="449" t="s">
        <v>450</v>
      </c>
      <c r="Z296" s="449">
        <f t="shared" si="179"/>
        <v>353</v>
      </c>
      <c r="AA296" s="445">
        <f t="shared" si="181"/>
        <v>1.4111815579610525</v>
      </c>
      <c r="AB296" s="445">
        <f t="shared" si="181"/>
        <v>1.3888013265890424</v>
      </c>
      <c r="AC296" s="449" t="s">
        <v>451</v>
      </c>
      <c r="AD296" s="449" t="s">
        <v>454</v>
      </c>
      <c r="AG296" s="605">
        <f>+IF(Tabla3[[#This Row],[Amortización k | cupón de intereses]]="Amortización de K",Tabla3[[#This Row],[Valor Nominal]],0)</f>
        <v>0</v>
      </c>
      <c r="AH296" s="605">
        <f>+IF(AND(Tabla3[[#This Row],[Amortización k | cupón de intereses]]="Cupón de interés",Tabla3[[#This Row],[Estado]]="Vigente"),Tabla3[[#This Row],[Valor Nominal]],0)</f>
        <v>6326.3</v>
      </c>
      <c r="AI296" s="618">
        <f>+IF(Tabla3[[#This Row],[Amortización k | cupón de intereses]]="Amortización de K",SUMIFS($AH$7:$AH$557,Tabla3[Código Emisión],Tabla3[[#This Row],[Código Emisión]],Tabla3[Fecha de operación],Tabla3[[#This Row],[Fecha de operación]]),0)-Tabla3[[#This Row],[Accrued]]*Tabla3[[#This Row],[Valor Nominal]]</f>
        <v>0</v>
      </c>
      <c r="AJ296" s="605">
        <f>+IF(Tabla3[[#This Row],[Amortización k | cupón de intereses]]="Amortización de K",IF(Tabla3[[#This Row],[Precio Clean]]&gt;1,Tabla3[[#This Row],[Valor Nominal]]*(Tabla3[[#This Row],[Precio Clean]]-1),0),0)</f>
        <v>0</v>
      </c>
      <c r="AK296" s="605">
        <f>+IF(Tabla3[[#This Row],[Amortización k | cupón de intereses]]="Amortización de K",IF(Tabla3[[#This Row],[Precio Clean]]&lt;1,Tabla3[[#This Row],[Valor Nominal]]*(Tabla3[[#This Row],[Precio Clean]]-1),0),0)</f>
        <v>0</v>
      </c>
    </row>
    <row r="297" spans="1:37">
      <c r="A297" s="502"/>
      <c r="B297" s="437" t="s">
        <v>485</v>
      </c>
      <c r="C297" s="437" t="str">
        <f>+C296</f>
        <v>BNF_6,45%_200927_BB1790-1794_200K</v>
      </c>
      <c r="D297" s="437" t="s">
        <v>453</v>
      </c>
      <c r="E297" s="437" t="str">
        <f>+E296</f>
        <v>AA+py</v>
      </c>
      <c r="F297" s="437" t="s">
        <v>297</v>
      </c>
      <c r="G297" s="437" t="s">
        <v>298</v>
      </c>
      <c r="H297" s="437">
        <f>+H296</f>
        <v>1</v>
      </c>
      <c r="I297" s="445">
        <v>6573.69</v>
      </c>
      <c r="J297" s="462"/>
      <c r="K297" s="450"/>
      <c r="L297" s="462"/>
      <c r="M297" s="493"/>
      <c r="N297" s="493"/>
      <c r="O297" s="462">
        <f t="shared" si="180"/>
        <v>6.4459130167961107E-2</v>
      </c>
      <c r="P297" s="462">
        <f t="shared" si="180"/>
        <v>6.3452572915560168E-2</v>
      </c>
      <c r="Q297" s="450">
        <f t="shared" si="180"/>
        <v>45945</v>
      </c>
      <c r="R297" s="450">
        <v>46286</v>
      </c>
      <c r="S297" s="509" t="s">
        <v>146</v>
      </c>
      <c r="T297" s="510">
        <f>Tabla3[[#This Row],[Cantidad]]*Tabla3[[#This Row],[Cortes]]</f>
        <v>6573.69</v>
      </c>
      <c r="U297" s="511">
        <f t="shared" si="168"/>
        <v>6380.8200249289112</v>
      </c>
      <c r="V297" s="511">
        <f t="shared" si="169"/>
        <v>6379.7280923979533</v>
      </c>
      <c r="W297" s="497">
        <f>IF(Tabla3[[#This Row],[Fecha de operación]]=$C$1,0,U297-V297)</f>
        <v>1.0919325309578198</v>
      </c>
      <c r="X297" s="512" t="str">
        <f t="shared" si="178"/>
        <v>Vigente</v>
      </c>
      <c r="Y297" s="449" t="s">
        <v>450</v>
      </c>
      <c r="Z297" s="449">
        <f t="shared" si="179"/>
        <v>174</v>
      </c>
      <c r="AA297" s="445">
        <f t="shared" si="181"/>
        <v>1.4111815579610525</v>
      </c>
      <c r="AB297" s="445">
        <f t="shared" si="181"/>
        <v>1.3888013265890424</v>
      </c>
      <c r="AC297" s="449" t="s">
        <v>451</v>
      </c>
      <c r="AD297" s="449" t="s">
        <v>454</v>
      </c>
      <c r="AG297" s="605">
        <f>+IF(Tabla3[[#This Row],[Amortización k | cupón de intereses]]="Amortización de K",Tabla3[[#This Row],[Valor Nominal]],0)</f>
        <v>0</v>
      </c>
      <c r="AH297" s="605">
        <f>+IF(AND(Tabla3[[#This Row],[Amortización k | cupón de intereses]]="Cupón de interés",Tabla3[[#This Row],[Estado]]="Vigente"),Tabla3[[#This Row],[Valor Nominal]],0)</f>
        <v>6573.69</v>
      </c>
      <c r="AI297" s="618">
        <f>+IF(Tabla3[[#This Row],[Amortización k | cupón de intereses]]="Amortización de K",SUMIFS($AH$7:$AH$557,Tabla3[Código Emisión],Tabla3[[#This Row],[Código Emisión]],Tabla3[Fecha de operación],Tabla3[[#This Row],[Fecha de operación]]),0)-Tabla3[[#This Row],[Accrued]]*Tabla3[[#This Row],[Valor Nominal]]</f>
        <v>0</v>
      </c>
      <c r="AJ297" s="605">
        <f>+IF(Tabla3[[#This Row],[Amortización k | cupón de intereses]]="Amortización de K",IF(Tabla3[[#This Row],[Precio Clean]]&gt;1,Tabla3[[#This Row],[Valor Nominal]]*(Tabla3[[#This Row],[Precio Clean]]-1),0),0)</f>
        <v>0</v>
      </c>
      <c r="AK297" s="605">
        <f>+IF(Tabla3[[#This Row],[Amortización k | cupón de intereses]]="Amortización de K",IF(Tabla3[[#This Row],[Precio Clean]]&lt;1,Tabla3[[#This Row],[Valor Nominal]]*(Tabla3[[#This Row],[Precio Clean]]-1),0),0)</f>
        <v>0</v>
      </c>
    </row>
    <row r="298" spans="1:37">
      <c r="A298" s="502"/>
      <c r="B298" s="437" t="s">
        <v>485</v>
      </c>
      <c r="C298" s="437" t="str">
        <f>+C297</f>
        <v>BNF_6,45%_200927_BB1790-1794_200K</v>
      </c>
      <c r="D298" s="437" t="s">
        <v>453</v>
      </c>
      <c r="E298" s="437" t="str">
        <f>+E297</f>
        <v>AA+py</v>
      </c>
      <c r="F298" s="437" t="s">
        <v>297</v>
      </c>
      <c r="G298" s="437" t="s">
        <v>298</v>
      </c>
      <c r="H298" s="437">
        <f>+H297</f>
        <v>1</v>
      </c>
      <c r="I298" s="445">
        <v>6396.98</v>
      </c>
      <c r="J298" s="462"/>
      <c r="K298" s="450"/>
      <c r="L298" s="462"/>
      <c r="M298" s="493"/>
      <c r="N298" s="493"/>
      <c r="O298" s="462">
        <f t="shared" si="180"/>
        <v>6.4459130167961107E-2</v>
      </c>
      <c r="P298" s="462">
        <f t="shared" si="180"/>
        <v>6.3452572915560168E-2</v>
      </c>
      <c r="Q298" s="450">
        <f t="shared" si="180"/>
        <v>45945</v>
      </c>
      <c r="R298" s="450">
        <v>46100</v>
      </c>
      <c r="S298" s="509" t="s">
        <v>146</v>
      </c>
      <c r="T298" s="510">
        <f>Tabla3[[#This Row],[Cantidad]]*Tabla3[[#This Row],[Cortes]]</f>
        <v>6396.98</v>
      </c>
      <c r="U298" s="511" t="b">
        <f t="shared" si="168"/>
        <v>0</v>
      </c>
      <c r="V298" s="511" t="b">
        <f t="shared" si="169"/>
        <v>0</v>
      </c>
      <c r="W298" s="497">
        <f>IF(Tabla3[[#This Row],[Fecha de operación]]=$C$1,0,U298-V298)</f>
        <v>0</v>
      </c>
      <c r="X298" s="512" t="str">
        <f t="shared" si="178"/>
        <v>Vencido</v>
      </c>
      <c r="Y298" s="449" t="s">
        <v>450</v>
      </c>
      <c r="Z298" s="449">
        <f t="shared" si="179"/>
        <v>-12</v>
      </c>
      <c r="AA298" s="445">
        <f t="shared" si="181"/>
        <v>1.4111815579610525</v>
      </c>
      <c r="AB298" s="445">
        <f t="shared" si="181"/>
        <v>1.3888013265890424</v>
      </c>
      <c r="AC298" s="449" t="s">
        <v>451</v>
      </c>
      <c r="AD298" s="449" t="s">
        <v>454</v>
      </c>
      <c r="AG298" s="605">
        <f>+IF(Tabla3[[#This Row],[Amortización k | cupón de intereses]]="Amortización de K",Tabla3[[#This Row],[Valor Nominal]],0)</f>
        <v>0</v>
      </c>
      <c r="AH298" s="605">
        <f>+IF(AND(Tabla3[[#This Row],[Amortización k | cupón de intereses]]="Cupón de interés",Tabla3[[#This Row],[Estado]]="Vigente"),Tabla3[[#This Row],[Valor Nominal]],0)</f>
        <v>0</v>
      </c>
      <c r="AI298" s="618">
        <f>+IF(Tabla3[[#This Row],[Amortización k | cupón de intereses]]="Amortización de K",SUMIFS($AH$7:$AH$557,Tabla3[Código Emisión],Tabla3[[#This Row],[Código Emisión]],Tabla3[Fecha de operación],Tabla3[[#This Row],[Fecha de operación]]),0)-Tabla3[[#This Row],[Accrued]]*Tabla3[[#This Row],[Valor Nominal]]</f>
        <v>0</v>
      </c>
      <c r="AJ298" s="605">
        <f>+IF(Tabla3[[#This Row],[Amortización k | cupón de intereses]]="Amortización de K",IF(Tabla3[[#This Row],[Precio Clean]]&gt;1,Tabla3[[#This Row],[Valor Nominal]]*(Tabla3[[#This Row],[Precio Clean]]-1),0),0)</f>
        <v>0</v>
      </c>
      <c r="AK298" s="605">
        <f>+IF(Tabla3[[#This Row],[Amortización k | cupón de intereses]]="Amortización de K",IF(Tabla3[[#This Row],[Precio Clean]]&lt;1,Tabla3[[#This Row],[Valor Nominal]]*(Tabla3[[#This Row],[Precio Clean]]-1),0),0)</f>
        <v>0</v>
      </c>
    </row>
    <row r="299" spans="1:37" ht="15">
      <c r="A299" s="630">
        <f>+A294+1</f>
        <v>27</v>
      </c>
      <c r="B299" s="515" t="s">
        <v>485</v>
      </c>
      <c r="C299" s="515" t="s">
        <v>565</v>
      </c>
      <c r="D299" s="515" t="s">
        <v>453</v>
      </c>
      <c r="E299" s="515" t="s">
        <v>487</v>
      </c>
      <c r="F299" s="515" t="s">
        <v>297</v>
      </c>
      <c r="G299" s="515" t="s">
        <v>298</v>
      </c>
      <c r="H299" s="515">
        <v>1</v>
      </c>
      <c r="I299" s="631">
        <v>100000</v>
      </c>
      <c r="J299" s="632">
        <v>6.25E-2</v>
      </c>
      <c r="K299" s="479">
        <f>_xlfn.MAXIFS(R:R,C:C,C299,AD:AD,"Cupón de interés",X:X,"Vencido")</f>
        <v>46079</v>
      </c>
      <c r="L299" s="478">
        <f>+Tabla3[[#This Row],[Tasa de Interés]]*($U$5-Tabla3[[#This Row],[Last coupon]])/365</f>
        <v>5.6506849315068495E-3</v>
      </c>
      <c r="M299" s="480">
        <f>+Tabla3[[#This Row],[Precio Dirty]]-Tabla3[[#This Row],[Accrued]]</f>
        <v>1.0019914691040019</v>
      </c>
      <c r="N299" s="481">
        <f>SUMIFS(U:U,C:C,C299,Q:Q,Q299)/SUMIFS(T:T,C:C,C299,Q:Q,Q299,AD:AD,"Amortización de K")</f>
        <v>1.0076421540355087</v>
      </c>
      <c r="O299" s="632">
        <v>6.2404689192771909E-2</v>
      </c>
      <c r="P299" s="632">
        <v>6.0995292457546313E-2</v>
      </c>
      <c r="Q299" s="633">
        <v>45945</v>
      </c>
      <c r="R299" s="634">
        <v>46626</v>
      </c>
      <c r="S299" s="635" t="s">
        <v>146</v>
      </c>
      <c r="T299" s="636">
        <f>Tabla3[[#This Row],[Cantidad]]*Tabla3[[#This Row],[Cortes]]</f>
        <v>100000</v>
      </c>
      <c r="U299" s="637">
        <f t="shared" si="168"/>
        <v>91828.5966851712</v>
      </c>
      <c r="V299" s="637">
        <f t="shared" si="169"/>
        <v>91813.368259913535</v>
      </c>
      <c r="W299" s="638">
        <f>IF(Tabla3[[#This Row],[Fecha de operación]]=$C$1,0,U299-V299)</f>
        <v>15.22842525766464</v>
      </c>
      <c r="X299" s="639" t="str">
        <f t="shared" si="178"/>
        <v>Vigente</v>
      </c>
      <c r="Y299" s="640" t="s">
        <v>450</v>
      </c>
      <c r="Z299" s="640">
        <f t="shared" si="179"/>
        <v>514</v>
      </c>
      <c r="AA299" s="631">
        <f>IF(Y299="Mensual",DURATION($C$1,$C$1+Z299*12,J299/12,O299/12,1)/12,DURATION($C$1,R299,J299,O299,IF(Y299="Cupón cero",1,IF(Y299="Al vencimiento",1,IF(Y299="Anual",1,IF(Y299="Semestral",2,IF(Y299="Trimestral",4,"")))))))</f>
        <v>1.349037702781376</v>
      </c>
      <c r="AB299" s="631">
        <f>IF(Y299="Mensual",MDURATION($C$1,$C$1+Z299*12,J299/12,O299/12,1)/12,MDURATION($C$1,R299,J299,O299,IF(Y299="Cupón cero",1,IF(Y299="Al vencimiento",1,IF(Y299="Anual",1,IF(Y299="Semestral",2,IF(Y299="Trimestral",4,"")))))))</f>
        <v>1.3283144403315852</v>
      </c>
      <c r="AC299" s="640" t="s">
        <v>451</v>
      </c>
      <c r="AD299" s="640" t="s">
        <v>452</v>
      </c>
      <c r="AG299" s="605">
        <f>+IF(Tabla3[[#This Row],[Amortización k | cupón de intereses]]="Amortización de K",Tabla3[[#This Row],[Valor Nominal]],0)</f>
        <v>100000</v>
      </c>
      <c r="AH299" s="605">
        <f>+IF(AND(Tabla3[[#This Row],[Amortización k | cupón de intereses]]="Cupón de interés",Tabla3[[#This Row],[Estado]]="Vigente"),Tabla3[[#This Row],[Valor Nominal]],0)</f>
        <v>0</v>
      </c>
      <c r="AI299" s="618">
        <f>+IF(Tabla3[[#This Row],[Amortización k | cupón de intereses]]="Amortización de K",SUMIFS($AH$7:$AH$557,Tabla3[Código Emisión],Tabla3[[#This Row],[Código Emisión]],Tabla3[Fecha de operación],Tabla3[[#This Row],[Fecha de operación]]),0)-Tabla3[[#This Row],[Accrued]]*Tabla3[[#This Row],[Valor Nominal]]</f>
        <v>8801.3698630136987</v>
      </c>
      <c r="AJ299" s="605">
        <f>+IF(Tabla3[[#This Row],[Amortización k | cupón de intereses]]="Amortización de K",IF(Tabla3[[#This Row],[Precio Clean]]&gt;1,Tabla3[[#This Row],[Valor Nominal]]*(Tabla3[[#This Row],[Precio Clean]]-1),0),0)</f>
        <v>199.14691040019417</v>
      </c>
      <c r="AK299" s="605">
        <f>+IF(Tabla3[[#This Row],[Amortización k | cupón de intereses]]="Amortización de K",IF(Tabla3[[#This Row],[Precio Clean]]&lt;1,Tabla3[[#This Row],[Valor Nominal]]*(Tabla3[[#This Row],[Precio Clean]]-1),0),0)</f>
        <v>0</v>
      </c>
    </row>
    <row r="300" spans="1:37">
      <c r="A300" s="502"/>
      <c r="B300" s="437" t="s">
        <v>485</v>
      </c>
      <c r="C300" s="437" t="str">
        <f>+C299</f>
        <v>BNF_6,25%_27082027_BB2416-22_100K</v>
      </c>
      <c r="D300" s="437" t="s">
        <v>453</v>
      </c>
      <c r="E300" s="437" t="str">
        <f>+E299</f>
        <v>AA+py</v>
      </c>
      <c r="F300" s="437" t="s">
        <v>297</v>
      </c>
      <c r="G300" s="437" t="s">
        <v>298</v>
      </c>
      <c r="H300" s="437">
        <f>+H299</f>
        <v>1</v>
      </c>
      <c r="I300" s="445">
        <v>17.123287671232877</v>
      </c>
      <c r="J300" s="462"/>
      <c r="K300" s="450"/>
      <c r="L300" s="462"/>
      <c r="M300" s="493"/>
      <c r="N300" s="493"/>
      <c r="O300" s="462">
        <f t="shared" ref="O300:Q308" si="182">+O299</f>
        <v>6.2404689192771909E-2</v>
      </c>
      <c r="P300" s="462">
        <f t="shared" si="182"/>
        <v>6.0995292457546313E-2</v>
      </c>
      <c r="Q300" s="450">
        <f t="shared" si="182"/>
        <v>45945</v>
      </c>
      <c r="R300" s="450">
        <v>46626</v>
      </c>
      <c r="S300" s="509" t="s">
        <v>146</v>
      </c>
      <c r="T300" s="510">
        <f>Tabla3[[#This Row],[Cantidad]]*Tabla3[[#This Row],[Cortes]]</f>
        <v>17.123287671232877</v>
      </c>
      <c r="U300" s="511">
        <f t="shared" si="168"/>
        <v>15.724074774858083</v>
      </c>
      <c r="V300" s="511">
        <f t="shared" si="169"/>
        <v>15.721467167793413</v>
      </c>
      <c r="W300" s="497">
        <f>IF(Tabla3[[#This Row],[Fecha de operación]]=$C$1,0,U300-V300)</f>
        <v>2.6076070646698923E-3</v>
      </c>
      <c r="X300" s="512" t="str">
        <f t="shared" si="178"/>
        <v>Vigente</v>
      </c>
      <c r="Y300" s="449" t="s">
        <v>450</v>
      </c>
      <c r="Z300" s="449">
        <f t="shared" si="179"/>
        <v>514</v>
      </c>
      <c r="AA300" s="445">
        <f t="shared" ref="AA300:AB308" si="183">+AA299</f>
        <v>1.349037702781376</v>
      </c>
      <c r="AB300" s="445">
        <f t="shared" si="183"/>
        <v>1.3283144403315852</v>
      </c>
      <c r="AC300" s="449" t="s">
        <v>451</v>
      </c>
      <c r="AD300" s="449" t="s">
        <v>454</v>
      </c>
      <c r="AG300" s="605">
        <f>+IF(Tabla3[[#This Row],[Amortización k | cupón de intereses]]="Amortización de K",Tabla3[[#This Row],[Valor Nominal]],0)</f>
        <v>0</v>
      </c>
      <c r="AH300" s="605">
        <f>+IF(AND(Tabla3[[#This Row],[Amortización k | cupón de intereses]]="Cupón de interés",Tabla3[[#This Row],[Estado]]="Vigente"),Tabla3[[#This Row],[Valor Nominal]],0)</f>
        <v>17.123287671232877</v>
      </c>
      <c r="AI300" s="618">
        <f>+IF(Tabla3[[#This Row],[Amortización k | cupón de intereses]]="Amortización de K",SUMIFS($AH$7:$AH$557,Tabla3[Código Emisión],Tabla3[[#This Row],[Código Emisión]],Tabla3[Fecha de operación],Tabla3[[#This Row],[Fecha de operación]]),0)-Tabla3[[#This Row],[Accrued]]*Tabla3[[#This Row],[Valor Nominal]]</f>
        <v>0</v>
      </c>
      <c r="AJ300" s="605">
        <f>+IF(Tabla3[[#This Row],[Amortización k | cupón de intereses]]="Amortización de K",IF(Tabla3[[#This Row],[Precio Clean]]&gt;1,Tabla3[[#This Row],[Valor Nominal]]*(Tabla3[[#This Row],[Precio Clean]]-1),0),0)</f>
        <v>0</v>
      </c>
      <c r="AK300" s="605">
        <f>+IF(Tabla3[[#This Row],[Amortización k | cupón de intereses]]="Amortización de K",IF(Tabla3[[#This Row],[Precio Clean]]&lt;1,Tabla3[[#This Row],[Valor Nominal]]*(Tabla3[[#This Row],[Precio Clean]]-1),0),0)</f>
        <v>0</v>
      </c>
    </row>
    <row r="301" spans="1:37">
      <c r="A301" s="502"/>
      <c r="B301" s="437" t="s">
        <v>485</v>
      </c>
      <c r="C301" s="437" t="str">
        <f>+C300</f>
        <v>BNF_6,25%_27082027_BB2416-22_100K</v>
      </c>
      <c r="D301" s="437" t="s">
        <v>453</v>
      </c>
      <c r="E301" s="437" t="str">
        <f>+E300</f>
        <v>AA+py</v>
      </c>
      <c r="F301" s="437" t="s">
        <v>297</v>
      </c>
      <c r="G301" s="437" t="s">
        <v>298</v>
      </c>
      <c r="H301" s="437">
        <f>+H300</f>
        <v>1</v>
      </c>
      <c r="I301" s="445">
        <v>1575.3424657534247</v>
      </c>
      <c r="J301" s="462"/>
      <c r="K301" s="450"/>
      <c r="L301" s="462"/>
      <c r="M301" s="493"/>
      <c r="N301" s="493"/>
      <c r="O301" s="462">
        <f t="shared" si="182"/>
        <v>6.2404689192771909E-2</v>
      </c>
      <c r="P301" s="462">
        <f t="shared" si="182"/>
        <v>6.0995292457546313E-2</v>
      </c>
      <c r="Q301" s="450">
        <f t="shared" si="182"/>
        <v>45945</v>
      </c>
      <c r="R301" s="450">
        <v>46625</v>
      </c>
      <c r="S301" s="509" t="s">
        <v>146</v>
      </c>
      <c r="T301" s="510">
        <f>Tabla3[[#This Row],[Cantidad]]*Tabla3[[#This Row],[Cortes]]</f>
        <v>1575.3424657534247</v>
      </c>
      <c r="U301" s="511">
        <f t="shared" si="168"/>
        <v>1446.8548189273615</v>
      </c>
      <c r="V301" s="511">
        <f t="shared" si="169"/>
        <v>1446.6148792869435</v>
      </c>
      <c r="W301" s="497">
        <f>IF(Tabla3[[#This Row],[Fecha de operación]]=$C$1,0,U301-V301)</f>
        <v>0.23993964041801519</v>
      </c>
      <c r="X301" s="512" t="str">
        <f t="shared" si="178"/>
        <v>Vigente</v>
      </c>
      <c r="Y301" s="449" t="s">
        <v>450</v>
      </c>
      <c r="Z301" s="449">
        <f t="shared" si="179"/>
        <v>513</v>
      </c>
      <c r="AA301" s="445">
        <f t="shared" si="183"/>
        <v>1.349037702781376</v>
      </c>
      <c r="AB301" s="445">
        <f t="shared" si="183"/>
        <v>1.3283144403315852</v>
      </c>
      <c r="AC301" s="449" t="s">
        <v>451</v>
      </c>
      <c r="AD301" s="449" t="s">
        <v>454</v>
      </c>
      <c r="AG301" s="605">
        <f>+IF(Tabla3[[#This Row],[Amortización k | cupón de intereses]]="Amortización de K",Tabla3[[#This Row],[Valor Nominal]],0)</f>
        <v>0</v>
      </c>
      <c r="AH301" s="605">
        <f>+IF(AND(Tabla3[[#This Row],[Amortización k | cupón de intereses]]="Cupón de interés",Tabla3[[#This Row],[Estado]]="Vigente"),Tabla3[[#This Row],[Valor Nominal]],0)</f>
        <v>1575.3424657534247</v>
      </c>
      <c r="AI301" s="618">
        <f>+IF(Tabla3[[#This Row],[Amortización k | cupón de intereses]]="Amortización de K",SUMIFS($AH$7:$AH$557,Tabla3[Código Emisión],Tabla3[[#This Row],[Código Emisión]],Tabla3[Fecha de operación],Tabla3[[#This Row],[Fecha de operación]]),0)-Tabla3[[#This Row],[Accrued]]*Tabla3[[#This Row],[Valor Nominal]]</f>
        <v>0</v>
      </c>
      <c r="AJ301" s="605">
        <f>+IF(Tabla3[[#This Row],[Amortización k | cupón de intereses]]="Amortización de K",IF(Tabla3[[#This Row],[Precio Clean]]&gt;1,Tabla3[[#This Row],[Valor Nominal]]*(Tabla3[[#This Row],[Precio Clean]]-1),0),0)</f>
        <v>0</v>
      </c>
      <c r="AK301" s="605">
        <f>+IF(Tabla3[[#This Row],[Amortización k | cupón de intereses]]="Amortización de K",IF(Tabla3[[#This Row],[Precio Clean]]&lt;1,Tabla3[[#This Row],[Valor Nominal]]*(Tabla3[[#This Row],[Precio Clean]]-1),0),0)</f>
        <v>0</v>
      </c>
    </row>
    <row r="302" spans="1:37">
      <c r="A302" s="502"/>
      <c r="B302" s="437" t="s">
        <v>485</v>
      </c>
      <c r="C302" s="437" t="str">
        <f>+C301</f>
        <v>BNF_6,25%_27082027_BB2416-22_100K</v>
      </c>
      <c r="D302" s="437" t="s">
        <v>453</v>
      </c>
      <c r="E302" s="437" t="str">
        <f>+E301</f>
        <v>AA+py</v>
      </c>
      <c r="F302" s="437" t="s">
        <v>297</v>
      </c>
      <c r="G302" s="437" t="s">
        <v>298</v>
      </c>
      <c r="H302" s="437">
        <f>+H301</f>
        <v>1</v>
      </c>
      <c r="I302" s="445">
        <v>1523.972602739726</v>
      </c>
      <c r="J302" s="462"/>
      <c r="K302" s="450"/>
      <c r="L302" s="462"/>
      <c r="M302" s="493"/>
      <c r="N302" s="493"/>
      <c r="O302" s="462">
        <f t="shared" si="182"/>
        <v>6.2404689192771909E-2</v>
      </c>
      <c r="P302" s="462">
        <f t="shared" si="182"/>
        <v>6.0995292457546313E-2</v>
      </c>
      <c r="Q302" s="450">
        <f t="shared" si="182"/>
        <v>45945</v>
      </c>
      <c r="R302" s="450">
        <v>46533</v>
      </c>
      <c r="S302" s="509" t="s">
        <v>146</v>
      </c>
      <c r="T302" s="510">
        <f>Tabla3[[#This Row],[Cantidad]]*Tabla3[[#This Row],[Cortes]]</f>
        <v>1523.972602739726</v>
      </c>
      <c r="U302" s="511">
        <f t="shared" si="168"/>
        <v>1421.1949303846407</v>
      </c>
      <c r="V302" s="511">
        <f t="shared" si="169"/>
        <v>1420.9592460602016</v>
      </c>
      <c r="W302" s="497">
        <f>IF(Tabla3[[#This Row],[Fecha de operación]]=$C$1,0,U302-V302)</f>
        <v>0.23568432443903475</v>
      </c>
      <c r="X302" s="512" t="str">
        <f t="shared" si="178"/>
        <v>Vigente</v>
      </c>
      <c r="Y302" s="449" t="s">
        <v>450</v>
      </c>
      <c r="Z302" s="449">
        <f t="shared" si="179"/>
        <v>421</v>
      </c>
      <c r="AA302" s="445">
        <f t="shared" si="183"/>
        <v>1.349037702781376</v>
      </c>
      <c r="AB302" s="445">
        <f t="shared" si="183"/>
        <v>1.3283144403315852</v>
      </c>
      <c r="AC302" s="449" t="s">
        <v>451</v>
      </c>
      <c r="AD302" s="449" t="s">
        <v>454</v>
      </c>
      <c r="AG302" s="605">
        <f>+IF(Tabla3[[#This Row],[Amortización k | cupón de intereses]]="Amortización de K",Tabla3[[#This Row],[Valor Nominal]],0)</f>
        <v>0</v>
      </c>
      <c r="AH302" s="605">
        <f>+IF(AND(Tabla3[[#This Row],[Amortización k | cupón de intereses]]="Cupón de interés",Tabla3[[#This Row],[Estado]]="Vigente"),Tabla3[[#This Row],[Valor Nominal]],0)</f>
        <v>1523.972602739726</v>
      </c>
      <c r="AI302" s="618">
        <f>+IF(Tabla3[[#This Row],[Amortización k | cupón de intereses]]="Amortización de K",SUMIFS($AH$7:$AH$557,Tabla3[Código Emisión],Tabla3[[#This Row],[Código Emisión]],Tabla3[Fecha de operación],Tabla3[[#This Row],[Fecha de operación]]),0)-Tabla3[[#This Row],[Accrued]]*Tabla3[[#This Row],[Valor Nominal]]</f>
        <v>0</v>
      </c>
      <c r="AJ302" s="605">
        <f>+IF(Tabla3[[#This Row],[Amortización k | cupón de intereses]]="Amortización de K",IF(Tabla3[[#This Row],[Precio Clean]]&gt;1,Tabla3[[#This Row],[Valor Nominal]]*(Tabla3[[#This Row],[Precio Clean]]-1),0),0)</f>
        <v>0</v>
      </c>
      <c r="AK302" s="605">
        <f>+IF(Tabla3[[#This Row],[Amortización k | cupón de intereses]]="Amortización de K",IF(Tabla3[[#This Row],[Precio Clean]]&lt;1,Tabla3[[#This Row],[Valor Nominal]]*(Tabla3[[#This Row],[Precio Clean]]-1),0),0)</f>
        <v>0</v>
      </c>
    </row>
    <row r="303" spans="1:37">
      <c r="A303" s="502"/>
      <c r="B303" s="437" t="s">
        <v>485</v>
      </c>
      <c r="C303" s="437" t="str">
        <f>+C302</f>
        <v>BNF_6,25%_27082027_BB2416-22_100K</v>
      </c>
      <c r="D303" s="437" t="s">
        <v>453</v>
      </c>
      <c r="E303" s="437" t="str">
        <f>+E302</f>
        <v>AA+py</v>
      </c>
      <c r="F303" s="437" t="s">
        <v>297</v>
      </c>
      <c r="G303" s="437" t="s">
        <v>298</v>
      </c>
      <c r="H303" s="437">
        <f>+H302</f>
        <v>1</v>
      </c>
      <c r="I303" s="445">
        <v>1575.3424657534247</v>
      </c>
      <c r="J303" s="462"/>
      <c r="K303" s="450"/>
      <c r="L303" s="462"/>
      <c r="M303" s="493"/>
      <c r="N303" s="493"/>
      <c r="O303" s="462">
        <f t="shared" si="182"/>
        <v>6.2404689192771909E-2</v>
      </c>
      <c r="P303" s="462">
        <f t="shared" si="182"/>
        <v>6.0995292457546313E-2</v>
      </c>
      <c r="Q303" s="450">
        <f t="shared" si="182"/>
        <v>45945</v>
      </c>
      <c r="R303" s="450">
        <v>46444</v>
      </c>
      <c r="S303" s="509" t="s">
        <v>146</v>
      </c>
      <c r="T303" s="510">
        <f>Tabla3[[#This Row],[Cantidad]]*Tabla3[[#This Row],[Cortes]]</f>
        <v>1575.3424657534247</v>
      </c>
      <c r="U303" s="511">
        <f t="shared" si="168"/>
        <v>1490.9459634201964</v>
      </c>
      <c r="V303" s="511">
        <f t="shared" si="169"/>
        <v>1490.6987119104622</v>
      </c>
      <c r="W303" s="497">
        <f>IF(Tabla3[[#This Row],[Fecha de operación]]=$C$1,0,U303-V303)</f>
        <v>0.24725150973426935</v>
      </c>
      <c r="X303" s="512" t="str">
        <f t="shared" si="178"/>
        <v>Vigente</v>
      </c>
      <c r="Y303" s="449" t="s">
        <v>450</v>
      </c>
      <c r="Z303" s="449">
        <f t="shared" si="179"/>
        <v>332</v>
      </c>
      <c r="AA303" s="445">
        <f t="shared" si="183"/>
        <v>1.349037702781376</v>
      </c>
      <c r="AB303" s="445">
        <f t="shared" si="183"/>
        <v>1.3283144403315852</v>
      </c>
      <c r="AC303" s="449" t="s">
        <v>451</v>
      </c>
      <c r="AD303" s="449" t="s">
        <v>454</v>
      </c>
      <c r="AG303" s="605">
        <f>+IF(Tabla3[[#This Row],[Amortización k | cupón de intereses]]="Amortización de K",Tabla3[[#This Row],[Valor Nominal]],0)</f>
        <v>0</v>
      </c>
      <c r="AH303" s="605">
        <f>+IF(AND(Tabla3[[#This Row],[Amortización k | cupón de intereses]]="Cupón de interés",Tabla3[[#This Row],[Estado]]="Vigente"),Tabla3[[#This Row],[Valor Nominal]],0)</f>
        <v>1575.3424657534247</v>
      </c>
      <c r="AI303" s="618">
        <f>+IF(Tabla3[[#This Row],[Amortización k | cupón de intereses]]="Amortización de K",SUMIFS($AH$7:$AH$557,Tabla3[Código Emisión],Tabla3[[#This Row],[Código Emisión]],Tabla3[Fecha de operación],Tabla3[[#This Row],[Fecha de operación]]),0)-Tabla3[[#This Row],[Accrued]]*Tabla3[[#This Row],[Valor Nominal]]</f>
        <v>0</v>
      </c>
      <c r="AJ303" s="605">
        <f>+IF(Tabla3[[#This Row],[Amortización k | cupón de intereses]]="Amortización de K",IF(Tabla3[[#This Row],[Precio Clean]]&gt;1,Tabla3[[#This Row],[Valor Nominal]]*(Tabla3[[#This Row],[Precio Clean]]-1),0),0)</f>
        <v>0</v>
      </c>
      <c r="AK303" s="605">
        <f>+IF(Tabla3[[#This Row],[Amortización k | cupón de intereses]]="Amortización de K",IF(Tabla3[[#This Row],[Precio Clean]]&lt;1,Tabla3[[#This Row],[Valor Nominal]]*(Tabla3[[#This Row],[Precio Clean]]-1),0),0)</f>
        <v>0</v>
      </c>
    </row>
    <row r="304" spans="1:37">
      <c r="A304" s="502"/>
      <c r="B304" s="437" t="s">
        <v>485</v>
      </c>
      <c r="C304" s="437" t="str">
        <f t="shared" ref="C304:C308" si="184">+C303</f>
        <v>BNF_6,25%_27082027_BB2416-22_100K</v>
      </c>
      <c r="D304" s="437" t="s">
        <v>453</v>
      </c>
      <c r="E304" s="437" t="str">
        <f t="shared" ref="E304:E308" si="185">+E303</f>
        <v>AA+py</v>
      </c>
      <c r="F304" s="437" t="s">
        <v>297</v>
      </c>
      <c r="G304" s="437" t="s">
        <v>298</v>
      </c>
      <c r="H304" s="437">
        <f t="shared" ref="H304:H308" si="186">+H303</f>
        <v>1</v>
      </c>
      <c r="I304" s="445">
        <v>1575.3424657534247</v>
      </c>
      <c r="J304" s="462"/>
      <c r="K304" s="450"/>
      <c r="L304" s="462"/>
      <c r="M304" s="493"/>
      <c r="N304" s="493"/>
      <c r="O304" s="462">
        <f t="shared" si="182"/>
        <v>6.2404689192771909E-2</v>
      </c>
      <c r="P304" s="462">
        <f t="shared" si="182"/>
        <v>6.0995292457546313E-2</v>
      </c>
      <c r="Q304" s="450">
        <f t="shared" si="182"/>
        <v>45945</v>
      </c>
      <c r="R304" s="450">
        <v>46352</v>
      </c>
      <c r="S304" s="509" t="s">
        <v>146</v>
      </c>
      <c r="T304" s="510">
        <f>Tabla3[[#This Row],[Cantidad]]*Tabla3[[#This Row],[Cortes]]</f>
        <v>1575.3424657534247</v>
      </c>
      <c r="U304" s="511">
        <f t="shared" si="168"/>
        <v>1513.8694283654168</v>
      </c>
      <c r="V304" s="511">
        <f t="shared" si="169"/>
        <v>1513.6183753354026</v>
      </c>
      <c r="W304" s="497">
        <f>IF(Tabla3[[#This Row],[Fecha de operación]]=$C$1,0,U304-V304)</f>
        <v>0.25105303001419088</v>
      </c>
      <c r="X304" s="512" t="str">
        <f t="shared" si="178"/>
        <v>Vigente</v>
      </c>
      <c r="Y304" s="449" t="s">
        <v>450</v>
      </c>
      <c r="Z304" s="449">
        <f t="shared" si="179"/>
        <v>240</v>
      </c>
      <c r="AA304" s="445">
        <f t="shared" si="183"/>
        <v>1.349037702781376</v>
      </c>
      <c r="AB304" s="445">
        <f t="shared" si="183"/>
        <v>1.3283144403315852</v>
      </c>
      <c r="AC304" s="449" t="s">
        <v>451</v>
      </c>
      <c r="AD304" s="449" t="s">
        <v>454</v>
      </c>
      <c r="AG304" s="605">
        <f>+IF(Tabla3[[#This Row],[Amortización k | cupón de intereses]]="Amortización de K",Tabla3[[#This Row],[Valor Nominal]],0)</f>
        <v>0</v>
      </c>
      <c r="AH304" s="605">
        <f>+IF(AND(Tabla3[[#This Row],[Amortización k | cupón de intereses]]="Cupón de interés",Tabla3[[#This Row],[Estado]]="Vigente"),Tabla3[[#This Row],[Valor Nominal]],0)</f>
        <v>1575.3424657534247</v>
      </c>
      <c r="AI304" s="618">
        <f>+IF(Tabla3[[#This Row],[Amortización k | cupón de intereses]]="Amortización de K",SUMIFS($AH$7:$AH$557,Tabla3[Código Emisión],Tabla3[[#This Row],[Código Emisión]],Tabla3[Fecha de operación],Tabla3[[#This Row],[Fecha de operación]]),0)-Tabla3[[#This Row],[Accrued]]*Tabla3[[#This Row],[Valor Nominal]]</f>
        <v>0</v>
      </c>
      <c r="AJ304" s="605">
        <f>+IF(Tabla3[[#This Row],[Amortización k | cupón de intereses]]="Amortización de K",IF(Tabla3[[#This Row],[Precio Clean]]&gt;1,Tabla3[[#This Row],[Valor Nominal]]*(Tabla3[[#This Row],[Precio Clean]]-1),0),0)</f>
        <v>0</v>
      </c>
      <c r="AK304" s="605">
        <f>+IF(Tabla3[[#This Row],[Amortización k | cupón de intereses]]="Amortización de K",IF(Tabla3[[#This Row],[Precio Clean]]&lt;1,Tabla3[[#This Row],[Valor Nominal]]*(Tabla3[[#This Row],[Precio Clean]]-1),0),0)</f>
        <v>0</v>
      </c>
    </row>
    <row r="305" spans="1:37">
      <c r="A305" s="502"/>
      <c r="B305" s="437" t="s">
        <v>485</v>
      </c>
      <c r="C305" s="437" t="str">
        <f t="shared" si="184"/>
        <v>BNF_6,25%_27082027_BB2416-22_100K</v>
      </c>
      <c r="D305" s="437" t="s">
        <v>453</v>
      </c>
      <c r="E305" s="437" t="str">
        <f t="shared" si="185"/>
        <v>AA+py</v>
      </c>
      <c r="F305" s="437" t="s">
        <v>297</v>
      </c>
      <c r="G305" s="437" t="s">
        <v>298</v>
      </c>
      <c r="H305" s="437">
        <f t="shared" si="186"/>
        <v>1</v>
      </c>
      <c r="I305" s="445">
        <v>1575.3424657534247</v>
      </c>
      <c r="J305" s="462"/>
      <c r="K305" s="450"/>
      <c r="L305" s="462"/>
      <c r="M305" s="493"/>
      <c r="N305" s="493"/>
      <c r="O305" s="462">
        <f t="shared" si="182"/>
        <v>6.2404689192771909E-2</v>
      </c>
      <c r="P305" s="462">
        <f t="shared" si="182"/>
        <v>6.0995292457546313E-2</v>
      </c>
      <c r="Q305" s="450">
        <f t="shared" si="182"/>
        <v>45945</v>
      </c>
      <c r="R305" s="450">
        <v>46260</v>
      </c>
      <c r="S305" s="509" t="s">
        <v>146</v>
      </c>
      <c r="T305" s="510">
        <f>Tabla3[[#This Row],[Cantidad]]*Tabla3[[#This Row],[Cortes]]</f>
        <v>1575.3424657534247</v>
      </c>
      <c r="U305" s="511">
        <f t="shared" si="168"/>
        <v>1537.1453442095878</v>
      </c>
      <c r="V305" s="511">
        <f t="shared" si="169"/>
        <v>1536.8904312104846</v>
      </c>
      <c r="W305" s="497">
        <f>IF(Tabla3[[#This Row],[Fecha de operación]]=$C$1,0,U305-V305)</f>
        <v>0.25491299910322596</v>
      </c>
      <c r="X305" s="512" t="str">
        <f t="shared" si="178"/>
        <v>Vigente</v>
      </c>
      <c r="Y305" s="449" t="s">
        <v>450</v>
      </c>
      <c r="Z305" s="449">
        <f t="shared" si="179"/>
        <v>148</v>
      </c>
      <c r="AA305" s="445">
        <f t="shared" si="183"/>
        <v>1.349037702781376</v>
      </c>
      <c r="AB305" s="445">
        <f t="shared" si="183"/>
        <v>1.3283144403315852</v>
      </c>
      <c r="AC305" s="449" t="s">
        <v>451</v>
      </c>
      <c r="AD305" s="449" t="s">
        <v>454</v>
      </c>
      <c r="AG305" s="605">
        <f>+IF(Tabla3[[#This Row],[Amortización k | cupón de intereses]]="Amortización de K",Tabla3[[#This Row],[Valor Nominal]],0)</f>
        <v>0</v>
      </c>
      <c r="AH305" s="605">
        <f>+IF(AND(Tabla3[[#This Row],[Amortización k | cupón de intereses]]="Cupón de interés",Tabla3[[#This Row],[Estado]]="Vigente"),Tabla3[[#This Row],[Valor Nominal]],0)</f>
        <v>1575.3424657534247</v>
      </c>
      <c r="AI305" s="618">
        <f>+IF(Tabla3[[#This Row],[Amortización k | cupón de intereses]]="Amortización de K",SUMIFS($AH$7:$AH$557,Tabla3[Código Emisión],Tabla3[[#This Row],[Código Emisión]],Tabla3[Fecha de operación],Tabla3[[#This Row],[Fecha de operación]]),0)-Tabla3[[#This Row],[Accrued]]*Tabla3[[#This Row],[Valor Nominal]]</f>
        <v>0</v>
      </c>
      <c r="AJ305" s="605">
        <f>+IF(Tabla3[[#This Row],[Amortización k | cupón de intereses]]="Amortización de K",IF(Tabla3[[#This Row],[Precio Clean]]&gt;1,Tabla3[[#This Row],[Valor Nominal]]*(Tabla3[[#This Row],[Precio Clean]]-1),0),0)</f>
        <v>0</v>
      </c>
      <c r="AK305" s="605">
        <f>+IF(Tabla3[[#This Row],[Amortización k | cupón de intereses]]="Amortización de K",IF(Tabla3[[#This Row],[Precio Clean]]&lt;1,Tabla3[[#This Row],[Valor Nominal]]*(Tabla3[[#This Row],[Precio Clean]]-1),0),0)</f>
        <v>0</v>
      </c>
    </row>
    <row r="306" spans="1:37">
      <c r="A306" s="502"/>
      <c r="B306" s="437" t="s">
        <v>485</v>
      </c>
      <c r="C306" s="437" t="str">
        <f t="shared" si="184"/>
        <v>BNF_6,25%_27082027_BB2416-22_100K</v>
      </c>
      <c r="D306" s="437" t="s">
        <v>453</v>
      </c>
      <c r="E306" s="437" t="str">
        <f t="shared" si="185"/>
        <v>AA+py</v>
      </c>
      <c r="F306" s="437" t="s">
        <v>297</v>
      </c>
      <c r="G306" s="437" t="s">
        <v>298</v>
      </c>
      <c r="H306" s="437">
        <f t="shared" si="186"/>
        <v>1</v>
      </c>
      <c r="I306" s="445">
        <v>1523.972602739726</v>
      </c>
      <c r="J306" s="462"/>
      <c r="K306" s="450"/>
      <c r="L306" s="462"/>
      <c r="M306" s="493"/>
      <c r="N306" s="493"/>
      <c r="O306" s="462">
        <f t="shared" si="182"/>
        <v>6.2404689192771909E-2</v>
      </c>
      <c r="P306" s="462">
        <f t="shared" si="182"/>
        <v>6.0995292457546313E-2</v>
      </c>
      <c r="Q306" s="450">
        <f t="shared" si="182"/>
        <v>45945</v>
      </c>
      <c r="R306" s="450">
        <v>46168</v>
      </c>
      <c r="S306" s="509" t="s">
        <v>146</v>
      </c>
      <c r="T306" s="510">
        <f>Tabla3[[#This Row],[Cantidad]]*Tabla3[[#This Row],[Cortes]]</f>
        <v>1523.972602739726</v>
      </c>
      <c r="U306" s="511">
        <f t="shared" si="168"/>
        <v>1509.8841582976374</v>
      </c>
      <c r="V306" s="511">
        <f t="shared" si="169"/>
        <v>1509.6337661661839</v>
      </c>
      <c r="W306" s="497">
        <f>IF(Tabla3[[#This Row],[Fecha de operación]]=$C$1,0,U306-V306)</f>
        <v>0.25039213145350914</v>
      </c>
      <c r="X306" s="512" t="str">
        <f t="shared" si="178"/>
        <v>Vigente</v>
      </c>
      <c r="Y306" s="449" t="s">
        <v>450</v>
      </c>
      <c r="Z306" s="449">
        <f t="shared" si="179"/>
        <v>56</v>
      </c>
      <c r="AA306" s="445">
        <f t="shared" si="183"/>
        <v>1.349037702781376</v>
      </c>
      <c r="AB306" s="445">
        <f t="shared" si="183"/>
        <v>1.3283144403315852</v>
      </c>
      <c r="AC306" s="449" t="s">
        <v>451</v>
      </c>
      <c r="AD306" s="449" t="s">
        <v>454</v>
      </c>
      <c r="AG306" s="605">
        <f>+IF(Tabla3[[#This Row],[Amortización k | cupón de intereses]]="Amortización de K",Tabla3[[#This Row],[Valor Nominal]],0)</f>
        <v>0</v>
      </c>
      <c r="AH306" s="605">
        <f>+IF(AND(Tabla3[[#This Row],[Amortización k | cupón de intereses]]="Cupón de interés",Tabla3[[#This Row],[Estado]]="Vigente"),Tabla3[[#This Row],[Valor Nominal]],0)</f>
        <v>1523.972602739726</v>
      </c>
      <c r="AI306" s="618">
        <f>+IF(Tabla3[[#This Row],[Amortización k | cupón de intereses]]="Amortización de K",SUMIFS($AH$7:$AH$557,Tabla3[Código Emisión],Tabla3[[#This Row],[Código Emisión]],Tabla3[Fecha de operación],Tabla3[[#This Row],[Fecha de operación]]),0)-Tabla3[[#This Row],[Accrued]]*Tabla3[[#This Row],[Valor Nominal]]</f>
        <v>0</v>
      </c>
      <c r="AJ306" s="605">
        <f>+IF(Tabla3[[#This Row],[Amortización k | cupón de intereses]]="Amortización de K",IF(Tabla3[[#This Row],[Precio Clean]]&gt;1,Tabla3[[#This Row],[Valor Nominal]]*(Tabla3[[#This Row],[Precio Clean]]-1),0),0)</f>
        <v>0</v>
      </c>
      <c r="AK306" s="605">
        <f>+IF(Tabla3[[#This Row],[Amortización k | cupón de intereses]]="Amortización de K",IF(Tabla3[[#This Row],[Precio Clean]]&lt;1,Tabla3[[#This Row],[Valor Nominal]]*(Tabla3[[#This Row],[Precio Clean]]-1),0),0)</f>
        <v>0</v>
      </c>
    </row>
    <row r="307" spans="1:37">
      <c r="A307" s="502"/>
      <c r="B307" s="437" t="s">
        <v>485</v>
      </c>
      <c r="C307" s="437" t="str">
        <f t="shared" si="184"/>
        <v>BNF_6,25%_27082027_BB2416-22_100K</v>
      </c>
      <c r="D307" s="437" t="s">
        <v>453</v>
      </c>
      <c r="E307" s="437" t="str">
        <f t="shared" si="185"/>
        <v>AA+py</v>
      </c>
      <c r="F307" s="437" t="s">
        <v>297</v>
      </c>
      <c r="G307" s="437" t="s">
        <v>298</v>
      </c>
      <c r="H307" s="437">
        <f t="shared" si="186"/>
        <v>1</v>
      </c>
      <c r="I307" s="445">
        <v>1575.3424657534247</v>
      </c>
      <c r="J307" s="462"/>
      <c r="K307" s="450"/>
      <c r="L307" s="462"/>
      <c r="M307" s="493"/>
      <c r="N307" s="493"/>
      <c r="O307" s="462">
        <f t="shared" si="182"/>
        <v>6.2404689192771909E-2</v>
      </c>
      <c r="P307" s="462">
        <f t="shared" si="182"/>
        <v>6.0995292457546313E-2</v>
      </c>
      <c r="Q307" s="450">
        <f t="shared" si="182"/>
        <v>45945</v>
      </c>
      <c r="R307" s="450">
        <v>46079</v>
      </c>
      <c r="S307" s="509" t="s">
        <v>146</v>
      </c>
      <c r="T307" s="510">
        <f>Tabla3[[#This Row],[Cantidad]]*Tabla3[[#This Row],[Cortes]]</f>
        <v>1575.3424657534247</v>
      </c>
      <c r="U307" s="511" t="b">
        <f t="shared" si="168"/>
        <v>0</v>
      </c>
      <c r="V307" s="511" t="b">
        <f t="shared" si="169"/>
        <v>0</v>
      </c>
      <c r="W307" s="497">
        <f>IF(Tabla3[[#This Row],[Fecha de operación]]=$C$1,0,U307-V307)</f>
        <v>0</v>
      </c>
      <c r="X307" s="512" t="str">
        <f t="shared" si="178"/>
        <v>Vencido</v>
      </c>
      <c r="Y307" s="449" t="s">
        <v>450</v>
      </c>
      <c r="Z307" s="449">
        <f t="shared" si="179"/>
        <v>-33</v>
      </c>
      <c r="AA307" s="445">
        <f t="shared" si="183"/>
        <v>1.349037702781376</v>
      </c>
      <c r="AB307" s="445">
        <f t="shared" si="183"/>
        <v>1.3283144403315852</v>
      </c>
      <c r="AC307" s="449" t="s">
        <v>451</v>
      </c>
      <c r="AD307" s="449" t="s">
        <v>454</v>
      </c>
      <c r="AG307" s="605">
        <f>+IF(Tabla3[[#This Row],[Amortización k | cupón de intereses]]="Amortización de K",Tabla3[[#This Row],[Valor Nominal]],0)</f>
        <v>0</v>
      </c>
      <c r="AH307" s="605">
        <f>+IF(AND(Tabla3[[#This Row],[Amortización k | cupón de intereses]]="Cupón de interés",Tabla3[[#This Row],[Estado]]="Vigente"),Tabla3[[#This Row],[Valor Nominal]],0)</f>
        <v>0</v>
      </c>
      <c r="AI307" s="618">
        <f>+IF(Tabla3[[#This Row],[Amortización k | cupón de intereses]]="Amortización de K",SUMIFS($AH$7:$AH$557,Tabla3[Código Emisión],Tabla3[[#This Row],[Código Emisión]],Tabla3[Fecha de operación],Tabla3[[#This Row],[Fecha de operación]]),0)-Tabla3[[#This Row],[Accrued]]*Tabla3[[#This Row],[Valor Nominal]]</f>
        <v>0</v>
      </c>
      <c r="AJ307" s="605">
        <f>+IF(Tabla3[[#This Row],[Amortización k | cupón de intereses]]="Amortización de K",IF(Tabla3[[#This Row],[Precio Clean]]&gt;1,Tabla3[[#This Row],[Valor Nominal]]*(Tabla3[[#This Row],[Precio Clean]]-1),0),0)</f>
        <v>0</v>
      </c>
      <c r="AK307" s="605">
        <f>+IF(Tabla3[[#This Row],[Amortización k | cupón de intereses]]="Amortización de K",IF(Tabla3[[#This Row],[Precio Clean]]&lt;1,Tabla3[[#This Row],[Valor Nominal]]*(Tabla3[[#This Row],[Precio Clean]]-1),0),0)</f>
        <v>0</v>
      </c>
    </row>
    <row r="308" spans="1:37">
      <c r="A308" s="502"/>
      <c r="B308" s="437" t="s">
        <v>485</v>
      </c>
      <c r="C308" s="437" t="str">
        <f t="shared" si="184"/>
        <v>BNF_6,25%_27082027_BB2416-22_100K</v>
      </c>
      <c r="D308" s="437" t="s">
        <v>453</v>
      </c>
      <c r="E308" s="437" t="str">
        <f t="shared" si="185"/>
        <v>AA+py</v>
      </c>
      <c r="F308" s="437" t="s">
        <v>297</v>
      </c>
      <c r="G308" s="437" t="s">
        <v>298</v>
      </c>
      <c r="H308" s="437">
        <f t="shared" si="186"/>
        <v>1</v>
      </c>
      <c r="I308" s="445">
        <v>1575.3424657534247</v>
      </c>
      <c r="J308" s="462"/>
      <c r="K308" s="450"/>
      <c r="L308" s="462"/>
      <c r="M308" s="493"/>
      <c r="N308" s="493"/>
      <c r="O308" s="462">
        <f t="shared" si="182"/>
        <v>6.2404689192771909E-2</v>
      </c>
      <c r="P308" s="462">
        <f t="shared" si="182"/>
        <v>6.0995292457546313E-2</v>
      </c>
      <c r="Q308" s="450">
        <f t="shared" si="182"/>
        <v>45945</v>
      </c>
      <c r="R308" s="450">
        <v>45987</v>
      </c>
      <c r="S308" s="509" t="s">
        <v>146</v>
      </c>
      <c r="T308" s="510">
        <f>Tabla3[[#This Row],[Cantidad]]*Tabla3[[#This Row],[Cortes]]</f>
        <v>1575.3424657534247</v>
      </c>
      <c r="U308" s="511" t="b">
        <f t="shared" si="168"/>
        <v>0</v>
      </c>
      <c r="V308" s="511" t="b">
        <f t="shared" si="169"/>
        <v>0</v>
      </c>
      <c r="W308" s="497">
        <f>IF(Tabla3[[#This Row],[Fecha de operación]]=$C$1,0,U308-V308)</f>
        <v>0</v>
      </c>
      <c r="X308" s="512" t="str">
        <f t="shared" si="178"/>
        <v>Vencido</v>
      </c>
      <c r="Y308" s="449" t="s">
        <v>450</v>
      </c>
      <c r="Z308" s="449">
        <f t="shared" si="179"/>
        <v>-125</v>
      </c>
      <c r="AA308" s="445">
        <f t="shared" si="183"/>
        <v>1.349037702781376</v>
      </c>
      <c r="AB308" s="445">
        <f t="shared" si="183"/>
        <v>1.3283144403315852</v>
      </c>
      <c r="AC308" s="449" t="s">
        <v>451</v>
      </c>
      <c r="AD308" s="449" t="s">
        <v>454</v>
      </c>
      <c r="AG308" s="605">
        <f>+IF(Tabla3[[#This Row],[Amortización k | cupón de intereses]]="Amortización de K",Tabla3[[#This Row],[Valor Nominal]],0)</f>
        <v>0</v>
      </c>
      <c r="AH308" s="605">
        <f>+IF(AND(Tabla3[[#This Row],[Amortización k | cupón de intereses]]="Cupón de interés",Tabla3[[#This Row],[Estado]]="Vigente"),Tabla3[[#This Row],[Valor Nominal]],0)</f>
        <v>0</v>
      </c>
      <c r="AI308" s="618">
        <f>+IF(Tabla3[[#This Row],[Amortización k | cupón de intereses]]="Amortización de K",SUMIFS($AH$7:$AH$557,Tabla3[Código Emisión],Tabla3[[#This Row],[Código Emisión]],Tabla3[Fecha de operación],Tabla3[[#This Row],[Fecha de operación]]),0)-Tabla3[[#This Row],[Accrued]]*Tabla3[[#This Row],[Valor Nominal]]</f>
        <v>0</v>
      </c>
      <c r="AJ308" s="605">
        <f>+IF(Tabla3[[#This Row],[Amortización k | cupón de intereses]]="Amortización de K",IF(Tabla3[[#This Row],[Precio Clean]]&gt;1,Tabla3[[#This Row],[Valor Nominal]]*(Tabla3[[#This Row],[Precio Clean]]-1),0),0)</f>
        <v>0</v>
      </c>
      <c r="AK308" s="605">
        <f>+IF(Tabla3[[#This Row],[Amortización k | cupón de intereses]]="Amortización de K",IF(Tabla3[[#This Row],[Precio Clean]]&lt;1,Tabla3[[#This Row],[Valor Nominal]]*(Tabla3[[#This Row],[Precio Clean]]-1),0),0)</f>
        <v>0</v>
      </c>
    </row>
    <row r="309" spans="1:37" ht="15">
      <c r="A309" s="500">
        <f>+A299+1</f>
        <v>28</v>
      </c>
      <c r="B309" s="475" t="s">
        <v>522</v>
      </c>
      <c r="C309" s="475" t="s">
        <v>566</v>
      </c>
      <c r="D309" s="475" t="s">
        <v>453</v>
      </c>
      <c r="E309" s="475" t="s">
        <v>449</v>
      </c>
      <c r="F309" s="475" t="s">
        <v>297</v>
      </c>
      <c r="G309" s="475" t="s">
        <v>298</v>
      </c>
      <c r="H309" s="475">
        <v>4</v>
      </c>
      <c r="I309" s="477">
        <v>25000</v>
      </c>
      <c r="J309" s="478">
        <v>6.8500000000000005E-2</v>
      </c>
      <c r="K309" s="479">
        <f>_xlfn.MAXIFS(R:R,C:C,C309,AD:AD,"Cupón de interés",X:X,"Vencido")</f>
        <v>46108</v>
      </c>
      <c r="L309" s="478">
        <f>+Tabla3[[#This Row],[Tasa de Interés]]*($U$5-Tabla3[[#This Row],[Last coupon]])/365</f>
        <v>7.5068493150684935E-4</v>
      </c>
      <c r="M309" s="480">
        <f>+Tabla3[[#This Row],[Precio Dirty]]-Tabla3[[#This Row],[Accrued]]</f>
        <v>1.0064233911365155</v>
      </c>
      <c r="N309" s="481">
        <f>SUMIFS(U:U,C:C,C309,Q:Q,Q309)/SUMIFS(T:T,C:C,C309,Q:Q,Q309,AD:AD,"Amortización de K")</f>
        <v>1.0071740760680223</v>
      </c>
      <c r="O309" s="482">
        <v>6.5548399090766915E-2</v>
      </c>
      <c r="P309" s="482">
        <f>+NOMINAL(Tabla3[[#This Row],[YTM]],4)</f>
        <v>6.3996137911160211E-2</v>
      </c>
      <c r="Q309" s="484">
        <v>45953</v>
      </c>
      <c r="R309" s="450">
        <v>46664</v>
      </c>
      <c r="S309" s="504" t="s">
        <v>146</v>
      </c>
      <c r="T309" s="510">
        <f>Tabla3[[#This Row],[Cantidad]]*Tabla3[[#This Row],[Cortes]]</f>
        <v>100000</v>
      </c>
      <c r="U309" s="511">
        <f t="shared" si="168"/>
        <v>90844.844379522197</v>
      </c>
      <c r="V309" s="511">
        <f t="shared" si="169"/>
        <v>90829.043829358037</v>
      </c>
      <c r="W309" s="497">
        <f>IF(Tabla3[[#This Row],[Fecha de operación]]=$C$1,0,U309-V309)</f>
        <v>15.800550164160086</v>
      </c>
      <c r="X309" s="507" t="str">
        <f t="shared" si="178"/>
        <v>Vigente</v>
      </c>
      <c r="Y309" s="489" t="s">
        <v>450</v>
      </c>
      <c r="Z309" s="488">
        <f t="shared" si="179"/>
        <v>552</v>
      </c>
      <c r="AA309" s="508">
        <f>IF(Y309="Mensual",DURATION($C$1,$C$1+Z309*12,J309/12,O309/12,1)/12,DURATION($C$1,R309,J309,O309,IF(Y309="Cupón cero",1,IF(Y309="Al vencimiento",1,IF(Y309="Anual",1,IF(Y309="Semestral",2,IF(Y309="Trimestral",4,"")))))))</f>
        <v>1.4226306736848102</v>
      </c>
      <c r="AB309" s="508">
        <f>IF(Y309="Mensual",MDURATION($C$1,$C$1+Z309*12,J309/12,O309/12,1)/12,MDURATION($C$1,R309,J309,O309,IF(Y309="Cupón cero",1,IF(Y309="Al vencimiento",1,IF(Y309="Anual",1,IF(Y309="Semestral",2,IF(Y309="Trimestral",4,"")))))))</f>
        <v>1.3996937525111959</v>
      </c>
      <c r="AC309" s="488" t="s">
        <v>451</v>
      </c>
      <c r="AD309" s="488" t="s">
        <v>452</v>
      </c>
      <c r="AG309" s="605">
        <f>+IF(Tabla3[[#This Row],[Amortización k | cupón de intereses]]="Amortización de K",Tabla3[[#This Row],[Valor Nominal]],0)</f>
        <v>100000</v>
      </c>
      <c r="AH309" s="605">
        <f>+IF(AND(Tabla3[[#This Row],[Amortización k | cupón de intereses]]="Cupón de interés",Tabla3[[#This Row],[Estado]]="Vigente"),Tabla3[[#This Row],[Valor Nominal]],0)</f>
        <v>0</v>
      </c>
      <c r="AI309" s="618">
        <f>+IF(Tabla3[[#This Row],[Amortización k | cupón de intereses]]="Amortización de K",SUMIFS($AH$7:$AH$557,Tabla3[Código Emisión],Tabla3[[#This Row],[Código Emisión]],Tabla3[Fecha de operación],Tabla3[[#This Row],[Fecha de operación]]),0)-Tabla3[[#This Row],[Accrued]]*Tabla3[[#This Row],[Valor Nominal]]</f>
        <v>10359.451506849315</v>
      </c>
      <c r="AJ309" s="605">
        <f>+IF(Tabla3[[#This Row],[Amortización k | cupón de intereses]]="Amortización de K",IF(Tabla3[[#This Row],[Precio Clean]]&gt;1,Tabla3[[#This Row],[Valor Nominal]]*(Tabla3[[#This Row],[Precio Clean]]-1),0),0)</f>
        <v>642.33911365154665</v>
      </c>
      <c r="AK309" s="605">
        <f>+IF(Tabla3[[#This Row],[Amortización k | cupón de intereses]]="Amortización de K",IF(Tabla3[[#This Row],[Precio Clean]]&lt;1,Tabla3[[#This Row],[Valor Nominal]]*(Tabla3[[#This Row],[Precio Clean]]-1),0),0)</f>
        <v>0</v>
      </c>
    </row>
    <row r="310" spans="1:37">
      <c r="A310" s="502"/>
      <c r="B310" s="437" t="str">
        <f>+B309</f>
        <v>Zeta Banco SAECA</v>
      </c>
      <c r="C310" s="437" t="str">
        <f>+C309</f>
        <v>ZETA_6,85%_04102027_AB0701-52_25K</v>
      </c>
      <c r="D310" s="437" t="s">
        <v>453</v>
      </c>
      <c r="E310" s="437" t="str">
        <f>+E309</f>
        <v>AA-py</v>
      </c>
      <c r="F310" s="437" t="s">
        <v>297</v>
      </c>
      <c r="G310" s="437" t="s">
        <v>298</v>
      </c>
      <c r="H310" s="437">
        <f>+H309</f>
        <v>4</v>
      </c>
      <c r="I310" s="445">
        <v>492.64</v>
      </c>
      <c r="J310" s="462"/>
      <c r="K310" s="450"/>
      <c r="L310" s="462"/>
      <c r="M310" s="493"/>
      <c r="N310" s="493"/>
      <c r="O310" s="516">
        <f t="shared" ref="O310:Q317" si="187">+O309</f>
        <v>6.5548399090766915E-2</v>
      </c>
      <c r="P310" s="516">
        <f t="shared" si="187"/>
        <v>6.3996137911160211E-2</v>
      </c>
      <c r="Q310" s="450">
        <f t="shared" si="187"/>
        <v>45953</v>
      </c>
      <c r="R310" s="450">
        <v>46664</v>
      </c>
      <c r="S310" s="509" t="s">
        <v>146</v>
      </c>
      <c r="T310" s="510">
        <f>Tabla3[[#This Row],[Cantidad]]*Tabla3[[#This Row],[Cortes]]</f>
        <v>1970.56</v>
      </c>
      <c r="U310" s="511">
        <f t="shared" si="168"/>
        <v>1790.1521654051128</v>
      </c>
      <c r="V310" s="511">
        <f t="shared" si="169"/>
        <v>1789.8408060837978</v>
      </c>
      <c r="W310" s="497">
        <f>IF(Tabla3[[#This Row],[Fecha de operación]]=$C$1,0,U310-V310)</f>
        <v>0.31135932131496702</v>
      </c>
      <c r="X310" s="512" t="str">
        <f t="shared" si="178"/>
        <v>Vigente</v>
      </c>
      <c r="Y310" s="517" t="s">
        <v>450</v>
      </c>
      <c r="Z310" s="449">
        <f t="shared" si="179"/>
        <v>552</v>
      </c>
      <c r="AA310" s="518">
        <f t="shared" ref="AA310:AB317" si="188">+AA309</f>
        <v>1.4226306736848102</v>
      </c>
      <c r="AB310" s="518">
        <f t="shared" si="188"/>
        <v>1.3996937525111959</v>
      </c>
      <c r="AC310" s="449" t="s">
        <v>451</v>
      </c>
      <c r="AD310" s="449" t="s">
        <v>454</v>
      </c>
      <c r="AG310" s="605">
        <f>+IF(Tabla3[[#This Row],[Amortización k | cupón de intereses]]="Amortización de K",Tabla3[[#This Row],[Valor Nominal]],0)</f>
        <v>0</v>
      </c>
      <c r="AH310" s="605">
        <f>+IF(AND(Tabla3[[#This Row],[Amortización k | cupón de intereses]]="Cupón de interés",Tabla3[[#This Row],[Estado]]="Vigente"),Tabla3[[#This Row],[Valor Nominal]],0)</f>
        <v>1970.56</v>
      </c>
      <c r="AI310" s="618">
        <f>+IF(Tabla3[[#This Row],[Amortización k | cupón de intereses]]="Amortización de K",SUMIFS($AH$7:$AH$557,Tabla3[Código Emisión],Tabla3[[#This Row],[Código Emisión]],Tabla3[Fecha de operación],Tabla3[[#This Row],[Fecha de operación]]),0)-Tabla3[[#This Row],[Accrued]]*Tabla3[[#This Row],[Valor Nominal]]</f>
        <v>0</v>
      </c>
      <c r="AJ310" s="605">
        <f>+IF(Tabla3[[#This Row],[Amortización k | cupón de intereses]]="Amortización de K",IF(Tabla3[[#This Row],[Precio Clean]]&gt;1,Tabla3[[#This Row],[Valor Nominal]]*(Tabla3[[#This Row],[Precio Clean]]-1),0),0)</f>
        <v>0</v>
      </c>
      <c r="AK310" s="605">
        <f>+IF(Tabla3[[#This Row],[Amortización k | cupón de intereses]]="Amortización de K",IF(Tabla3[[#This Row],[Precio Clean]]&lt;1,Tabla3[[#This Row],[Valor Nominal]]*(Tabla3[[#This Row],[Precio Clean]]-1),0),0)</f>
        <v>0</v>
      </c>
    </row>
    <row r="311" spans="1:37">
      <c r="A311" s="502"/>
      <c r="B311" s="437" t="str">
        <f t="shared" ref="B311:C317" si="189">+B310</f>
        <v>Zeta Banco SAECA</v>
      </c>
      <c r="C311" s="437" t="str">
        <f>+C310</f>
        <v>ZETA_6,85%_04102027_AB0701-52_25K</v>
      </c>
      <c r="D311" s="437" t="s">
        <v>453</v>
      </c>
      <c r="E311" s="437" t="str">
        <f>+E310</f>
        <v>AA-py</v>
      </c>
      <c r="F311" s="437" t="s">
        <v>297</v>
      </c>
      <c r="G311" s="437" t="s">
        <v>298</v>
      </c>
      <c r="H311" s="437">
        <f>+H310</f>
        <v>4</v>
      </c>
      <c r="I311" s="445">
        <v>426.95</v>
      </c>
      <c r="J311" s="462"/>
      <c r="K311" s="450"/>
      <c r="L311" s="462"/>
      <c r="M311" s="493"/>
      <c r="N311" s="493"/>
      <c r="O311" s="516">
        <f t="shared" si="187"/>
        <v>6.5548399090766915E-2</v>
      </c>
      <c r="P311" s="516">
        <f t="shared" si="187"/>
        <v>6.3996137911160211E-2</v>
      </c>
      <c r="Q311" s="450">
        <f t="shared" si="187"/>
        <v>45953</v>
      </c>
      <c r="R311" s="450">
        <v>46559</v>
      </c>
      <c r="S311" s="509" t="s">
        <v>146</v>
      </c>
      <c r="T311" s="510">
        <f>Tabla3[[#This Row],[Cantidad]]*Tabla3[[#This Row],[Cortes]]</f>
        <v>1707.8</v>
      </c>
      <c r="U311" s="511">
        <f t="shared" si="168"/>
        <v>1580.0444525901469</v>
      </c>
      <c r="V311" s="511">
        <f t="shared" si="169"/>
        <v>1579.7696370867984</v>
      </c>
      <c r="W311" s="497">
        <f>IF(Tabla3[[#This Row],[Fecha de operación]]=$C$1,0,U311-V311)</f>
        <v>0.27481550334846361</v>
      </c>
      <c r="X311" s="512" t="str">
        <f t="shared" si="178"/>
        <v>Vigente</v>
      </c>
      <c r="Y311" s="517" t="s">
        <v>450</v>
      </c>
      <c r="Z311" s="449">
        <f t="shared" si="179"/>
        <v>447</v>
      </c>
      <c r="AA311" s="518">
        <f t="shared" si="188"/>
        <v>1.4226306736848102</v>
      </c>
      <c r="AB311" s="518">
        <f t="shared" si="188"/>
        <v>1.3996937525111959</v>
      </c>
      <c r="AC311" s="449" t="s">
        <v>451</v>
      </c>
      <c r="AD311" s="449" t="s">
        <v>454</v>
      </c>
      <c r="AG311" s="605">
        <f>+IF(Tabla3[[#This Row],[Amortización k | cupón de intereses]]="Amortización de K",Tabla3[[#This Row],[Valor Nominal]],0)</f>
        <v>0</v>
      </c>
      <c r="AH311" s="605">
        <f>+IF(AND(Tabla3[[#This Row],[Amortización k | cupón de intereses]]="Cupón de interés",Tabla3[[#This Row],[Estado]]="Vigente"),Tabla3[[#This Row],[Valor Nominal]],0)</f>
        <v>1707.8</v>
      </c>
      <c r="AI311" s="618">
        <f>+IF(Tabla3[[#This Row],[Amortización k | cupón de intereses]]="Amortización de K",SUMIFS($AH$7:$AH$557,Tabla3[Código Emisión],Tabla3[[#This Row],[Código Emisión]],Tabla3[Fecha de operación],Tabla3[[#This Row],[Fecha de operación]]),0)-Tabla3[[#This Row],[Accrued]]*Tabla3[[#This Row],[Valor Nominal]]</f>
        <v>0</v>
      </c>
      <c r="AJ311" s="605">
        <f>+IF(Tabla3[[#This Row],[Amortización k | cupón de intereses]]="Amortización de K",IF(Tabla3[[#This Row],[Precio Clean]]&gt;1,Tabla3[[#This Row],[Valor Nominal]]*(Tabla3[[#This Row],[Precio Clean]]-1),0),0)</f>
        <v>0</v>
      </c>
      <c r="AK311" s="605">
        <f>+IF(Tabla3[[#This Row],[Amortización k | cupón de intereses]]="Amortización de K",IF(Tabla3[[#This Row],[Precio Clean]]&lt;1,Tabla3[[#This Row],[Valor Nominal]]*(Tabla3[[#This Row],[Precio Clean]]-1),0),0)</f>
        <v>0</v>
      </c>
    </row>
    <row r="312" spans="1:37">
      <c r="A312" s="502"/>
      <c r="B312" s="437" t="str">
        <f t="shared" si="189"/>
        <v>Zeta Banco SAECA</v>
      </c>
      <c r="C312" s="437" t="str">
        <f>+C311</f>
        <v>ZETA_6,85%_04102027_AB0701-52_25K</v>
      </c>
      <c r="D312" s="437" t="s">
        <v>453</v>
      </c>
      <c r="E312" s="437" t="str">
        <f>+E311</f>
        <v>AA-py</v>
      </c>
      <c r="F312" s="437" t="s">
        <v>297</v>
      </c>
      <c r="G312" s="437" t="s">
        <v>298</v>
      </c>
      <c r="H312" s="437">
        <f>+H311</f>
        <v>4</v>
      </c>
      <c r="I312" s="445">
        <v>422.26</v>
      </c>
      <c r="J312" s="462"/>
      <c r="K312" s="450"/>
      <c r="L312" s="462"/>
      <c r="M312" s="493"/>
      <c r="N312" s="493"/>
      <c r="O312" s="516">
        <f t="shared" si="187"/>
        <v>6.5548399090766915E-2</v>
      </c>
      <c r="P312" s="516">
        <f t="shared" si="187"/>
        <v>6.3996137911160211E-2</v>
      </c>
      <c r="Q312" s="450">
        <f t="shared" si="187"/>
        <v>45953</v>
      </c>
      <c r="R312" s="450">
        <v>46468</v>
      </c>
      <c r="S312" s="509" t="s">
        <v>146</v>
      </c>
      <c r="T312" s="510">
        <f>Tabla3[[#This Row],[Cantidad]]*Tabla3[[#This Row],[Cortes]]</f>
        <v>1689.04</v>
      </c>
      <c r="U312" s="511">
        <f t="shared" si="168"/>
        <v>1587.6202893208658</v>
      </c>
      <c r="V312" s="511">
        <f t="shared" si="169"/>
        <v>1587.3441561600421</v>
      </c>
      <c r="W312" s="497">
        <f>IF(Tabla3[[#This Row],[Fecha de operación]]=$C$1,0,U312-V312)</f>
        <v>0.27613316082374695</v>
      </c>
      <c r="X312" s="512" t="str">
        <f t="shared" si="178"/>
        <v>Vigente</v>
      </c>
      <c r="Y312" s="517" t="s">
        <v>450</v>
      </c>
      <c r="Z312" s="449">
        <f t="shared" si="179"/>
        <v>356</v>
      </c>
      <c r="AA312" s="518">
        <f t="shared" si="188"/>
        <v>1.4226306736848102</v>
      </c>
      <c r="AB312" s="518">
        <f t="shared" si="188"/>
        <v>1.3996937525111959</v>
      </c>
      <c r="AC312" s="449" t="s">
        <v>451</v>
      </c>
      <c r="AD312" s="449" t="s">
        <v>454</v>
      </c>
      <c r="AG312" s="605">
        <f>+IF(Tabla3[[#This Row],[Amortización k | cupón de intereses]]="Amortización de K",Tabla3[[#This Row],[Valor Nominal]],0)</f>
        <v>0</v>
      </c>
      <c r="AH312" s="605">
        <f>+IF(AND(Tabla3[[#This Row],[Amortización k | cupón de intereses]]="Cupón de interés",Tabla3[[#This Row],[Estado]]="Vigente"),Tabla3[[#This Row],[Valor Nominal]],0)</f>
        <v>1689.04</v>
      </c>
      <c r="AI312" s="618">
        <f>+IF(Tabla3[[#This Row],[Amortización k | cupón de intereses]]="Amortización de K",SUMIFS($AH$7:$AH$557,Tabla3[Código Emisión],Tabla3[[#This Row],[Código Emisión]],Tabla3[Fecha de operación],Tabla3[[#This Row],[Fecha de operación]]),0)-Tabla3[[#This Row],[Accrued]]*Tabla3[[#This Row],[Valor Nominal]]</f>
        <v>0</v>
      </c>
      <c r="AJ312" s="605">
        <f>+IF(Tabla3[[#This Row],[Amortización k | cupón de intereses]]="Amortización de K",IF(Tabla3[[#This Row],[Precio Clean]]&gt;1,Tabla3[[#This Row],[Valor Nominal]]*(Tabla3[[#This Row],[Precio Clean]]-1),0),0)</f>
        <v>0</v>
      </c>
      <c r="AK312" s="605">
        <f>+IF(Tabla3[[#This Row],[Amortización k | cupón de intereses]]="Amortización de K",IF(Tabla3[[#This Row],[Precio Clean]]&lt;1,Tabla3[[#This Row],[Valor Nominal]]*(Tabla3[[#This Row],[Precio Clean]]-1),0),0)</f>
        <v>0</v>
      </c>
    </row>
    <row r="313" spans="1:37">
      <c r="A313" s="502"/>
      <c r="B313" s="437" t="str">
        <f t="shared" si="189"/>
        <v>Zeta Banco SAECA</v>
      </c>
      <c r="C313" s="437" t="str">
        <f>+C312</f>
        <v>ZETA_6,85%_04102027_AB0701-52_25K</v>
      </c>
      <c r="D313" s="437" t="s">
        <v>453</v>
      </c>
      <c r="E313" s="437" t="str">
        <f>+E312</f>
        <v>AA-py</v>
      </c>
      <c r="F313" s="437" t="s">
        <v>297</v>
      </c>
      <c r="G313" s="437" t="s">
        <v>298</v>
      </c>
      <c r="H313" s="437">
        <f>+H312</f>
        <v>4</v>
      </c>
      <c r="I313" s="445">
        <v>422.26</v>
      </c>
      <c r="J313" s="462"/>
      <c r="K313" s="450"/>
      <c r="L313" s="462"/>
      <c r="M313" s="493"/>
      <c r="N313" s="493"/>
      <c r="O313" s="516">
        <f t="shared" si="187"/>
        <v>6.5548399090766915E-2</v>
      </c>
      <c r="P313" s="516">
        <f t="shared" si="187"/>
        <v>6.3996137911160211E-2</v>
      </c>
      <c r="Q313" s="450">
        <f t="shared" si="187"/>
        <v>45953</v>
      </c>
      <c r="R313" s="450">
        <v>46378</v>
      </c>
      <c r="S313" s="509" t="s">
        <v>146</v>
      </c>
      <c r="T313" s="510">
        <f>Tabla3[[#This Row],[Cantidad]]*Tabla3[[#This Row],[Cortes]]</f>
        <v>1689.04</v>
      </c>
      <c r="U313" s="511">
        <f t="shared" si="168"/>
        <v>1612.6699999110681</v>
      </c>
      <c r="V313" s="511">
        <f t="shared" si="169"/>
        <v>1612.389509879896</v>
      </c>
      <c r="W313" s="497">
        <f>IF(Tabla3[[#This Row],[Fecha de operación]]=$C$1,0,U313-V313)</f>
        <v>0.28049003117212123</v>
      </c>
      <c r="X313" s="512" t="str">
        <f t="shared" si="178"/>
        <v>Vigente</v>
      </c>
      <c r="Y313" s="517" t="s">
        <v>450</v>
      </c>
      <c r="Z313" s="449">
        <f t="shared" si="179"/>
        <v>266</v>
      </c>
      <c r="AA313" s="518">
        <f t="shared" si="188"/>
        <v>1.4226306736848102</v>
      </c>
      <c r="AB313" s="518">
        <f t="shared" si="188"/>
        <v>1.3996937525111959</v>
      </c>
      <c r="AC313" s="449" t="s">
        <v>451</v>
      </c>
      <c r="AD313" s="449" t="s">
        <v>454</v>
      </c>
      <c r="AG313" s="605">
        <f>+IF(Tabla3[[#This Row],[Amortización k | cupón de intereses]]="Amortización de K",Tabla3[[#This Row],[Valor Nominal]],0)</f>
        <v>0</v>
      </c>
      <c r="AH313" s="605">
        <f>+IF(AND(Tabla3[[#This Row],[Amortización k | cupón de intereses]]="Cupón de interés",Tabla3[[#This Row],[Estado]]="Vigente"),Tabla3[[#This Row],[Valor Nominal]],0)</f>
        <v>1689.04</v>
      </c>
      <c r="AI313" s="618">
        <f>+IF(Tabla3[[#This Row],[Amortización k | cupón de intereses]]="Amortización de K",SUMIFS($AH$7:$AH$557,Tabla3[Código Emisión],Tabla3[[#This Row],[Código Emisión]],Tabla3[Fecha de operación],Tabla3[[#This Row],[Fecha de operación]]),0)-Tabla3[[#This Row],[Accrued]]*Tabla3[[#This Row],[Valor Nominal]]</f>
        <v>0</v>
      </c>
      <c r="AJ313" s="605">
        <f>+IF(Tabla3[[#This Row],[Amortización k | cupón de intereses]]="Amortización de K",IF(Tabla3[[#This Row],[Precio Clean]]&gt;1,Tabla3[[#This Row],[Valor Nominal]]*(Tabla3[[#This Row],[Precio Clean]]-1),0),0)</f>
        <v>0</v>
      </c>
      <c r="AK313" s="605">
        <f>+IF(Tabla3[[#This Row],[Amortización k | cupón de intereses]]="Amortización de K",IF(Tabla3[[#This Row],[Precio Clean]]&lt;1,Tabla3[[#This Row],[Valor Nominal]]*(Tabla3[[#This Row],[Precio Clean]]-1),0),0)</f>
        <v>0</v>
      </c>
    </row>
    <row r="314" spans="1:37">
      <c r="A314" s="502"/>
      <c r="B314" s="437" t="str">
        <f t="shared" si="189"/>
        <v>Zeta Banco SAECA</v>
      </c>
      <c r="C314" s="437" t="str">
        <f t="shared" si="189"/>
        <v>ZETA_6,85%_04102027_AB0701-52_25K</v>
      </c>
      <c r="D314" s="437" t="s">
        <v>453</v>
      </c>
      <c r="E314" s="437" t="str">
        <f t="shared" ref="E314:E317" si="190">+E313</f>
        <v>AA-py</v>
      </c>
      <c r="F314" s="437" t="s">
        <v>297</v>
      </c>
      <c r="G314" s="437" t="s">
        <v>298</v>
      </c>
      <c r="H314" s="437">
        <f t="shared" ref="H314:H317" si="191">+H313</f>
        <v>4</v>
      </c>
      <c r="I314" s="445">
        <v>422.26</v>
      </c>
      <c r="J314" s="462"/>
      <c r="K314" s="450"/>
      <c r="L314" s="462"/>
      <c r="M314" s="493"/>
      <c r="N314" s="493"/>
      <c r="O314" s="516">
        <f t="shared" si="187"/>
        <v>6.5548399090766915E-2</v>
      </c>
      <c r="P314" s="516">
        <f t="shared" si="187"/>
        <v>6.3996137911160211E-2</v>
      </c>
      <c r="Q314" s="450">
        <f t="shared" si="187"/>
        <v>45953</v>
      </c>
      <c r="R314" s="450">
        <v>46288</v>
      </c>
      <c r="S314" s="509" t="s">
        <v>146</v>
      </c>
      <c r="T314" s="510">
        <f>Tabla3[[#This Row],[Cantidad]]*Tabla3[[#This Row],[Cortes]]</f>
        <v>1689.04</v>
      </c>
      <c r="U314" s="511">
        <f t="shared" si="168"/>
        <v>1638.1149485848814</v>
      </c>
      <c r="V314" s="511">
        <f t="shared" si="169"/>
        <v>1637.8300329400083</v>
      </c>
      <c r="W314" s="497">
        <f>IF(Tabla3[[#This Row],[Fecha de operación]]=$C$1,0,U314-V314)</f>
        <v>0.28491564487308096</v>
      </c>
      <c r="X314" s="512" t="str">
        <f t="shared" si="178"/>
        <v>Vigente</v>
      </c>
      <c r="Y314" s="517" t="s">
        <v>450</v>
      </c>
      <c r="Z314" s="449">
        <f t="shared" si="179"/>
        <v>176</v>
      </c>
      <c r="AA314" s="518">
        <f t="shared" si="188"/>
        <v>1.4226306736848102</v>
      </c>
      <c r="AB314" s="518">
        <f t="shared" si="188"/>
        <v>1.3996937525111959</v>
      </c>
      <c r="AC314" s="449" t="s">
        <v>451</v>
      </c>
      <c r="AD314" s="449" t="s">
        <v>454</v>
      </c>
      <c r="AG314" s="605">
        <f>+IF(Tabla3[[#This Row],[Amortización k | cupón de intereses]]="Amortización de K",Tabla3[[#This Row],[Valor Nominal]],0)</f>
        <v>0</v>
      </c>
      <c r="AH314" s="605">
        <f>+IF(AND(Tabla3[[#This Row],[Amortización k | cupón de intereses]]="Cupón de interés",Tabla3[[#This Row],[Estado]]="Vigente"),Tabla3[[#This Row],[Valor Nominal]],0)</f>
        <v>1689.04</v>
      </c>
      <c r="AI314" s="618">
        <f>+IF(Tabla3[[#This Row],[Amortización k | cupón de intereses]]="Amortización de K",SUMIFS($AH$7:$AH$557,Tabla3[Código Emisión],Tabla3[[#This Row],[Código Emisión]],Tabla3[Fecha de operación],Tabla3[[#This Row],[Fecha de operación]]),0)-Tabla3[[#This Row],[Accrued]]*Tabla3[[#This Row],[Valor Nominal]]</f>
        <v>0</v>
      </c>
      <c r="AJ314" s="605">
        <f>+IF(Tabla3[[#This Row],[Amortización k | cupón de intereses]]="Amortización de K",IF(Tabla3[[#This Row],[Precio Clean]]&gt;1,Tabla3[[#This Row],[Valor Nominal]]*(Tabla3[[#This Row],[Precio Clean]]-1),0),0)</f>
        <v>0</v>
      </c>
      <c r="AK314" s="605">
        <f>+IF(Tabla3[[#This Row],[Amortización k | cupón de intereses]]="Amortización de K",IF(Tabla3[[#This Row],[Precio Clean]]&lt;1,Tabla3[[#This Row],[Valor Nominal]]*(Tabla3[[#This Row],[Precio Clean]]-1),0),0)</f>
        <v>0</v>
      </c>
    </row>
    <row r="315" spans="1:37">
      <c r="A315" s="502"/>
      <c r="B315" s="437" t="str">
        <f t="shared" si="189"/>
        <v>Zeta Banco SAECA</v>
      </c>
      <c r="C315" s="437" t="str">
        <f t="shared" si="189"/>
        <v>ZETA_6,85%_04102027_AB0701-52_25K</v>
      </c>
      <c r="D315" s="437" t="s">
        <v>453</v>
      </c>
      <c r="E315" s="437" t="str">
        <f t="shared" si="190"/>
        <v>AA-py</v>
      </c>
      <c r="F315" s="437" t="s">
        <v>297</v>
      </c>
      <c r="G315" s="437" t="s">
        <v>298</v>
      </c>
      <c r="H315" s="437">
        <f t="shared" si="191"/>
        <v>4</v>
      </c>
      <c r="I315" s="445">
        <v>422.26</v>
      </c>
      <c r="J315" s="462"/>
      <c r="K315" s="450"/>
      <c r="L315" s="462"/>
      <c r="M315" s="493"/>
      <c r="N315" s="493"/>
      <c r="O315" s="516">
        <f t="shared" si="187"/>
        <v>6.5548399090766915E-2</v>
      </c>
      <c r="P315" s="516">
        <f t="shared" si="187"/>
        <v>6.3996137911160211E-2</v>
      </c>
      <c r="Q315" s="450">
        <f t="shared" si="187"/>
        <v>45953</v>
      </c>
      <c r="R315" s="450">
        <v>46198</v>
      </c>
      <c r="S315" s="509" t="s">
        <v>146</v>
      </c>
      <c r="T315" s="510">
        <f>Tabla3[[#This Row],[Cantidad]]*Tabla3[[#This Row],[Cortes]]</f>
        <v>1689.04</v>
      </c>
      <c r="U315" s="511">
        <f t="shared" si="168"/>
        <v>1663.9613714679554</v>
      </c>
      <c r="V315" s="511">
        <f t="shared" si="169"/>
        <v>1663.671960381386</v>
      </c>
      <c r="W315" s="497">
        <f>IF(Tabla3[[#This Row],[Fecha de operación]]=$C$1,0,U315-V315)</f>
        <v>0.28941108656931647</v>
      </c>
      <c r="X315" s="512" t="str">
        <f t="shared" si="178"/>
        <v>Vigente</v>
      </c>
      <c r="Y315" s="517" t="s">
        <v>450</v>
      </c>
      <c r="Z315" s="449">
        <f t="shared" si="179"/>
        <v>86</v>
      </c>
      <c r="AA315" s="518">
        <f t="shared" si="188"/>
        <v>1.4226306736848102</v>
      </c>
      <c r="AB315" s="518">
        <f t="shared" si="188"/>
        <v>1.3996937525111959</v>
      </c>
      <c r="AC315" s="449" t="s">
        <v>451</v>
      </c>
      <c r="AD315" s="449" t="s">
        <v>454</v>
      </c>
      <c r="AG315" s="605">
        <f>+IF(Tabla3[[#This Row],[Amortización k | cupón de intereses]]="Amortización de K",Tabla3[[#This Row],[Valor Nominal]],0)</f>
        <v>0</v>
      </c>
      <c r="AH315" s="605">
        <f>+IF(AND(Tabla3[[#This Row],[Amortización k | cupón de intereses]]="Cupón de interés",Tabla3[[#This Row],[Estado]]="Vigente"),Tabla3[[#This Row],[Valor Nominal]],0)</f>
        <v>1689.04</v>
      </c>
      <c r="AI315" s="618">
        <f>+IF(Tabla3[[#This Row],[Amortización k | cupón de intereses]]="Amortización de K",SUMIFS($AH$7:$AH$557,Tabla3[Código Emisión],Tabla3[[#This Row],[Código Emisión]],Tabla3[Fecha de operación],Tabla3[[#This Row],[Fecha de operación]]),0)-Tabla3[[#This Row],[Accrued]]*Tabla3[[#This Row],[Valor Nominal]]</f>
        <v>0</v>
      </c>
      <c r="AJ315" s="605">
        <f>+IF(Tabla3[[#This Row],[Amortización k | cupón de intereses]]="Amortización de K",IF(Tabla3[[#This Row],[Precio Clean]]&gt;1,Tabla3[[#This Row],[Valor Nominal]]*(Tabla3[[#This Row],[Precio Clean]]-1),0),0)</f>
        <v>0</v>
      </c>
      <c r="AK315" s="605">
        <f>+IF(Tabla3[[#This Row],[Amortización k | cupón de intereses]]="Amortización de K",IF(Tabla3[[#This Row],[Precio Clean]]&lt;1,Tabla3[[#This Row],[Valor Nominal]]*(Tabla3[[#This Row],[Precio Clean]]-1),0),0)</f>
        <v>0</v>
      </c>
    </row>
    <row r="316" spans="1:37">
      <c r="A316" s="502"/>
      <c r="B316" s="437" t="str">
        <f t="shared" si="189"/>
        <v>Zeta Banco SAECA</v>
      </c>
      <c r="C316" s="437" t="str">
        <f t="shared" si="189"/>
        <v>ZETA_6,85%_04102027_AB0701-52_25K</v>
      </c>
      <c r="D316" s="437" t="s">
        <v>453</v>
      </c>
      <c r="E316" s="437" t="str">
        <f t="shared" si="190"/>
        <v>AA-py</v>
      </c>
      <c r="F316" s="437" t="s">
        <v>297</v>
      </c>
      <c r="G316" s="437" t="s">
        <v>298</v>
      </c>
      <c r="H316" s="437">
        <f t="shared" si="191"/>
        <v>4</v>
      </c>
      <c r="I316" s="445">
        <v>412.88</v>
      </c>
      <c r="J316" s="462"/>
      <c r="K316" s="450"/>
      <c r="L316" s="462"/>
      <c r="M316" s="493"/>
      <c r="N316" s="493"/>
      <c r="O316" s="516">
        <f t="shared" si="187"/>
        <v>6.5548399090766915E-2</v>
      </c>
      <c r="P316" s="516">
        <f t="shared" si="187"/>
        <v>6.3996137911160211E-2</v>
      </c>
      <c r="Q316" s="450">
        <f t="shared" si="187"/>
        <v>45953</v>
      </c>
      <c r="R316" s="450">
        <v>46108</v>
      </c>
      <c r="S316" s="509" t="s">
        <v>146</v>
      </c>
      <c r="T316" s="510">
        <f>Tabla3[[#This Row],[Cantidad]]*Tabla3[[#This Row],[Cortes]]</f>
        <v>1651.52</v>
      </c>
      <c r="U316" s="511" t="b">
        <f t="shared" si="168"/>
        <v>0</v>
      </c>
      <c r="V316" s="511" t="b">
        <f t="shared" si="169"/>
        <v>0</v>
      </c>
      <c r="W316" s="497">
        <f>IF(Tabla3[[#This Row],[Fecha de operación]]=$C$1,0,U316-V316)</f>
        <v>0</v>
      </c>
      <c r="X316" s="512" t="str">
        <f t="shared" si="178"/>
        <v>Vencido</v>
      </c>
      <c r="Y316" s="517" t="s">
        <v>450</v>
      </c>
      <c r="Z316" s="449">
        <f t="shared" si="179"/>
        <v>-4</v>
      </c>
      <c r="AA316" s="518">
        <f t="shared" si="188"/>
        <v>1.4226306736848102</v>
      </c>
      <c r="AB316" s="518">
        <f t="shared" si="188"/>
        <v>1.3996937525111959</v>
      </c>
      <c r="AC316" s="449" t="s">
        <v>451</v>
      </c>
      <c r="AD316" s="449" t="s">
        <v>454</v>
      </c>
      <c r="AG316" s="605">
        <f>+IF(Tabla3[[#This Row],[Amortización k | cupón de intereses]]="Amortización de K",Tabla3[[#This Row],[Valor Nominal]],0)</f>
        <v>0</v>
      </c>
      <c r="AH316" s="605">
        <f>+IF(AND(Tabla3[[#This Row],[Amortización k | cupón de intereses]]="Cupón de interés",Tabla3[[#This Row],[Estado]]="Vigente"),Tabla3[[#This Row],[Valor Nominal]],0)</f>
        <v>0</v>
      </c>
      <c r="AI316" s="618">
        <f>+IF(Tabla3[[#This Row],[Amortización k | cupón de intereses]]="Amortización de K",SUMIFS($AH$7:$AH$557,Tabla3[Código Emisión],Tabla3[[#This Row],[Código Emisión]],Tabla3[Fecha de operación],Tabla3[[#This Row],[Fecha de operación]]),0)-Tabla3[[#This Row],[Accrued]]*Tabla3[[#This Row],[Valor Nominal]]</f>
        <v>0</v>
      </c>
      <c r="AJ316" s="605">
        <f>+IF(Tabla3[[#This Row],[Amortización k | cupón de intereses]]="Amortización de K",IF(Tabla3[[#This Row],[Precio Clean]]&gt;1,Tabla3[[#This Row],[Valor Nominal]]*(Tabla3[[#This Row],[Precio Clean]]-1),0),0)</f>
        <v>0</v>
      </c>
      <c r="AK316" s="605">
        <f>+IF(Tabla3[[#This Row],[Amortización k | cupón de intereses]]="Amortización de K",IF(Tabla3[[#This Row],[Precio Clean]]&lt;1,Tabla3[[#This Row],[Valor Nominal]]*(Tabla3[[#This Row],[Precio Clean]]-1),0),0)</f>
        <v>0</v>
      </c>
    </row>
    <row r="317" spans="1:37">
      <c r="A317" s="502"/>
      <c r="B317" s="437" t="str">
        <f t="shared" si="189"/>
        <v>Zeta Banco SAECA</v>
      </c>
      <c r="C317" s="437" t="str">
        <f t="shared" si="189"/>
        <v>ZETA_6,85%_04102027_AB0701-52_25K</v>
      </c>
      <c r="D317" s="437" t="s">
        <v>453</v>
      </c>
      <c r="E317" s="437" t="str">
        <f t="shared" si="190"/>
        <v>AA-py</v>
      </c>
      <c r="F317" s="437" t="s">
        <v>297</v>
      </c>
      <c r="G317" s="437" t="s">
        <v>298</v>
      </c>
      <c r="H317" s="437">
        <f t="shared" si="191"/>
        <v>4</v>
      </c>
      <c r="I317" s="445">
        <v>422.26</v>
      </c>
      <c r="J317" s="462"/>
      <c r="K317" s="450"/>
      <c r="L317" s="462"/>
      <c r="M317" s="493"/>
      <c r="N317" s="493"/>
      <c r="O317" s="516">
        <f t="shared" si="187"/>
        <v>6.5548399090766915E-2</v>
      </c>
      <c r="P317" s="516">
        <f t="shared" si="187"/>
        <v>6.3996137911160211E-2</v>
      </c>
      <c r="Q317" s="450">
        <f t="shared" si="187"/>
        <v>45953</v>
      </c>
      <c r="R317" s="450">
        <v>46020</v>
      </c>
      <c r="S317" s="509" t="s">
        <v>146</v>
      </c>
      <c r="T317" s="510">
        <f>Tabla3[[#This Row],[Cantidad]]*Tabla3[[#This Row],[Cortes]]</f>
        <v>1689.04</v>
      </c>
      <c r="U317" s="511" t="b">
        <f t="shared" si="168"/>
        <v>0</v>
      </c>
      <c r="V317" s="511" t="b">
        <f t="shared" si="169"/>
        <v>0</v>
      </c>
      <c r="W317" s="497">
        <f>IF(Tabla3[[#This Row],[Fecha de operación]]=$C$1,0,U317-V317)</f>
        <v>0</v>
      </c>
      <c r="X317" s="512" t="str">
        <f t="shared" si="178"/>
        <v>Vencido</v>
      </c>
      <c r="Y317" s="517" t="s">
        <v>450</v>
      </c>
      <c r="Z317" s="449">
        <f t="shared" si="179"/>
        <v>-92</v>
      </c>
      <c r="AA317" s="518">
        <f t="shared" si="188"/>
        <v>1.4226306736848102</v>
      </c>
      <c r="AB317" s="518">
        <f t="shared" si="188"/>
        <v>1.3996937525111959</v>
      </c>
      <c r="AC317" s="449" t="s">
        <v>451</v>
      </c>
      <c r="AD317" s="449" t="s">
        <v>454</v>
      </c>
      <c r="AG317" s="605">
        <f>+IF(Tabla3[[#This Row],[Amortización k | cupón de intereses]]="Amortización de K",Tabla3[[#This Row],[Valor Nominal]],0)</f>
        <v>0</v>
      </c>
      <c r="AH317" s="605">
        <f>+IF(AND(Tabla3[[#This Row],[Amortización k | cupón de intereses]]="Cupón de interés",Tabla3[[#This Row],[Estado]]="Vigente"),Tabla3[[#This Row],[Valor Nominal]],0)</f>
        <v>0</v>
      </c>
      <c r="AI317" s="618">
        <f>+IF(Tabla3[[#This Row],[Amortización k | cupón de intereses]]="Amortización de K",SUMIFS($AH$7:$AH$557,Tabla3[Código Emisión],Tabla3[[#This Row],[Código Emisión]],Tabla3[Fecha de operación],Tabla3[[#This Row],[Fecha de operación]]),0)-Tabla3[[#This Row],[Accrued]]*Tabla3[[#This Row],[Valor Nominal]]</f>
        <v>0</v>
      </c>
      <c r="AJ317" s="605">
        <f>+IF(Tabla3[[#This Row],[Amortización k | cupón de intereses]]="Amortización de K",IF(Tabla3[[#This Row],[Precio Clean]]&gt;1,Tabla3[[#This Row],[Valor Nominal]]*(Tabla3[[#This Row],[Precio Clean]]-1),0),0)</f>
        <v>0</v>
      </c>
      <c r="AK317" s="605">
        <f>+IF(Tabla3[[#This Row],[Amortización k | cupón de intereses]]="Amortización de K",IF(Tabla3[[#This Row],[Precio Clean]]&lt;1,Tabla3[[#This Row],[Valor Nominal]]*(Tabla3[[#This Row],[Precio Clean]]-1),0),0)</f>
        <v>0</v>
      </c>
    </row>
    <row r="318" spans="1:37" ht="15">
      <c r="A318" s="500">
        <f>+A309+1</f>
        <v>29</v>
      </c>
      <c r="B318" s="475" t="s">
        <v>494</v>
      </c>
      <c r="C318" s="475" t="s">
        <v>567</v>
      </c>
      <c r="D318" s="475" t="s">
        <v>453</v>
      </c>
      <c r="E318" s="475" t="s">
        <v>496</v>
      </c>
      <c r="F318" s="475" t="s">
        <v>297</v>
      </c>
      <c r="G318" s="475" t="s">
        <v>298</v>
      </c>
      <c r="H318" s="475">
        <v>10</v>
      </c>
      <c r="I318" s="477">
        <v>50000</v>
      </c>
      <c r="J318" s="478">
        <v>6.3E-2</v>
      </c>
      <c r="K318" s="479">
        <f>_xlfn.MAXIFS(R:R,C:C,C318,AD:AD,"Cupón de interés",X:X,"Vencido")</f>
        <v>46069</v>
      </c>
      <c r="L318" s="478">
        <f>+Tabla3[[#This Row],[Tasa de Interés]]*($U$5-Tabla3[[#This Row],[Last coupon]])/365</f>
        <v>7.4219178082191783E-3</v>
      </c>
      <c r="M318" s="480">
        <f>+Tabla3[[#This Row],[Precio Dirty]]-Tabla3[[#This Row],[Accrued]]</f>
        <v>1.0003619446912217</v>
      </c>
      <c r="N318" s="481">
        <f>SUMIFS(U:U,C:C,C318,Q:Q,Q318)/SUMIFS(T:T,C:C,C318,Q:Q,Q318,AD:AD,"Amortización de K")</f>
        <v>1.0077838624994409</v>
      </c>
      <c r="O318" s="482">
        <v>6.3432869315147411E-2</v>
      </c>
      <c r="P318" s="482">
        <f>+NOMINAL(Tabla3[[#This Row],[YTM]],4)</f>
        <v>6.1977479421427617E-2</v>
      </c>
      <c r="Q318" s="484">
        <v>45959</v>
      </c>
      <c r="R318" s="484">
        <v>46258</v>
      </c>
      <c r="S318" s="504" t="s">
        <v>146</v>
      </c>
      <c r="T318" s="505">
        <f>Tabla3[[#This Row],[Cantidad]]*Tabla3[[#This Row],[Cortes]]</f>
        <v>500000</v>
      </c>
      <c r="U318" s="506">
        <f t="shared" si="168"/>
        <v>487849.62160738069</v>
      </c>
      <c r="V318" s="506">
        <f t="shared" si="169"/>
        <v>487767.42623046337</v>
      </c>
      <c r="W318" s="487">
        <f>IF(Tabla3[[#This Row],[Fecha de operación]]=$C$1,0,U318-V318)</f>
        <v>82.195376917312387</v>
      </c>
      <c r="X318" s="507" t="str">
        <f t="shared" si="178"/>
        <v>Vigente</v>
      </c>
      <c r="Y318" s="489" t="s">
        <v>450</v>
      </c>
      <c r="Z318" s="488">
        <f t="shared" si="179"/>
        <v>146</v>
      </c>
      <c r="AA318" s="508">
        <f>IF(Y318="Mensual",DURATION($C$1,$C$1+Z318*12,J318/12,O318/12,1)/12,DURATION($C$1,R318,J318,O318,IF(Y318="Cupón cero",1,IF(Y318="Al vencimiento",1,IF(Y318="Anual",1,IF(Y318="Semestral",2,IF(Y318="Trimestral",4,"")))))))</f>
        <v>0.39334536965683575</v>
      </c>
      <c r="AB318" s="508">
        <f>IF(Y318="Mensual",MDURATION($C$1,$C$1+Z318*12,J318/12,O318/12,1)/12,MDURATION($C$1,R318,J318,O318,IF(Y318="Cupón cero",1,IF(Y318="Al vencimiento",1,IF(Y318="Anual",1,IF(Y318="Semestral",2,IF(Y318="Trimestral",4,"")))))))</f>
        <v>0.38720498879375392</v>
      </c>
      <c r="AC318" s="488" t="s">
        <v>451</v>
      </c>
      <c r="AD318" s="488" t="s">
        <v>452</v>
      </c>
      <c r="AG318" s="605">
        <f>+IF(Tabla3[[#This Row],[Amortización k | cupón de intereses]]="Amortización de K",Tabla3[[#This Row],[Valor Nominal]],0)</f>
        <v>500000</v>
      </c>
      <c r="AH318" s="605">
        <f>+IF(AND(Tabla3[[#This Row],[Amortización k | cupón de intereses]]="Cupón de interés",Tabla3[[#This Row],[Estado]]="Vigente"),Tabla3[[#This Row],[Valor Nominal]],0)</f>
        <v>0</v>
      </c>
      <c r="AI318" s="618">
        <f>+IF(Tabla3[[#This Row],[Amortización k | cupón de intereses]]="Amortización de K",SUMIFS($AH$7:$AH$557,Tabla3[Código Emisión],Tabla3[[#This Row],[Código Emisión]],Tabla3[Fecha de operación],Tabla3[[#This Row],[Fecha de operación]]),0)-Tabla3[[#This Row],[Accrued]]*Tabla3[[#This Row],[Valor Nominal]]</f>
        <v>12600.141095890413</v>
      </c>
      <c r="AJ318" s="605">
        <f>+IF(Tabla3[[#This Row],[Amortización k | cupón de intereses]]="Amortización de K",IF(Tabla3[[#This Row],[Precio Clean]]&gt;1,Tabla3[[#This Row],[Valor Nominal]]*(Tabla3[[#This Row],[Precio Clean]]-1),0),0)</f>
        <v>180.97234561087473</v>
      </c>
      <c r="AK318" s="605">
        <f>+IF(Tabla3[[#This Row],[Amortización k | cupón de intereses]]="Amortización de K",IF(Tabla3[[#This Row],[Precio Clean]]&lt;1,Tabla3[[#This Row],[Valor Nominal]]*(Tabla3[[#This Row],[Precio Clean]]-1),0),0)</f>
        <v>0</v>
      </c>
    </row>
    <row r="319" spans="1:37">
      <c r="A319" s="502"/>
      <c r="B319" s="437" t="str">
        <f t="shared" ref="B319:H322" si="192">+B318</f>
        <v>Solar Banco SAECA</v>
      </c>
      <c r="C319" s="437" t="str">
        <f t="shared" si="192"/>
        <v>SAF_6,30%_24082026_AA3115-24_50K</v>
      </c>
      <c r="D319" s="437" t="str">
        <f t="shared" si="192"/>
        <v>CDA</v>
      </c>
      <c r="E319" s="437" t="str">
        <f t="shared" si="192"/>
        <v>Apy</v>
      </c>
      <c r="F319" s="437" t="str">
        <f t="shared" si="192"/>
        <v>Financiero</v>
      </c>
      <c r="G319" s="437" t="str">
        <f t="shared" si="192"/>
        <v>Paraguay</v>
      </c>
      <c r="H319" s="437">
        <f t="shared" si="192"/>
        <v>10</v>
      </c>
      <c r="I319" s="492">
        <v>845.77</v>
      </c>
      <c r="J319" s="451"/>
      <c r="L319" s="442"/>
      <c r="M319" s="493"/>
      <c r="N319" s="493"/>
      <c r="O319" s="494">
        <f t="shared" ref="O319:Q322" si="193">+O318</f>
        <v>6.3432869315147411E-2</v>
      </c>
      <c r="P319" s="494">
        <f t="shared" si="193"/>
        <v>6.1977479421427617E-2</v>
      </c>
      <c r="Q319" s="450">
        <f t="shared" si="193"/>
        <v>45959</v>
      </c>
      <c r="R319" s="450">
        <v>46258</v>
      </c>
      <c r="S319" s="509" t="s">
        <v>146</v>
      </c>
      <c r="T319" s="510">
        <f>Tabla3[[#This Row],[Cantidad]]*Tabla3[[#This Row],[Cortes]]</f>
        <v>8457.7000000000007</v>
      </c>
      <c r="U319" s="511">
        <f t="shared" si="168"/>
        <v>8252.1714893374883</v>
      </c>
      <c r="V319" s="511">
        <f t="shared" si="169"/>
        <v>8250.7811216587797</v>
      </c>
      <c r="W319" s="497">
        <f>IF(Tabla3[[#This Row],[Fecha de operación]]=$C$1,0,U319-V319)</f>
        <v>1.3903676787085715</v>
      </c>
      <c r="X319" s="512" t="str">
        <f t="shared" si="178"/>
        <v>Vigente</v>
      </c>
      <c r="Y319" s="498"/>
      <c r="Z319" s="469">
        <f t="shared" si="179"/>
        <v>146</v>
      </c>
      <c r="AA319" s="499">
        <f t="shared" ref="AA319:AB322" si="194">AA318</f>
        <v>0.39334536965683575</v>
      </c>
      <c r="AB319" s="499">
        <f t="shared" si="194"/>
        <v>0.38720498879375392</v>
      </c>
      <c r="AC319" s="469" t="str">
        <f t="shared" ref="AC319:AC339" si="195">+AC318</f>
        <v>Familiar CB</v>
      </c>
      <c r="AD319" s="469" t="s">
        <v>454</v>
      </c>
      <c r="AG319" s="605">
        <f>+IF(Tabla3[[#This Row],[Amortización k | cupón de intereses]]="Amortización de K",Tabla3[[#This Row],[Valor Nominal]],0)</f>
        <v>0</v>
      </c>
      <c r="AH319" s="605">
        <f>+IF(AND(Tabla3[[#This Row],[Amortización k | cupón de intereses]]="Cupón de interés",Tabla3[[#This Row],[Estado]]="Vigente"),Tabla3[[#This Row],[Valor Nominal]],0)</f>
        <v>8457.7000000000007</v>
      </c>
      <c r="AI319" s="618">
        <f>+IF(Tabla3[[#This Row],[Amortización k | cupón de intereses]]="Amortización de K",SUMIFS($AH$7:$AH$557,Tabla3[Código Emisión],Tabla3[[#This Row],[Código Emisión]],Tabla3[Fecha de operación],Tabla3[[#This Row],[Fecha de operación]]),0)-Tabla3[[#This Row],[Accrued]]*Tabla3[[#This Row],[Valor Nominal]]</f>
        <v>0</v>
      </c>
      <c r="AJ319" s="605">
        <f>+IF(Tabla3[[#This Row],[Amortización k | cupón de intereses]]="Amortización de K",IF(Tabla3[[#This Row],[Precio Clean]]&gt;1,Tabla3[[#This Row],[Valor Nominal]]*(Tabla3[[#This Row],[Precio Clean]]-1),0),0)</f>
        <v>0</v>
      </c>
      <c r="AK319" s="605">
        <f>+IF(Tabla3[[#This Row],[Amortización k | cupón de intereses]]="Amortización de K",IF(Tabla3[[#This Row],[Precio Clean]]&lt;1,Tabla3[[#This Row],[Valor Nominal]]*(Tabla3[[#This Row],[Precio Clean]]-1),0),0)</f>
        <v>0</v>
      </c>
    </row>
    <row r="320" spans="1:37">
      <c r="A320" s="502"/>
      <c r="B320" s="437" t="str">
        <f t="shared" si="192"/>
        <v>Solar Banco SAECA</v>
      </c>
      <c r="C320" s="437" t="str">
        <f t="shared" si="192"/>
        <v>SAF_6,30%_24082026_AA3115-24_50K</v>
      </c>
      <c r="D320" s="437" t="str">
        <f t="shared" si="192"/>
        <v>CDA</v>
      </c>
      <c r="E320" s="437" t="str">
        <f t="shared" si="192"/>
        <v>Apy</v>
      </c>
      <c r="F320" s="437" t="str">
        <f t="shared" si="192"/>
        <v>Financiero</v>
      </c>
      <c r="G320" s="437" t="str">
        <f t="shared" si="192"/>
        <v>Paraguay</v>
      </c>
      <c r="H320" s="437">
        <f t="shared" si="192"/>
        <v>10</v>
      </c>
      <c r="I320" s="492">
        <v>785.34</v>
      </c>
      <c r="J320" s="451"/>
      <c r="L320" s="442"/>
      <c r="M320" s="493"/>
      <c r="N320" s="493"/>
      <c r="O320" s="494">
        <f t="shared" si="193"/>
        <v>6.3432869315147411E-2</v>
      </c>
      <c r="P320" s="494">
        <f t="shared" si="193"/>
        <v>6.1977479421427617E-2</v>
      </c>
      <c r="Q320" s="450">
        <f t="shared" si="193"/>
        <v>45959</v>
      </c>
      <c r="R320" s="450">
        <v>46160</v>
      </c>
      <c r="S320" s="509" t="s">
        <v>146</v>
      </c>
      <c r="T320" s="510">
        <f>Tabla3[[#This Row],[Cantidad]]*Tabla3[[#This Row],[Cortes]]</f>
        <v>7853.4000000000005</v>
      </c>
      <c r="U320" s="511">
        <f t="shared" si="168"/>
        <v>7790.13815300228</v>
      </c>
      <c r="V320" s="511">
        <f t="shared" si="169"/>
        <v>7788.8256310418983</v>
      </c>
      <c r="W320" s="497">
        <f>IF(Tabla3[[#This Row],[Fecha de operación]]=$C$1,0,U320-V320)</f>
        <v>1.3125219603816731</v>
      </c>
      <c r="X320" s="512" t="str">
        <f t="shared" si="178"/>
        <v>Vigente</v>
      </c>
      <c r="Y320" s="498"/>
      <c r="Z320" s="469">
        <f t="shared" si="179"/>
        <v>48</v>
      </c>
      <c r="AA320" s="499">
        <f t="shared" si="194"/>
        <v>0.39334536965683575</v>
      </c>
      <c r="AB320" s="499">
        <f t="shared" si="194"/>
        <v>0.38720498879375392</v>
      </c>
      <c r="AC320" s="469" t="str">
        <f t="shared" si="195"/>
        <v>Familiar CB</v>
      </c>
      <c r="AD320" s="469" t="s">
        <v>454</v>
      </c>
      <c r="AG320" s="605">
        <f>+IF(Tabla3[[#This Row],[Amortización k | cupón de intereses]]="Amortización de K",Tabla3[[#This Row],[Valor Nominal]],0)</f>
        <v>0</v>
      </c>
      <c r="AH320" s="605">
        <f>+IF(AND(Tabla3[[#This Row],[Amortización k | cupón de intereses]]="Cupón de interés",Tabla3[[#This Row],[Estado]]="Vigente"),Tabla3[[#This Row],[Valor Nominal]],0)</f>
        <v>7853.4000000000005</v>
      </c>
      <c r="AI320" s="618">
        <f>+IF(Tabla3[[#This Row],[Amortización k | cupón de intereses]]="Amortización de K",SUMIFS($AH$7:$AH$557,Tabla3[Código Emisión],Tabla3[[#This Row],[Código Emisión]],Tabla3[Fecha de operación],Tabla3[[#This Row],[Fecha de operación]]),0)-Tabla3[[#This Row],[Accrued]]*Tabla3[[#This Row],[Valor Nominal]]</f>
        <v>0</v>
      </c>
      <c r="AJ320" s="605">
        <f>+IF(Tabla3[[#This Row],[Amortización k | cupón de intereses]]="Amortización de K",IF(Tabla3[[#This Row],[Precio Clean]]&gt;1,Tabla3[[#This Row],[Valor Nominal]]*(Tabla3[[#This Row],[Precio Clean]]-1),0),0)</f>
        <v>0</v>
      </c>
      <c r="AK320" s="605">
        <f>+IF(Tabla3[[#This Row],[Amortización k | cupón de intereses]]="Amortización de K",IF(Tabla3[[#This Row],[Precio Clean]]&lt;1,Tabla3[[#This Row],[Valor Nominal]]*(Tabla3[[#This Row],[Precio Clean]]-1),0),0)</f>
        <v>0</v>
      </c>
    </row>
    <row r="321" spans="1:37">
      <c r="A321" s="502"/>
      <c r="B321" s="437" t="str">
        <f t="shared" si="192"/>
        <v>Solar Banco SAECA</v>
      </c>
      <c r="C321" s="437" t="str">
        <f t="shared" si="192"/>
        <v>SAF_6,30%_24082026_AA3115-24_50K</v>
      </c>
      <c r="D321" s="437" t="str">
        <f t="shared" si="192"/>
        <v>CDA</v>
      </c>
      <c r="E321" s="437" t="str">
        <f t="shared" si="192"/>
        <v>Apy</v>
      </c>
      <c r="F321" s="437" t="str">
        <f t="shared" si="192"/>
        <v>Financiero</v>
      </c>
      <c r="G321" s="437" t="str">
        <f t="shared" si="192"/>
        <v>Paraguay</v>
      </c>
      <c r="H321" s="437">
        <f t="shared" si="192"/>
        <v>10</v>
      </c>
      <c r="I321" s="492">
        <v>785.34</v>
      </c>
      <c r="J321" s="451"/>
      <c r="L321" s="442"/>
      <c r="M321" s="493"/>
      <c r="N321" s="493"/>
      <c r="O321" s="494">
        <f t="shared" si="193"/>
        <v>6.3432869315147411E-2</v>
      </c>
      <c r="P321" s="494">
        <f t="shared" si="193"/>
        <v>6.1977479421427617E-2</v>
      </c>
      <c r="Q321" s="450">
        <f t="shared" si="193"/>
        <v>45959</v>
      </c>
      <c r="R321" s="450">
        <v>46069</v>
      </c>
      <c r="S321" s="509" t="s">
        <v>146</v>
      </c>
      <c r="T321" s="510">
        <f>Tabla3[[#This Row],[Cantidad]]*Tabla3[[#This Row],[Cortes]]</f>
        <v>7853.4000000000005</v>
      </c>
      <c r="U321" s="511" t="b">
        <f t="shared" si="168"/>
        <v>0</v>
      </c>
      <c r="V321" s="511" t="b">
        <f t="shared" si="169"/>
        <v>0</v>
      </c>
      <c r="W321" s="497">
        <f>IF(Tabla3[[#This Row],[Fecha de operación]]=$C$1,0,U321-V321)</f>
        <v>0</v>
      </c>
      <c r="X321" s="512" t="str">
        <f t="shared" si="178"/>
        <v>Vencido</v>
      </c>
      <c r="Y321" s="498"/>
      <c r="Z321" s="469">
        <f t="shared" si="179"/>
        <v>-43</v>
      </c>
      <c r="AA321" s="499">
        <f t="shared" si="194"/>
        <v>0.39334536965683575</v>
      </c>
      <c r="AB321" s="499">
        <f t="shared" si="194"/>
        <v>0.38720498879375392</v>
      </c>
      <c r="AC321" s="469" t="str">
        <f t="shared" si="195"/>
        <v>Familiar CB</v>
      </c>
      <c r="AD321" s="469" t="s">
        <v>454</v>
      </c>
      <c r="AG321" s="605">
        <f>+IF(Tabla3[[#This Row],[Amortización k | cupón de intereses]]="Amortización de K",Tabla3[[#This Row],[Valor Nominal]],0)</f>
        <v>0</v>
      </c>
      <c r="AH321" s="605">
        <f>+IF(AND(Tabla3[[#This Row],[Amortización k | cupón de intereses]]="Cupón de interés",Tabla3[[#This Row],[Estado]]="Vigente"),Tabla3[[#This Row],[Valor Nominal]],0)</f>
        <v>0</v>
      </c>
      <c r="AI321" s="618">
        <f>+IF(Tabla3[[#This Row],[Amortización k | cupón de intereses]]="Amortización de K",SUMIFS($AH$7:$AH$557,Tabla3[Código Emisión],Tabla3[[#This Row],[Código Emisión]],Tabla3[Fecha de operación],Tabla3[[#This Row],[Fecha de operación]]),0)-Tabla3[[#This Row],[Accrued]]*Tabla3[[#This Row],[Valor Nominal]]</f>
        <v>0</v>
      </c>
      <c r="AJ321" s="605">
        <f>+IF(Tabla3[[#This Row],[Amortización k | cupón de intereses]]="Amortización de K",IF(Tabla3[[#This Row],[Precio Clean]]&gt;1,Tabla3[[#This Row],[Valor Nominal]]*(Tabla3[[#This Row],[Precio Clean]]-1),0),0)</f>
        <v>0</v>
      </c>
      <c r="AK321" s="605">
        <f>+IF(Tabla3[[#This Row],[Amortización k | cupón de intereses]]="Amortización de K",IF(Tabla3[[#This Row],[Precio Clean]]&lt;1,Tabla3[[#This Row],[Valor Nominal]]*(Tabla3[[#This Row],[Precio Clean]]-1),0),0)</f>
        <v>0</v>
      </c>
    </row>
    <row r="322" spans="1:37">
      <c r="A322" s="502"/>
      <c r="B322" s="437" t="str">
        <f t="shared" si="192"/>
        <v>Solar Banco SAECA</v>
      </c>
      <c r="C322" s="437" t="str">
        <f t="shared" si="192"/>
        <v>SAF_6,30%_24082026_AA3115-24_50K</v>
      </c>
      <c r="D322" s="437" t="str">
        <f t="shared" si="192"/>
        <v>CDA</v>
      </c>
      <c r="E322" s="437" t="str">
        <f t="shared" si="192"/>
        <v>Apy</v>
      </c>
      <c r="F322" s="437" t="str">
        <f t="shared" si="192"/>
        <v>Financiero</v>
      </c>
      <c r="G322" s="437" t="str">
        <f t="shared" si="192"/>
        <v>Paraguay</v>
      </c>
      <c r="H322" s="437">
        <f t="shared" si="192"/>
        <v>10</v>
      </c>
      <c r="I322" s="492">
        <v>785.34</v>
      </c>
      <c r="J322" s="451"/>
      <c r="L322" s="442"/>
      <c r="M322" s="493"/>
      <c r="N322" s="493"/>
      <c r="O322" s="494">
        <f t="shared" si="193"/>
        <v>6.3432869315147411E-2</v>
      </c>
      <c r="P322" s="494">
        <f t="shared" si="193"/>
        <v>6.1977479421427617E-2</v>
      </c>
      <c r="Q322" s="450">
        <f t="shared" si="193"/>
        <v>45959</v>
      </c>
      <c r="R322" s="450">
        <v>45978</v>
      </c>
      <c r="S322" s="509" t="s">
        <v>146</v>
      </c>
      <c r="T322" s="510">
        <f>Tabla3[[#This Row],[Cantidad]]*Tabla3[[#This Row],[Cortes]]</f>
        <v>7853.4000000000005</v>
      </c>
      <c r="U322" s="511" t="b">
        <f t="shared" si="168"/>
        <v>0</v>
      </c>
      <c r="V322" s="511" t="b">
        <f t="shared" si="169"/>
        <v>0</v>
      </c>
      <c r="W322" s="497">
        <f>IF(Tabla3[[#This Row],[Fecha de operación]]=$C$1,0,U322-V322)</f>
        <v>0</v>
      </c>
      <c r="X322" s="512" t="str">
        <f t="shared" si="178"/>
        <v>Vencido</v>
      </c>
      <c r="Y322" s="498"/>
      <c r="Z322" s="469">
        <f t="shared" si="179"/>
        <v>-134</v>
      </c>
      <c r="AA322" s="499">
        <f t="shared" si="194"/>
        <v>0.39334536965683575</v>
      </c>
      <c r="AB322" s="499">
        <f t="shared" si="194"/>
        <v>0.38720498879375392</v>
      </c>
      <c r="AC322" s="469" t="str">
        <f t="shared" si="195"/>
        <v>Familiar CB</v>
      </c>
      <c r="AD322" s="469" t="s">
        <v>454</v>
      </c>
      <c r="AG322" s="605">
        <f>+IF(Tabla3[[#This Row],[Amortización k | cupón de intereses]]="Amortización de K",Tabla3[[#This Row],[Valor Nominal]],0)</f>
        <v>0</v>
      </c>
      <c r="AH322" s="605">
        <f>+IF(AND(Tabla3[[#This Row],[Amortización k | cupón de intereses]]="Cupón de interés",Tabla3[[#This Row],[Estado]]="Vigente"),Tabla3[[#This Row],[Valor Nominal]],0)</f>
        <v>0</v>
      </c>
      <c r="AI322" s="618">
        <f>+IF(Tabla3[[#This Row],[Amortización k | cupón de intereses]]="Amortización de K",SUMIFS($AH$7:$AH$557,Tabla3[Código Emisión],Tabla3[[#This Row],[Código Emisión]],Tabla3[Fecha de operación],Tabla3[[#This Row],[Fecha de operación]]),0)-Tabla3[[#This Row],[Accrued]]*Tabla3[[#This Row],[Valor Nominal]]</f>
        <v>0</v>
      </c>
      <c r="AJ322" s="605">
        <f>+IF(Tabla3[[#This Row],[Amortización k | cupón de intereses]]="Amortización de K",IF(Tabla3[[#This Row],[Precio Clean]]&gt;1,Tabla3[[#This Row],[Valor Nominal]]*(Tabla3[[#This Row],[Precio Clean]]-1),0),0)</f>
        <v>0</v>
      </c>
      <c r="AK322" s="605">
        <f>+IF(Tabla3[[#This Row],[Amortización k | cupón de intereses]]="Amortización de K",IF(Tabla3[[#This Row],[Precio Clean]]&lt;1,Tabla3[[#This Row],[Valor Nominal]]*(Tabla3[[#This Row],[Precio Clean]]-1),0),0)</f>
        <v>0</v>
      </c>
    </row>
    <row r="323" spans="1:37" ht="15">
      <c r="A323" s="500">
        <f>+A318+1</f>
        <v>30</v>
      </c>
      <c r="B323" s="475" t="s">
        <v>494</v>
      </c>
      <c r="C323" s="475" t="s">
        <v>568</v>
      </c>
      <c r="D323" s="475" t="s">
        <v>453</v>
      </c>
      <c r="E323" s="475" t="s">
        <v>496</v>
      </c>
      <c r="F323" s="475" t="s">
        <v>297</v>
      </c>
      <c r="G323" s="475" t="s">
        <v>298</v>
      </c>
      <c r="H323" s="575">
        <v>5</v>
      </c>
      <c r="I323" s="477">
        <v>100000</v>
      </c>
      <c r="J323" s="478">
        <v>6.3E-2</v>
      </c>
      <c r="K323" s="479">
        <f>_xlfn.MAXIFS(R:R,C:C,C323,AD:AD,"Cupón de interés",X:X,"Vencido")</f>
        <v>46034</v>
      </c>
      <c r="L323" s="478">
        <f>+Tabla3[[#This Row],[Tasa de Interés]]*($U$5-Tabla3[[#This Row],[Last coupon]])/365</f>
        <v>1.3463013698630136E-2</v>
      </c>
      <c r="M323" s="480">
        <f>+Tabla3[[#This Row],[Precio Dirty]]-Tabla3[[#This Row],[Accrued]]</f>
        <v>1.0005159220873501</v>
      </c>
      <c r="N323" s="481">
        <f>SUMIFS(U:U,C:C,C323,Q:Q,Q323)/SUMIFS(T:T,C:C,C323,Q:Q,Q323,AD:AD,"Amortización de K")</f>
        <v>1.0139789357859803</v>
      </c>
      <c r="O323" s="482">
        <v>6.3455268740653978E-2</v>
      </c>
      <c r="P323" s="482">
        <v>6.1998868934089124E-2</v>
      </c>
      <c r="Q323" s="484">
        <v>45960</v>
      </c>
      <c r="R323" s="484">
        <v>46314</v>
      </c>
      <c r="S323" s="504" t="s">
        <v>146</v>
      </c>
      <c r="T323" s="505">
        <f>Tabla3[[#This Row],[Cantidad]]*Tabla3[[#This Row],[Cortes]]</f>
        <v>500000</v>
      </c>
      <c r="U323" s="506">
        <f t="shared" si="168"/>
        <v>483262.30961053626</v>
      </c>
      <c r="V323" s="506">
        <f t="shared" si="169"/>
        <v>483180.85924422089</v>
      </c>
      <c r="W323" s="487">
        <f>IF(Tabla3[[#This Row],[Fecha de operación]]=$C$1,0,U323-V323)</f>
        <v>81.450366315373685</v>
      </c>
      <c r="X323" s="507" t="str">
        <f t="shared" si="178"/>
        <v>Vigente</v>
      </c>
      <c r="Y323" s="489" t="s">
        <v>450</v>
      </c>
      <c r="Z323" s="488">
        <f t="shared" si="179"/>
        <v>202</v>
      </c>
      <c r="AA323" s="508">
        <f>IF(Y323="Mensual",DURATION($C$1,$C$1+Z323*12,J323/12,O323/12,1)/12,DURATION($C$1,R323,J323,O323,IF(Y323="Cupón cero",1,IF(Y323="Al vencimiento",1,IF(Y323="Anual",1,IF(Y323="Semestral",2,IF(Y323="Trimestral",4,"")))))))</f>
        <v>0.53842866422389357</v>
      </c>
      <c r="AB323" s="508">
        <f>IF(Y323="Mensual",MDURATION($C$1,$C$1+Z323*12,J323/12,O323/12,1)/12,MDURATION($C$1,R323,J323,O323,IF(Y323="Cupón cero",1,IF(Y323="Al vencimiento",1,IF(Y323="Anual",1,IF(Y323="Semestral",2,IF(Y323="Trimestral",4,"")))))))</f>
        <v>0.5300205156590917</v>
      </c>
      <c r="AC323" s="488" t="s">
        <v>451</v>
      </c>
      <c r="AD323" s="488" t="s">
        <v>452</v>
      </c>
      <c r="AG323" s="605">
        <f>+IF(Tabla3[[#This Row],[Amortización k | cupón de intereses]]="Amortización de K",Tabla3[[#This Row],[Valor Nominal]],0)</f>
        <v>500000</v>
      </c>
      <c r="AH323" s="605">
        <f>+IF(AND(Tabla3[[#This Row],[Amortización k | cupón de intereses]]="Cupón de interés",Tabla3[[#This Row],[Estado]]="Vigente"),Tabla3[[#This Row],[Valor Nominal]],0)</f>
        <v>0</v>
      </c>
      <c r="AI323" s="618">
        <f>+IF(Tabla3[[#This Row],[Amortización k | cupón de intereses]]="Amortización de K",SUMIFS($AH$7:$AH$557,Tabla3[Código Emisión],Tabla3[[#This Row],[Código Emisión]],Tabla3[Fecha de operación],Tabla3[[#This Row],[Fecha de operación]]),0)-Tabla3[[#This Row],[Accrued]]*Tabla3[[#This Row],[Valor Nominal]]</f>
        <v>17432.943150684932</v>
      </c>
      <c r="AJ323" s="605">
        <f>+IF(Tabla3[[#This Row],[Amortización k | cupón de intereses]]="Amortización de K",IF(Tabla3[[#This Row],[Precio Clean]]&gt;1,Tabla3[[#This Row],[Valor Nominal]]*(Tabla3[[#This Row],[Precio Clean]]-1),0),0)</f>
        <v>257.96104367503682</v>
      </c>
      <c r="AK323" s="605">
        <f>+IF(Tabla3[[#This Row],[Amortización k | cupón de intereses]]="Amortización de K",IF(Tabla3[[#This Row],[Precio Clean]]&lt;1,Tabla3[[#This Row],[Valor Nominal]]*(Tabla3[[#This Row],[Precio Clean]]-1),0),0)</f>
        <v>0</v>
      </c>
    </row>
    <row r="324" spans="1:37">
      <c r="A324" s="502"/>
      <c r="B324" s="437" t="str">
        <f t="shared" ref="B324:H327" si="196">+B323</f>
        <v>Solar Banco SAECA</v>
      </c>
      <c r="C324" s="437" t="str">
        <f t="shared" si="196"/>
        <v>SAF_6,30%_19102026_AA3182-86_100K</v>
      </c>
      <c r="D324" s="437" t="str">
        <f t="shared" si="196"/>
        <v>CDA</v>
      </c>
      <c r="E324" s="437" t="str">
        <f t="shared" si="196"/>
        <v>Apy</v>
      </c>
      <c r="F324" s="437" t="str">
        <f t="shared" si="196"/>
        <v>Financiero</v>
      </c>
      <c r="G324" s="437" t="str">
        <f t="shared" si="196"/>
        <v>Paraguay</v>
      </c>
      <c r="H324" s="437">
        <f t="shared" si="196"/>
        <v>5</v>
      </c>
      <c r="I324" s="492">
        <v>1760.57</v>
      </c>
      <c r="J324" s="451"/>
      <c r="L324" s="442"/>
      <c r="M324" s="493"/>
      <c r="N324" s="493"/>
      <c r="O324" s="494">
        <f t="shared" ref="O324:Q327" si="197">+O323</f>
        <v>6.3455268740653978E-2</v>
      </c>
      <c r="P324" s="494">
        <f t="shared" si="197"/>
        <v>6.1998868934089124E-2</v>
      </c>
      <c r="Q324" s="450">
        <f t="shared" si="197"/>
        <v>45960</v>
      </c>
      <c r="R324" s="450">
        <v>46314</v>
      </c>
      <c r="S324" s="509" t="s">
        <v>146</v>
      </c>
      <c r="T324" s="510">
        <f>Tabla3[[#This Row],[Cantidad]]*Tabla3[[#This Row],[Cortes]]</f>
        <v>8802.85</v>
      </c>
      <c r="U324" s="511">
        <f t="shared" si="168"/>
        <v>8508.1712443102188</v>
      </c>
      <c r="V324" s="511">
        <f t="shared" si="169"/>
        <v>8506.7372535959803</v>
      </c>
      <c r="W324" s="497">
        <f>IF(Tabla3[[#This Row],[Fecha de operación]]=$C$1,0,U324-V324)</f>
        <v>1.4339907142384618</v>
      </c>
      <c r="X324" s="512" t="str">
        <f t="shared" si="178"/>
        <v>Vigente</v>
      </c>
      <c r="Y324" s="498"/>
      <c r="Z324" s="469">
        <f t="shared" si="179"/>
        <v>202</v>
      </c>
      <c r="AA324" s="499">
        <f t="shared" ref="AA324:AB327" si="198">AA323</f>
        <v>0.53842866422389357</v>
      </c>
      <c r="AB324" s="499">
        <f t="shared" si="198"/>
        <v>0.5300205156590917</v>
      </c>
      <c r="AC324" s="469" t="str">
        <f t="shared" si="195"/>
        <v>Familiar CB</v>
      </c>
      <c r="AD324" s="469" t="s">
        <v>454</v>
      </c>
      <c r="AG324" s="605">
        <f>+IF(Tabla3[[#This Row],[Amortización k | cupón de intereses]]="Amortización de K",Tabla3[[#This Row],[Valor Nominal]],0)</f>
        <v>0</v>
      </c>
      <c r="AH324" s="605">
        <f>+IF(AND(Tabla3[[#This Row],[Amortización k | cupón de intereses]]="Cupón de interés",Tabla3[[#This Row],[Estado]]="Vigente"),Tabla3[[#This Row],[Valor Nominal]],0)</f>
        <v>8802.85</v>
      </c>
      <c r="AI324" s="618">
        <f>+IF(Tabla3[[#This Row],[Amortización k | cupón de intereses]]="Amortización de K",SUMIFS($AH$7:$AH$557,Tabla3[Código Emisión],Tabla3[[#This Row],[Código Emisión]],Tabla3[Fecha de operación],Tabla3[[#This Row],[Fecha de operación]]),0)-Tabla3[[#This Row],[Accrued]]*Tabla3[[#This Row],[Valor Nominal]]</f>
        <v>0</v>
      </c>
      <c r="AJ324" s="605">
        <f>+IF(Tabla3[[#This Row],[Amortización k | cupón de intereses]]="Amortización de K",IF(Tabla3[[#This Row],[Precio Clean]]&gt;1,Tabla3[[#This Row],[Valor Nominal]]*(Tabla3[[#This Row],[Precio Clean]]-1),0),0)</f>
        <v>0</v>
      </c>
      <c r="AK324" s="605">
        <f>+IF(Tabla3[[#This Row],[Amortización k | cupón de intereses]]="Amortización de K",IF(Tabla3[[#This Row],[Precio Clean]]&lt;1,Tabla3[[#This Row],[Valor Nominal]]*(Tabla3[[#This Row],[Precio Clean]]-1),0),0)</f>
        <v>0</v>
      </c>
    </row>
    <row r="325" spans="1:37">
      <c r="A325" s="502"/>
      <c r="B325" s="437" t="str">
        <f t="shared" si="196"/>
        <v>Solar Banco SAECA</v>
      </c>
      <c r="C325" s="437" t="str">
        <f t="shared" si="196"/>
        <v>SAF_6,30%_19102026_AA3182-86_100K</v>
      </c>
      <c r="D325" s="437" t="str">
        <f t="shared" si="196"/>
        <v>CDA</v>
      </c>
      <c r="E325" s="437" t="str">
        <f t="shared" si="196"/>
        <v>Apy</v>
      </c>
      <c r="F325" s="437" t="str">
        <f t="shared" si="196"/>
        <v>Financiero</v>
      </c>
      <c r="G325" s="437" t="str">
        <f t="shared" si="196"/>
        <v>Paraguay</v>
      </c>
      <c r="H325" s="437">
        <f t="shared" si="196"/>
        <v>5</v>
      </c>
      <c r="I325" s="492">
        <v>1553.42</v>
      </c>
      <c r="J325" s="451"/>
      <c r="L325" s="442"/>
      <c r="M325" s="493"/>
      <c r="N325" s="493"/>
      <c r="O325" s="494">
        <f t="shared" si="197"/>
        <v>6.3455268740653978E-2</v>
      </c>
      <c r="P325" s="494">
        <f t="shared" si="197"/>
        <v>6.1998868934089124E-2</v>
      </c>
      <c r="Q325" s="450">
        <f t="shared" si="197"/>
        <v>45960</v>
      </c>
      <c r="R325" s="450">
        <v>46212</v>
      </c>
      <c r="S325" s="509" t="s">
        <v>146</v>
      </c>
      <c r="T325" s="510">
        <f>Tabla3[[#This Row],[Cantidad]]*Tabla3[[#This Row],[Cortes]]</f>
        <v>7767.1</v>
      </c>
      <c r="U325" s="511">
        <f t="shared" si="168"/>
        <v>7637.2773148132419</v>
      </c>
      <c r="V325" s="511">
        <f t="shared" si="169"/>
        <v>7635.990106970683</v>
      </c>
      <c r="W325" s="497">
        <f>IF(Tabla3[[#This Row],[Fecha de operación]]=$C$1,0,U325-V325)</f>
        <v>1.287207842558928</v>
      </c>
      <c r="X325" s="512" t="str">
        <f t="shared" si="178"/>
        <v>Vigente</v>
      </c>
      <c r="Y325" s="498"/>
      <c r="Z325" s="469">
        <f t="shared" si="179"/>
        <v>100</v>
      </c>
      <c r="AA325" s="499">
        <f t="shared" si="198"/>
        <v>0.53842866422389357</v>
      </c>
      <c r="AB325" s="499">
        <f t="shared" si="198"/>
        <v>0.5300205156590917</v>
      </c>
      <c r="AC325" s="469" t="str">
        <f t="shared" si="195"/>
        <v>Familiar CB</v>
      </c>
      <c r="AD325" s="469" t="s">
        <v>454</v>
      </c>
      <c r="AG325" s="605">
        <f>+IF(Tabla3[[#This Row],[Amortización k | cupón de intereses]]="Amortización de K",Tabla3[[#This Row],[Valor Nominal]],0)</f>
        <v>0</v>
      </c>
      <c r="AH325" s="605">
        <f>+IF(AND(Tabla3[[#This Row],[Amortización k | cupón de intereses]]="Cupón de interés",Tabla3[[#This Row],[Estado]]="Vigente"),Tabla3[[#This Row],[Valor Nominal]],0)</f>
        <v>7767.1</v>
      </c>
      <c r="AI325" s="618">
        <f>+IF(Tabla3[[#This Row],[Amortización k | cupón de intereses]]="Amortización de K",SUMIFS($AH$7:$AH$557,Tabla3[Código Emisión],Tabla3[[#This Row],[Código Emisión]],Tabla3[Fecha de operación],Tabla3[[#This Row],[Fecha de operación]]),0)-Tabla3[[#This Row],[Accrued]]*Tabla3[[#This Row],[Valor Nominal]]</f>
        <v>0</v>
      </c>
      <c r="AJ325" s="605">
        <f>+IF(Tabla3[[#This Row],[Amortización k | cupón de intereses]]="Amortización de K",IF(Tabla3[[#This Row],[Precio Clean]]&gt;1,Tabla3[[#This Row],[Valor Nominal]]*(Tabla3[[#This Row],[Precio Clean]]-1),0),0)</f>
        <v>0</v>
      </c>
      <c r="AK325" s="605">
        <f>+IF(Tabla3[[#This Row],[Amortización k | cupón de intereses]]="Amortización de K",IF(Tabla3[[#This Row],[Precio Clean]]&lt;1,Tabla3[[#This Row],[Valor Nominal]]*(Tabla3[[#This Row],[Precio Clean]]-1),0),0)</f>
        <v>0</v>
      </c>
    </row>
    <row r="326" spans="1:37">
      <c r="A326" s="502"/>
      <c r="B326" s="437" t="str">
        <f t="shared" si="196"/>
        <v>Solar Banco SAECA</v>
      </c>
      <c r="C326" s="437" t="str">
        <f t="shared" si="196"/>
        <v>SAF_6,30%_19102026_AA3182-86_100K</v>
      </c>
      <c r="D326" s="437" t="str">
        <f t="shared" si="196"/>
        <v>CDA</v>
      </c>
      <c r="E326" s="437" t="str">
        <f t="shared" si="196"/>
        <v>Apy</v>
      </c>
      <c r="F326" s="437" t="str">
        <f t="shared" si="196"/>
        <v>Financiero</v>
      </c>
      <c r="G326" s="437" t="str">
        <f t="shared" si="196"/>
        <v>Paraguay</v>
      </c>
      <c r="H326" s="437">
        <f t="shared" si="196"/>
        <v>5</v>
      </c>
      <c r="I326" s="492">
        <v>1518.9</v>
      </c>
      <c r="J326" s="451"/>
      <c r="L326" s="442"/>
      <c r="M326" s="493"/>
      <c r="N326" s="493"/>
      <c r="O326" s="494">
        <f t="shared" si="197"/>
        <v>6.3455268740653978E-2</v>
      </c>
      <c r="P326" s="494">
        <f t="shared" si="197"/>
        <v>6.1998868934089124E-2</v>
      </c>
      <c r="Q326" s="450">
        <f t="shared" si="197"/>
        <v>45960</v>
      </c>
      <c r="R326" s="450">
        <v>46122</v>
      </c>
      <c r="S326" s="509" t="s">
        <v>146</v>
      </c>
      <c r="T326" s="510">
        <f>Tabla3[[#This Row],[Cantidad]]*Tabla3[[#This Row],[Cortes]]</f>
        <v>7594.5</v>
      </c>
      <c r="U326" s="511">
        <f t="shared" si="168"/>
        <v>7581.7097233304157</v>
      </c>
      <c r="V326" s="511">
        <f t="shared" si="169"/>
        <v>7580.4318810034183</v>
      </c>
      <c r="W326" s="497">
        <f>IF(Tabla3[[#This Row],[Fecha de operación]]=$C$1,0,U326-V326)</f>
        <v>1.2778423269974155</v>
      </c>
      <c r="X326" s="512" t="str">
        <f t="shared" si="178"/>
        <v>Vigente</v>
      </c>
      <c r="Y326" s="498"/>
      <c r="Z326" s="469">
        <f t="shared" si="179"/>
        <v>10</v>
      </c>
      <c r="AA326" s="499">
        <f t="shared" si="198"/>
        <v>0.53842866422389357</v>
      </c>
      <c r="AB326" s="499">
        <f t="shared" si="198"/>
        <v>0.5300205156590917</v>
      </c>
      <c r="AC326" s="469" t="str">
        <f t="shared" si="195"/>
        <v>Familiar CB</v>
      </c>
      <c r="AD326" s="469" t="s">
        <v>454</v>
      </c>
      <c r="AG326" s="605">
        <f>+IF(Tabla3[[#This Row],[Amortización k | cupón de intereses]]="Amortización de K",Tabla3[[#This Row],[Valor Nominal]],0)</f>
        <v>0</v>
      </c>
      <c r="AH326" s="605">
        <f>+IF(AND(Tabla3[[#This Row],[Amortización k | cupón de intereses]]="Cupón de interés",Tabla3[[#This Row],[Estado]]="Vigente"),Tabla3[[#This Row],[Valor Nominal]],0)</f>
        <v>7594.5</v>
      </c>
      <c r="AI326" s="618">
        <f>+IF(Tabla3[[#This Row],[Amortización k | cupón de intereses]]="Amortización de K",SUMIFS($AH$7:$AH$557,Tabla3[Código Emisión],Tabla3[[#This Row],[Código Emisión]],Tabla3[Fecha de operación],Tabla3[[#This Row],[Fecha de operación]]),0)-Tabla3[[#This Row],[Accrued]]*Tabla3[[#This Row],[Valor Nominal]]</f>
        <v>0</v>
      </c>
      <c r="AJ326" s="605">
        <f>+IF(Tabla3[[#This Row],[Amortización k | cupón de intereses]]="Amortización de K",IF(Tabla3[[#This Row],[Precio Clean]]&gt;1,Tabla3[[#This Row],[Valor Nominal]]*(Tabla3[[#This Row],[Precio Clean]]-1),0),0)</f>
        <v>0</v>
      </c>
      <c r="AK326" s="605">
        <f>+IF(Tabla3[[#This Row],[Amortización k | cupón de intereses]]="Amortización de K",IF(Tabla3[[#This Row],[Precio Clean]]&lt;1,Tabla3[[#This Row],[Valor Nominal]]*(Tabla3[[#This Row],[Precio Clean]]-1),0),0)</f>
        <v>0</v>
      </c>
    </row>
    <row r="327" spans="1:37">
      <c r="A327" s="502"/>
      <c r="B327" s="437" t="str">
        <f t="shared" si="196"/>
        <v>Solar Banco SAECA</v>
      </c>
      <c r="C327" s="437" t="str">
        <f t="shared" si="196"/>
        <v>SAF_6,30%_19102026_AA3182-86_100K</v>
      </c>
      <c r="D327" s="437" t="str">
        <f t="shared" si="196"/>
        <v>CDA</v>
      </c>
      <c r="E327" s="437" t="str">
        <f t="shared" si="196"/>
        <v>Apy</v>
      </c>
      <c r="F327" s="437" t="str">
        <f t="shared" si="196"/>
        <v>Financiero</v>
      </c>
      <c r="G327" s="437" t="str">
        <f t="shared" si="196"/>
        <v>Paraguay</v>
      </c>
      <c r="H327" s="437">
        <f t="shared" si="196"/>
        <v>5</v>
      </c>
      <c r="I327" s="492">
        <v>1570.68</v>
      </c>
      <c r="J327" s="451"/>
      <c r="L327" s="442"/>
      <c r="M327" s="493"/>
      <c r="N327" s="493"/>
      <c r="O327" s="494">
        <f t="shared" si="197"/>
        <v>6.3455268740653978E-2</v>
      </c>
      <c r="P327" s="494">
        <f t="shared" si="197"/>
        <v>6.1998868934089124E-2</v>
      </c>
      <c r="Q327" s="450">
        <f t="shared" si="197"/>
        <v>45960</v>
      </c>
      <c r="R327" s="450">
        <v>46034</v>
      </c>
      <c r="S327" s="509" t="s">
        <v>146</v>
      </c>
      <c r="T327" s="510">
        <f>Tabla3[[#This Row],[Cantidad]]*Tabla3[[#This Row],[Cortes]]</f>
        <v>7853.4000000000005</v>
      </c>
      <c r="U327" s="511" t="b">
        <f t="shared" si="168"/>
        <v>0</v>
      </c>
      <c r="V327" s="511" t="b">
        <f t="shared" si="169"/>
        <v>0</v>
      </c>
      <c r="W327" s="497">
        <f>IF(Tabla3[[#This Row],[Fecha de operación]]=$C$1,0,U327-V327)</f>
        <v>0</v>
      </c>
      <c r="X327" s="512" t="str">
        <f t="shared" si="178"/>
        <v>Vencido</v>
      </c>
      <c r="Y327" s="498"/>
      <c r="Z327" s="469">
        <f t="shared" si="179"/>
        <v>-78</v>
      </c>
      <c r="AA327" s="499">
        <f t="shared" si="198"/>
        <v>0.53842866422389357</v>
      </c>
      <c r="AB327" s="499">
        <f t="shared" si="198"/>
        <v>0.5300205156590917</v>
      </c>
      <c r="AC327" s="469" t="str">
        <f t="shared" si="195"/>
        <v>Familiar CB</v>
      </c>
      <c r="AD327" s="469" t="s">
        <v>454</v>
      </c>
      <c r="AG327" s="605">
        <f>+IF(Tabla3[[#This Row],[Amortización k | cupón de intereses]]="Amortización de K",Tabla3[[#This Row],[Valor Nominal]],0)</f>
        <v>0</v>
      </c>
      <c r="AH327" s="605">
        <f>+IF(AND(Tabla3[[#This Row],[Amortización k | cupón de intereses]]="Cupón de interés",Tabla3[[#This Row],[Estado]]="Vigente"),Tabla3[[#This Row],[Valor Nominal]],0)</f>
        <v>0</v>
      </c>
      <c r="AI327" s="618">
        <f>+IF(Tabla3[[#This Row],[Amortización k | cupón de intereses]]="Amortización de K",SUMIFS($AH$7:$AH$557,Tabla3[Código Emisión],Tabla3[[#This Row],[Código Emisión]],Tabla3[Fecha de operación],Tabla3[[#This Row],[Fecha de operación]]),0)-Tabla3[[#This Row],[Accrued]]*Tabla3[[#This Row],[Valor Nominal]]</f>
        <v>0</v>
      </c>
      <c r="AJ327" s="605">
        <f>+IF(Tabla3[[#This Row],[Amortización k | cupón de intereses]]="Amortización de K",IF(Tabla3[[#This Row],[Precio Clean]]&gt;1,Tabla3[[#This Row],[Valor Nominal]]*(Tabla3[[#This Row],[Precio Clean]]-1),0),0)</f>
        <v>0</v>
      </c>
      <c r="AK327" s="605">
        <f>+IF(Tabla3[[#This Row],[Amortización k | cupón de intereses]]="Amortización de K",IF(Tabla3[[#This Row],[Precio Clean]]&lt;1,Tabla3[[#This Row],[Valor Nominal]]*(Tabla3[[#This Row],[Precio Clean]]-1),0),0)</f>
        <v>0</v>
      </c>
    </row>
    <row r="328" spans="1:37" ht="15">
      <c r="A328" s="500">
        <f>+A323+1</f>
        <v>31</v>
      </c>
      <c r="B328" s="475" t="s">
        <v>494</v>
      </c>
      <c r="C328" s="475" t="s">
        <v>569</v>
      </c>
      <c r="D328" s="475" t="s">
        <v>453</v>
      </c>
      <c r="E328" s="475" t="s">
        <v>496</v>
      </c>
      <c r="F328" s="475" t="s">
        <v>297</v>
      </c>
      <c r="G328" s="475" t="s">
        <v>298</v>
      </c>
      <c r="H328" s="575">
        <v>2</v>
      </c>
      <c r="I328" s="477">
        <v>50000</v>
      </c>
      <c r="J328" s="478">
        <v>6.2E-2</v>
      </c>
      <c r="K328" s="479">
        <f>_xlfn.MAXIFS(R:R,C:C,C328,AD:AD,"Cupón de interés",X:X,"Vencido")</f>
        <v>46097</v>
      </c>
      <c r="L328" s="478">
        <f>+Tabla3[[#This Row],[Tasa de Interés]]*($U$5-Tabla3[[#This Row],[Last coupon]])/365</f>
        <v>2.5479452054794518E-3</v>
      </c>
      <c r="M328" s="480">
        <f>+Tabla3[[#This Row],[Precio Dirty]]-Tabla3[[#This Row],[Accrued]]</f>
        <v>0.99998968116844089</v>
      </c>
      <c r="N328" s="481">
        <f>SUMIFS(U:U,C:C,C328,Q:Q,Q328)/SUMIFS(T:T,C:C,C328,Q:Q,Q328,AD:AD,"Amortización de K")</f>
        <v>1.0025376263739203</v>
      </c>
      <c r="O328" s="482">
        <v>6.3420346379280082E-2</v>
      </c>
      <c r="P328" s="482">
        <v>6.196552095428487E-2</v>
      </c>
      <c r="Q328" s="484">
        <v>45960</v>
      </c>
      <c r="R328" s="484">
        <v>46287</v>
      </c>
      <c r="S328" s="504" t="s">
        <v>146</v>
      </c>
      <c r="T328" s="505">
        <f>Tabla3[[#This Row],[Cantidad]]*Tabla3[[#This Row],[Cortes]]</f>
        <v>100000</v>
      </c>
      <c r="U328" s="506">
        <f t="shared" si="168"/>
        <v>97094.862145737308</v>
      </c>
      <c r="V328" s="506">
        <f t="shared" si="169"/>
        <v>97078.506243288226</v>
      </c>
      <c r="W328" s="487">
        <f>IF(Tabla3[[#This Row],[Fecha de operación]]=$C$1,0,U328-V328)</f>
        <v>16.35590244908235</v>
      </c>
      <c r="X328" s="507" t="str">
        <f t="shared" si="178"/>
        <v>Vigente</v>
      </c>
      <c r="Y328" s="489" t="s">
        <v>450</v>
      </c>
      <c r="Z328" s="488">
        <f t="shared" si="179"/>
        <v>175</v>
      </c>
      <c r="AA328" s="508">
        <f>IF(Y328="Mensual",DURATION($C$1,$C$1+Z328*12,J328/12,O328/12,1)/12,DURATION($C$1,R328,J328,O328,IF(Y328="Cupón cero",1,IF(Y328="Al vencimiento",1,IF(Y328="Anual",1,IF(Y328="Semestral",2,IF(Y328="Trimestral",4,"")))))))</f>
        <v>0.47118283183626353</v>
      </c>
      <c r="AB328" s="508">
        <f>IF(Y328="Mensual",MDURATION($C$1,$C$1+Z328*12,J328/12,O328/12,1)/12,MDURATION($C$1,R328,J328,O328,IF(Y328="Cupón cero",1,IF(Y328="Al vencimiento",1,IF(Y328="Anual",1,IF(Y328="Semestral",2,IF(Y328="Trimestral",4,"")))))))</f>
        <v>0.4638287862648639</v>
      </c>
      <c r="AC328" s="488" t="s">
        <v>451</v>
      </c>
      <c r="AD328" s="488" t="s">
        <v>452</v>
      </c>
      <c r="AG328" s="605">
        <f>+IF(Tabla3[[#This Row],[Amortización k | cupón de intereses]]="Amortización de K",Tabla3[[#This Row],[Valor Nominal]],0)</f>
        <v>100000</v>
      </c>
      <c r="AH328" s="605">
        <f>+IF(AND(Tabla3[[#This Row],[Amortización k | cupón de intereses]]="Cupón de interés",Tabla3[[#This Row],[Estado]]="Vigente"),Tabla3[[#This Row],[Valor Nominal]],0)</f>
        <v>0</v>
      </c>
      <c r="AI328" s="618">
        <f>+IF(Tabla3[[#This Row],[Amortización k | cupón de intereses]]="Amortización de K",SUMIFS($AH$7:$AH$557,Tabla3[Código Emisión],Tabla3[[#This Row],[Código Emisión]],Tabla3[Fecha de operación],Tabla3[[#This Row],[Fecha de operación]]),0)-Tabla3[[#This Row],[Accrued]]*Tabla3[[#This Row],[Valor Nominal]]</f>
        <v>2972.6254794520551</v>
      </c>
      <c r="AJ328" s="605">
        <f>+IF(Tabla3[[#This Row],[Amortización k | cupón de intereses]]="Amortización de K",IF(Tabla3[[#This Row],[Precio Clean]]&gt;1,Tabla3[[#This Row],[Valor Nominal]]*(Tabla3[[#This Row],[Precio Clean]]-1),0),0)</f>
        <v>0</v>
      </c>
      <c r="AK328" s="605">
        <f>+IF(Tabla3[[#This Row],[Amortización k | cupón de intereses]]="Amortización de K",IF(Tabla3[[#This Row],[Precio Clean]]&lt;1,Tabla3[[#This Row],[Valor Nominal]]*(Tabla3[[#This Row],[Precio Clean]]-1),0),0)</f>
        <v>-1.031883155910851</v>
      </c>
    </row>
    <row r="329" spans="1:37">
      <c r="A329" s="502"/>
      <c r="B329" s="437" t="str">
        <f t="shared" ref="B329:H332" si="199">+B328</f>
        <v>Solar Banco SAECA</v>
      </c>
      <c r="C329" s="437" t="str">
        <f t="shared" si="199"/>
        <v>SAF_6,20%_22092026_AA3164-68_50K</v>
      </c>
      <c r="D329" s="437" t="str">
        <f t="shared" si="199"/>
        <v>CDA</v>
      </c>
      <c r="E329" s="437" t="str">
        <f t="shared" si="199"/>
        <v>Apy</v>
      </c>
      <c r="F329" s="437" t="str">
        <f t="shared" si="199"/>
        <v>Financiero</v>
      </c>
      <c r="G329" s="437" t="str">
        <f t="shared" si="199"/>
        <v>Paraguay</v>
      </c>
      <c r="H329" s="437">
        <f t="shared" si="199"/>
        <v>2</v>
      </c>
      <c r="I329" s="492">
        <v>840.83</v>
      </c>
      <c r="J329" s="451"/>
      <c r="L329" s="442"/>
      <c r="M329" s="493"/>
      <c r="N329" s="493"/>
      <c r="O329" s="494">
        <f t="shared" ref="O329:Q332" si="200">+O328</f>
        <v>6.3420346379280082E-2</v>
      </c>
      <c r="P329" s="494">
        <f t="shared" si="200"/>
        <v>6.196552095428487E-2</v>
      </c>
      <c r="Q329" s="450">
        <f t="shared" si="200"/>
        <v>45960</v>
      </c>
      <c r="R329" s="450">
        <v>46287</v>
      </c>
      <c r="S329" s="509" t="s">
        <v>146</v>
      </c>
      <c r="T329" s="510">
        <f>Tabla3[[#This Row],[Cantidad]]*Tabla3[[#This Row],[Cortes]]</f>
        <v>1681.66</v>
      </c>
      <c r="U329" s="511">
        <f t="shared" si="168"/>
        <v>1632.8054587600061</v>
      </c>
      <c r="V329" s="511">
        <f t="shared" si="169"/>
        <v>1632.5304080908809</v>
      </c>
      <c r="W329" s="497">
        <f>IF(Tabla3[[#This Row],[Fecha de operación]]=$C$1,0,U329-V329)</f>
        <v>0.27505066912522125</v>
      </c>
      <c r="X329" s="512" t="str">
        <f t="shared" si="178"/>
        <v>Vigente</v>
      </c>
      <c r="Y329" s="498"/>
      <c r="Z329" s="469">
        <f t="shared" si="179"/>
        <v>175</v>
      </c>
      <c r="AA329" s="499">
        <f t="shared" ref="AA329:AB332" si="201">AA328</f>
        <v>0.47118283183626353</v>
      </c>
      <c r="AB329" s="499">
        <f t="shared" si="201"/>
        <v>0.4638287862648639</v>
      </c>
      <c r="AC329" s="469" t="str">
        <f t="shared" si="195"/>
        <v>Familiar CB</v>
      </c>
      <c r="AD329" s="469" t="s">
        <v>454</v>
      </c>
      <c r="AG329" s="605">
        <f>+IF(Tabla3[[#This Row],[Amortización k | cupón de intereses]]="Amortización de K",Tabla3[[#This Row],[Valor Nominal]],0)</f>
        <v>0</v>
      </c>
      <c r="AH329" s="605">
        <f>+IF(AND(Tabla3[[#This Row],[Amortización k | cupón de intereses]]="Cupón de interés",Tabla3[[#This Row],[Estado]]="Vigente"),Tabla3[[#This Row],[Valor Nominal]],0)</f>
        <v>1681.66</v>
      </c>
      <c r="AI329" s="618">
        <f>+IF(Tabla3[[#This Row],[Amortización k | cupón de intereses]]="Amortización de K",SUMIFS($AH$7:$AH$557,Tabla3[Código Emisión],Tabla3[[#This Row],[Código Emisión]],Tabla3[Fecha de operación],Tabla3[[#This Row],[Fecha de operación]]),0)-Tabla3[[#This Row],[Accrued]]*Tabla3[[#This Row],[Valor Nominal]]</f>
        <v>0</v>
      </c>
      <c r="AJ329" s="605">
        <f>+IF(Tabla3[[#This Row],[Amortización k | cupón de intereses]]="Amortización de K",IF(Tabla3[[#This Row],[Precio Clean]]&gt;1,Tabla3[[#This Row],[Valor Nominal]]*(Tabla3[[#This Row],[Precio Clean]]-1),0),0)</f>
        <v>0</v>
      </c>
      <c r="AK329" s="605">
        <f>+IF(Tabla3[[#This Row],[Amortización k | cupón de intereses]]="Amortización de K",IF(Tabla3[[#This Row],[Precio Clean]]&lt;1,Tabla3[[#This Row],[Valor Nominal]]*(Tabla3[[#This Row],[Precio Clean]]-1),0),0)</f>
        <v>0</v>
      </c>
    </row>
    <row r="330" spans="1:37">
      <c r="A330" s="502"/>
      <c r="B330" s="437" t="str">
        <f t="shared" si="199"/>
        <v>Solar Banco SAECA</v>
      </c>
      <c r="C330" s="437" t="str">
        <f t="shared" si="199"/>
        <v>SAF_6,20%_22092026_AA3164-68_50K</v>
      </c>
      <c r="D330" s="437" t="str">
        <f t="shared" si="199"/>
        <v>CDA</v>
      </c>
      <c r="E330" s="437" t="str">
        <f t="shared" si="199"/>
        <v>Apy</v>
      </c>
      <c r="F330" s="437" t="str">
        <f t="shared" si="199"/>
        <v>Financiero</v>
      </c>
      <c r="G330" s="437" t="str">
        <f t="shared" si="199"/>
        <v>Paraguay</v>
      </c>
      <c r="H330" s="437">
        <f t="shared" si="199"/>
        <v>2</v>
      </c>
      <c r="I330" s="492">
        <v>772.88</v>
      </c>
      <c r="J330" s="451"/>
      <c r="L330" s="442"/>
      <c r="M330" s="493"/>
      <c r="N330" s="493"/>
      <c r="O330" s="494">
        <f t="shared" si="200"/>
        <v>6.3420346379280082E-2</v>
      </c>
      <c r="P330" s="494">
        <f t="shared" si="200"/>
        <v>6.196552095428487E-2</v>
      </c>
      <c r="Q330" s="450">
        <f t="shared" si="200"/>
        <v>45960</v>
      </c>
      <c r="R330" s="450">
        <v>46188</v>
      </c>
      <c r="S330" s="509" t="s">
        <v>146</v>
      </c>
      <c r="T330" s="510">
        <f>Tabla3[[#This Row],[Cantidad]]*Tabla3[[#This Row],[Cortes]]</f>
        <v>1545.76</v>
      </c>
      <c r="U330" s="511">
        <f t="shared" ref="U330:U393" si="202">IF(X330="VIgente",(T330/(1+O330)^((R330-$U$5)/365)))</f>
        <v>1526.0950328947022</v>
      </c>
      <c r="V330" s="511">
        <f t="shared" ref="V330:V393" si="203">IF(X330="VIgente",(T330/(1+O330)^((R330-$V$5)/365)))</f>
        <v>1525.8379578967624</v>
      </c>
      <c r="W330" s="497">
        <f>IF(Tabla3[[#This Row],[Fecha de operación]]=$C$1,0,U330-V330)</f>
        <v>0.2570749979397533</v>
      </c>
      <c r="X330" s="512" t="str">
        <f t="shared" si="178"/>
        <v>Vigente</v>
      </c>
      <c r="Y330" s="498"/>
      <c r="Z330" s="469">
        <f t="shared" si="179"/>
        <v>76</v>
      </c>
      <c r="AA330" s="499">
        <f t="shared" si="201"/>
        <v>0.47118283183626353</v>
      </c>
      <c r="AB330" s="499">
        <f t="shared" si="201"/>
        <v>0.4638287862648639</v>
      </c>
      <c r="AC330" s="469" t="str">
        <f t="shared" si="195"/>
        <v>Familiar CB</v>
      </c>
      <c r="AD330" s="469" t="s">
        <v>454</v>
      </c>
      <c r="AG330" s="605">
        <f>+IF(Tabla3[[#This Row],[Amortización k | cupón de intereses]]="Amortización de K",Tabla3[[#This Row],[Valor Nominal]],0)</f>
        <v>0</v>
      </c>
      <c r="AH330" s="605">
        <f>+IF(AND(Tabla3[[#This Row],[Amortización k | cupón de intereses]]="Cupón de interés",Tabla3[[#This Row],[Estado]]="Vigente"),Tabla3[[#This Row],[Valor Nominal]],0)</f>
        <v>1545.76</v>
      </c>
      <c r="AI330" s="618">
        <f>+IF(Tabla3[[#This Row],[Amortización k | cupón de intereses]]="Amortización de K",SUMIFS($AH$7:$AH$557,Tabla3[Código Emisión],Tabla3[[#This Row],[Código Emisión]],Tabla3[Fecha de operación],Tabla3[[#This Row],[Fecha de operación]]),0)-Tabla3[[#This Row],[Accrued]]*Tabla3[[#This Row],[Valor Nominal]]</f>
        <v>0</v>
      </c>
      <c r="AJ330" s="605">
        <f>+IF(Tabla3[[#This Row],[Amortización k | cupón de intereses]]="Amortización de K",IF(Tabla3[[#This Row],[Precio Clean]]&gt;1,Tabla3[[#This Row],[Valor Nominal]]*(Tabla3[[#This Row],[Precio Clean]]-1),0),0)</f>
        <v>0</v>
      </c>
      <c r="AK330" s="605">
        <f>+IF(Tabla3[[#This Row],[Amortización k | cupón de intereses]]="Amortización de K",IF(Tabla3[[#This Row],[Precio Clean]]&lt;1,Tabla3[[#This Row],[Valor Nominal]]*(Tabla3[[#This Row],[Precio Clean]]-1),0),0)</f>
        <v>0</v>
      </c>
    </row>
    <row r="331" spans="1:37">
      <c r="A331" s="502"/>
      <c r="B331" s="437" t="str">
        <f t="shared" si="199"/>
        <v>Solar Banco SAECA</v>
      </c>
      <c r="C331" s="437" t="str">
        <f t="shared" si="199"/>
        <v>SAF_6,20%_22092026_AA3164-68_50K</v>
      </c>
      <c r="D331" s="437" t="str">
        <f t="shared" si="199"/>
        <v>CDA</v>
      </c>
      <c r="E331" s="437" t="str">
        <f t="shared" si="199"/>
        <v>Apy</v>
      </c>
      <c r="F331" s="437" t="str">
        <f t="shared" si="199"/>
        <v>Financiero</v>
      </c>
      <c r="G331" s="437" t="str">
        <f t="shared" si="199"/>
        <v>Paraguay</v>
      </c>
      <c r="H331" s="437">
        <f t="shared" si="199"/>
        <v>2</v>
      </c>
      <c r="I331" s="492">
        <v>764.38</v>
      </c>
      <c r="J331" s="451"/>
      <c r="L331" s="442"/>
      <c r="M331" s="493"/>
      <c r="N331" s="493"/>
      <c r="O331" s="494">
        <f t="shared" si="200"/>
        <v>6.3420346379280082E-2</v>
      </c>
      <c r="P331" s="494">
        <f t="shared" si="200"/>
        <v>6.196552095428487E-2</v>
      </c>
      <c r="Q331" s="450">
        <f t="shared" si="200"/>
        <v>45960</v>
      </c>
      <c r="R331" s="450">
        <v>46097</v>
      </c>
      <c r="S331" s="509" t="s">
        <v>146</v>
      </c>
      <c r="T331" s="510">
        <f>Tabla3[[#This Row],[Cantidad]]*Tabla3[[#This Row],[Cortes]]</f>
        <v>1528.76</v>
      </c>
      <c r="U331" s="511" t="b">
        <f t="shared" si="202"/>
        <v>0</v>
      </c>
      <c r="V331" s="511" t="b">
        <f t="shared" si="203"/>
        <v>0</v>
      </c>
      <c r="W331" s="497">
        <f>IF(Tabla3[[#This Row],[Fecha de operación]]=$C$1,0,U331-V331)</f>
        <v>0</v>
      </c>
      <c r="X331" s="512" t="str">
        <f t="shared" si="178"/>
        <v>Vencido</v>
      </c>
      <c r="Y331" s="498"/>
      <c r="Z331" s="469">
        <f t="shared" si="179"/>
        <v>-15</v>
      </c>
      <c r="AA331" s="499">
        <f t="shared" si="201"/>
        <v>0.47118283183626353</v>
      </c>
      <c r="AB331" s="499">
        <f t="shared" si="201"/>
        <v>0.4638287862648639</v>
      </c>
      <c r="AC331" s="469" t="str">
        <f t="shared" si="195"/>
        <v>Familiar CB</v>
      </c>
      <c r="AD331" s="469" t="s">
        <v>454</v>
      </c>
      <c r="AG331" s="605">
        <f>+IF(Tabla3[[#This Row],[Amortización k | cupón de intereses]]="Amortización de K",Tabla3[[#This Row],[Valor Nominal]],0)</f>
        <v>0</v>
      </c>
      <c r="AH331" s="605">
        <f>+IF(AND(Tabla3[[#This Row],[Amortización k | cupón de intereses]]="Cupón de interés",Tabla3[[#This Row],[Estado]]="Vigente"),Tabla3[[#This Row],[Valor Nominal]],0)</f>
        <v>0</v>
      </c>
      <c r="AI331" s="618">
        <f>+IF(Tabla3[[#This Row],[Amortización k | cupón de intereses]]="Amortización de K",SUMIFS($AH$7:$AH$557,Tabla3[Código Emisión],Tabla3[[#This Row],[Código Emisión]],Tabla3[Fecha de operación],Tabla3[[#This Row],[Fecha de operación]]),0)-Tabla3[[#This Row],[Accrued]]*Tabla3[[#This Row],[Valor Nominal]]</f>
        <v>0</v>
      </c>
      <c r="AJ331" s="605">
        <f>+IF(Tabla3[[#This Row],[Amortización k | cupón de intereses]]="Amortización de K",IF(Tabla3[[#This Row],[Precio Clean]]&gt;1,Tabla3[[#This Row],[Valor Nominal]]*(Tabla3[[#This Row],[Precio Clean]]-1),0),0)</f>
        <v>0</v>
      </c>
      <c r="AK331" s="605">
        <f>+IF(Tabla3[[#This Row],[Amortización k | cupón de intereses]]="Amortización de K",IF(Tabla3[[#This Row],[Precio Clean]]&lt;1,Tabla3[[#This Row],[Valor Nominal]]*(Tabla3[[#This Row],[Precio Clean]]-1),0),0)</f>
        <v>0</v>
      </c>
    </row>
    <row r="332" spans="1:37">
      <c r="A332" s="502"/>
      <c r="B332" s="437" t="str">
        <f t="shared" si="199"/>
        <v>Solar Banco SAECA</v>
      </c>
      <c r="C332" s="437" t="str">
        <f t="shared" si="199"/>
        <v>SAF_6,20%_22092026_AA3164-68_50K</v>
      </c>
      <c r="D332" s="437" t="str">
        <f t="shared" si="199"/>
        <v>CDA</v>
      </c>
      <c r="E332" s="437" t="str">
        <f t="shared" si="199"/>
        <v>Apy</v>
      </c>
      <c r="F332" s="437" t="str">
        <f t="shared" si="199"/>
        <v>Financiero</v>
      </c>
      <c r="G332" s="437" t="str">
        <f t="shared" si="199"/>
        <v>Paraguay</v>
      </c>
      <c r="H332" s="437">
        <f t="shared" si="199"/>
        <v>2</v>
      </c>
      <c r="I332" s="492">
        <v>764.38</v>
      </c>
      <c r="J332" s="451"/>
      <c r="L332" s="442"/>
      <c r="M332" s="493"/>
      <c r="N332" s="493"/>
      <c r="O332" s="494">
        <f t="shared" si="200"/>
        <v>6.3420346379280082E-2</v>
      </c>
      <c r="P332" s="494">
        <f t="shared" si="200"/>
        <v>6.196552095428487E-2</v>
      </c>
      <c r="Q332" s="450">
        <f t="shared" si="200"/>
        <v>45960</v>
      </c>
      <c r="R332" s="450">
        <v>46007</v>
      </c>
      <c r="S332" s="509" t="s">
        <v>146</v>
      </c>
      <c r="T332" s="510">
        <f>Tabla3[[#This Row],[Cantidad]]*Tabla3[[#This Row],[Cortes]]</f>
        <v>1528.76</v>
      </c>
      <c r="U332" s="511" t="b">
        <f t="shared" si="202"/>
        <v>0</v>
      </c>
      <c r="V332" s="511" t="b">
        <f t="shared" si="203"/>
        <v>0</v>
      </c>
      <c r="W332" s="497">
        <f>IF(Tabla3[[#This Row],[Fecha de operación]]=$C$1,0,U332-V332)</f>
        <v>0</v>
      </c>
      <c r="X332" s="512" t="str">
        <f t="shared" si="178"/>
        <v>Vencido</v>
      </c>
      <c r="Y332" s="498"/>
      <c r="Z332" s="469">
        <f t="shared" si="179"/>
        <v>-105</v>
      </c>
      <c r="AA332" s="499">
        <f t="shared" si="201"/>
        <v>0.47118283183626353</v>
      </c>
      <c r="AB332" s="499">
        <f t="shared" si="201"/>
        <v>0.4638287862648639</v>
      </c>
      <c r="AC332" s="469" t="str">
        <f t="shared" si="195"/>
        <v>Familiar CB</v>
      </c>
      <c r="AD332" s="469" t="s">
        <v>454</v>
      </c>
      <c r="AG332" s="605">
        <f>+IF(Tabla3[[#This Row],[Amortización k | cupón de intereses]]="Amortización de K",Tabla3[[#This Row],[Valor Nominal]],0)</f>
        <v>0</v>
      </c>
      <c r="AH332" s="605">
        <f>+IF(AND(Tabla3[[#This Row],[Amortización k | cupón de intereses]]="Cupón de interés",Tabla3[[#This Row],[Estado]]="Vigente"),Tabla3[[#This Row],[Valor Nominal]],0)</f>
        <v>0</v>
      </c>
      <c r="AI332" s="618">
        <f>+IF(Tabla3[[#This Row],[Amortización k | cupón de intereses]]="Amortización de K",SUMIFS($AH$7:$AH$557,Tabla3[Código Emisión],Tabla3[[#This Row],[Código Emisión]],Tabla3[Fecha de operación],Tabla3[[#This Row],[Fecha de operación]]),0)-Tabla3[[#This Row],[Accrued]]*Tabla3[[#This Row],[Valor Nominal]]</f>
        <v>0</v>
      </c>
      <c r="AJ332" s="605">
        <f>+IF(Tabla3[[#This Row],[Amortización k | cupón de intereses]]="Amortización de K",IF(Tabla3[[#This Row],[Precio Clean]]&gt;1,Tabla3[[#This Row],[Valor Nominal]]*(Tabla3[[#This Row],[Precio Clean]]-1),0),0)</f>
        <v>0</v>
      </c>
      <c r="AK332" s="605">
        <f>+IF(Tabla3[[#This Row],[Amortización k | cupón de intereses]]="Amortización de K",IF(Tabla3[[#This Row],[Precio Clean]]&lt;1,Tabla3[[#This Row],[Valor Nominal]]*(Tabla3[[#This Row],[Precio Clean]]-1),0),0)</f>
        <v>0</v>
      </c>
    </row>
    <row r="333" spans="1:37" ht="15">
      <c r="A333" s="500">
        <f>+A328+1</f>
        <v>32</v>
      </c>
      <c r="B333" s="475" t="s">
        <v>516</v>
      </c>
      <c r="C333" s="475" t="s">
        <v>570</v>
      </c>
      <c r="D333" s="475" t="s">
        <v>453</v>
      </c>
      <c r="E333" s="475" t="s">
        <v>449</v>
      </c>
      <c r="F333" s="475" t="s">
        <v>297</v>
      </c>
      <c r="G333" s="475" t="s">
        <v>298</v>
      </c>
      <c r="H333" s="575">
        <v>1</v>
      </c>
      <c r="I333" s="477">
        <v>150000</v>
      </c>
      <c r="J333" s="478">
        <v>6.1499999999999999E-2</v>
      </c>
      <c r="K333" s="479">
        <f>_xlfn.MAXIFS(R:R,C:C,C333,AD:AD,"Cupón de interés",X:X,"Vencido")</f>
        <v>46099</v>
      </c>
      <c r="L333" s="478">
        <f>+Tabla3[[#This Row],[Tasa de Interés]]*($U$5-Tabla3[[#This Row],[Last coupon]])/365</f>
        <v>2.1904109589041096E-3</v>
      </c>
      <c r="M333" s="480">
        <f>+Tabla3[[#This Row],[Precio Dirty]]-Tabla3[[#This Row],[Accrued]]</f>
        <v>0.99998093923359122</v>
      </c>
      <c r="N333" s="481">
        <f>SUMIFS(U:U,C:C,C333,Q:Q,Q333)/SUMIFS(T:T,C:C,C333,Q:Q,Q333,AD:AD,"Amortización de K")</f>
        <v>1.0021713501924954</v>
      </c>
      <c r="O333" s="482">
        <v>6.2930610775947568E-2</v>
      </c>
      <c r="P333" s="482">
        <v>6.1499999999999999E-2</v>
      </c>
      <c r="Q333" s="484">
        <v>45961</v>
      </c>
      <c r="R333" s="484">
        <v>46469</v>
      </c>
      <c r="S333" s="504" t="s">
        <v>146</v>
      </c>
      <c r="T333" s="505">
        <f>Tabla3[[#This Row],[Cantidad]]*Tabla3[[#This Row],[Cortes]]</f>
        <v>150000</v>
      </c>
      <c r="U333" s="506">
        <f t="shared" si="202"/>
        <v>141308.17074810024</v>
      </c>
      <c r="V333" s="506">
        <f t="shared" si="203"/>
        <v>141284.54529237672</v>
      </c>
      <c r="W333" s="487">
        <f>IF(Tabla3[[#This Row],[Fecha de operación]]=$C$1,0,U333-V333)</f>
        <v>23.625455723522464</v>
      </c>
      <c r="X333" s="507" t="str">
        <f t="shared" si="178"/>
        <v>Vigente</v>
      </c>
      <c r="Y333" s="489" t="s">
        <v>450</v>
      </c>
      <c r="Z333" s="488">
        <f t="shared" si="179"/>
        <v>357</v>
      </c>
      <c r="AA333" s="508">
        <f>IF(Y333="Mensual",DURATION($C$1,$C$1+Z333*12,J333/12,O333/12,1)/12,DURATION($C$1,R333,J333,O333,IF(Y333="Cupón cero",1,IF(Y333="Al vencimiento",1,IF(Y333="Anual",1,IF(Y333="Semestral",2,IF(Y333="Trimestral",4,"")))))))</f>
        <v>0.95527507341927598</v>
      </c>
      <c r="AB333" s="508">
        <f>IF(Y333="Mensual",MDURATION($C$1,$C$1+Z333*12,J333/12,O333/12,1)/12,MDURATION($C$1,R333,J333,O333,IF(Y333="Cupón cero",1,IF(Y333="Al vencimiento",1,IF(Y333="Anual",1,IF(Y333="Semestral",2,IF(Y333="Trimestral",4,"")))))))</f>
        <v>0.94047884636339907</v>
      </c>
      <c r="AC333" s="488" t="s">
        <v>451</v>
      </c>
      <c r="AD333" s="488" t="s">
        <v>452</v>
      </c>
      <c r="AG333" s="605">
        <f>+IF(Tabla3[[#This Row],[Amortización k | cupón de intereses]]="Amortización de K",Tabla3[[#This Row],[Valor Nominal]],0)</f>
        <v>150000</v>
      </c>
      <c r="AH333" s="605">
        <f>+IF(AND(Tabla3[[#This Row],[Amortización k | cupón de intereses]]="Cupón de interés",Tabla3[[#This Row],[Estado]]="Vigente"),Tabla3[[#This Row],[Valor Nominal]],0)</f>
        <v>0</v>
      </c>
      <c r="AI333" s="618">
        <f>+IF(Tabla3[[#This Row],[Amortización k | cupón de intereses]]="Amortización de K",SUMIFS($AH$7:$AH$557,Tabla3[Código Emisión],Tabla3[[#This Row],[Código Emisión]],Tabla3[Fecha de operación],Tabla3[[#This Row],[Fecha de operación]]),0)-Tabla3[[#This Row],[Accrued]]*Tabla3[[#This Row],[Valor Nominal]]</f>
        <v>9022.798356164385</v>
      </c>
      <c r="AJ333" s="605">
        <f>+IF(Tabla3[[#This Row],[Amortización k | cupón de intereses]]="Amortización de K",IF(Tabla3[[#This Row],[Precio Clean]]&gt;1,Tabla3[[#This Row],[Valor Nominal]]*(Tabla3[[#This Row],[Precio Clean]]-1),0),0)</f>
        <v>0</v>
      </c>
      <c r="AK333" s="605">
        <f>+IF(Tabla3[[#This Row],[Amortización k | cupón de intereses]]="Amortización de K",IF(Tabla3[[#This Row],[Precio Clean]]&lt;1,Tabla3[[#This Row],[Valor Nominal]]*(Tabla3[[#This Row],[Precio Clean]]-1),0),0)</f>
        <v>-2.8591149613177436</v>
      </c>
    </row>
    <row r="334" spans="1:37">
      <c r="A334" s="502"/>
      <c r="B334" s="437" t="str">
        <f t="shared" ref="B334:H339" si="204">+B333</f>
        <v>Bancop S.A.</v>
      </c>
      <c r="C334" s="437" t="str">
        <f t="shared" si="204"/>
        <v>BCO_6,15%_23032027_AA4031-35_150K</v>
      </c>
      <c r="D334" s="437" t="str">
        <f t="shared" si="204"/>
        <v>CDA</v>
      </c>
      <c r="E334" s="437" t="str">
        <f t="shared" si="204"/>
        <v>AA-py</v>
      </c>
      <c r="F334" s="437" t="str">
        <f t="shared" si="204"/>
        <v>Financiero</v>
      </c>
      <c r="G334" s="437" t="str">
        <f t="shared" si="204"/>
        <v>Paraguay</v>
      </c>
      <c r="H334" s="440">
        <f>+H333</f>
        <v>1</v>
      </c>
      <c r="I334" s="492">
        <v>2502.11</v>
      </c>
      <c r="J334" s="451"/>
      <c r="L334" s="442"/>
      <c r="M334" s="493"/>
      <c r="N334" s="493"/>
      <c r="O334" s="494">
        <f t="shared" ref="O334:P339" si="205">+O333</f>
        <v>6.2930610775947568E-2</v>
      </c>
      <c r="P334" s="494">
        <f t="shared" si="205"/>
        <v>6.1499999999999999E-2</v>
      </c>
      <c r="Q334" s="450">
        <v>45961</v>
      </c>
      <c r="R334" s="450">
        <v>46469</v>
      </c>
      <c r="S334" s="509" t="s">
        <v>146</v>
      </c>
      <c r="T334" s="510">
        <f>Tabla3[[#This Row],[Cantidad]]*Tabla3[[#This Row],[Cortes]]</f>
        <v>2502.11</v>
      </c>
      <c r="U334" s="511">
        <f t="shared" si="202"/>
        <v>2357.1239140701941</v>
      </c>
      <c r="V334" s="511">
        <f t="shared" si="203"/>
        <v>2356.7298241433914</v>
      </c>
      <c r="W334" s="497">
        <f>IF(Tabla3[[#This Row],[Fecha de operación]]=$C$1,0,U334-V334)</f>
        <v>0.39408992680273514</v>
      </c>
      <c r="X334" s="512" t="str">
        <f t="shared" si="178"/>
        <v>Vigente</v>
      </c>
      <c r="Y334" s="498"/>
      <c r="Z334" s="469">
        <f t="shared" si="179"/>
        <v>357</v>
      </c>
      <c r="AA334" s="499">
        <f t="shared" ref="AA334:AB339" si="206">AA333</f>
        <v>0.95527507341927598</v>
      </c>
      <c r="AB334" s="499">
        <f t="shared" si="206"/>
        <v>0.94047884636339907</v>
      </c>
      <c r="AC334" s="469" t="str">
        <f t="shared" si="195"/>
        <v>Familiar CB</v>
      </c>
      <c r="AD334" s="469" t="s">
        <v>454</v>
      </c>
      <c r="AG334" s="605">
        <f>+IF(Tabla3[[#This Row],[Amortización k | cupón de intereses]]="Amortización de K",Tabla3[[#This Row],[Valor Nominal]],0)</f>
        <v>0</v>
      </c>
      <c r="AH334" s="605">
        <f>+IF(AND(Tabla3[[#This Row],[Amortización k | cupón de intereses]]="Cupón de interés",Tabla3[[#This Row],[Estado]]="Vigente"),Tabla3[[#This Row],[Valor Nominal]],0)</f>
        <v>2502.11</v>
      </c>
      <c r="AI334" s="618">
        <f>+IF(Tabla3[[#This Row],[Amortización k | cupón de intereses]]="Amortización de K",SUMIFS($AH$7:$AH$557,Tabla3[Código Emisión],Tabla3[[#This Row],[Código Emisión]],Tabla3[Fecha de operación],Tabla3[[#This Row],[Fecha de operación]]),0)-Tabla3[[#This Row],[Accrued]]*Tabla3[[#This Row],[Valor Nominal]]</f>
        <v>0</v>
      </c>
      <c r="AJ334" s="605">
        <f>+IF(Tabla3[[#This Row],[Amortización k | cupón de intereses]]="Amortización de K",IF(Tabla3[[#This Row],[Precio Clean]]&gt;1,Tabla3[[#This Row],[Valor Nominal]]*(Tabla3[[#This Row],[Precio Clean]]-1),0),0)</f>
        <v>0</v>
      </c>
      <c r="AK334" s="605">
        <f>+IF(Tabla3[[#This Row],[Amortización k | cupón de intereses]]="Amortización de K",IF(Tabla3[[#This Row],[Precio Clean]]&lt;1,Tabla3[[#This Row],[Valor Nominal]]*(Tabla3[[#This Row],[Precio Clean]]-1),0),0)</f>
        <v>0</v>
      </c>
    </row>
    <row r="335" spans="1:37">
      <c r="A335" s="502"/>
      <c r="B335" s="437" t="str">
        <f t="shared" si="204"/>
        <v>Bancop S.A.</v>
      </c>
      <c r="C335" s="437" t="str">
        <f t="shared" si="204"/>
        <v>BCO_6,15%_23032027_AA4031-35_150K</v>
      </c>
      <c r="D335" s="437" t="str">
        <f t="shared" si="204"/>
        <v>CDA</v>
      </c>
      <c r="E335" s="437" t="str">
        <f t="shared" si="204"/>
        <v>AA-py</v>
      </c>
      <c r="F335" s="437" t="str">
        <f t="shared" si="204"/>
        <v>Financiero</v>
      </c>
      <c r="G335" s="437" t="str">
        <f t="shared" si="204"/>
        <v>Paraguay</v>
      </c>
      <c r="H335" s="440">
        <f t="shared" si="204"/>
        <v>1</v>
      </c>
      <c r="I335" s="492">
        <v>2299.9299999999998</v>
      </c>
      <c r="J335" s="451"/>
      <c r="L335" s="442"/>
      <c r="M335" s="493"/>
      <c r="N335" s="493"/>
      <c r="O335" s="494">
        <f t="shared" si="205"/>
        <v>6.2930610775947568E-2</v>
      </c>
      <c r="P335" s="494">
        <f t="shared" si="205"/>
        <v>6.1499999999999999E-2</v>
      </c>
      <c r="Q335" s="450">
        <v>45961</v>
      </c>
      <c r="R335" s="450">
        <v>46370</v>
      </c>
      <c r="S335" s="509" t="s">
        <v>146</v>
      </c>
      <c r="T335" s="510">
        <f>Tabla3[[#This Row],[Cantidad]]*Tabla3[[#This Row],[Cortes]]</f>
        <v>2299.9299999999998</v>
      </c>
      <c r="U335" s="511">
        <f t="shared" si="202"/>
        <v>2202.8231790948475</v>
      </c>
      <c r="V335" s="511">
        <f t="shared" si="203"/>
        <v>2202.454886863698</v>
      </c>
      <c r="W335" s="497">
        <f>IF(Tabla3[[#This Row],[Fecha de operación]]=$C$1,0,U335-V335)</f>
        <v>0.36829223114955312</v>
      </c>
      <c r="X335" s="512" t="str">
        <f t="shared" si="178"/>
        <v>Vigente</v>
      </c>
      <c r="Y335" s="498"/>
      <c r="Z335" s="469">
        <f t="shared" si="179"/>
        <v>258</v>
      </c>
      <c r="AA335" s="499">
        <f t="shared" si="206"/>
        <v>0.95527507341927598</v>
      </c>
      <c r="AB335" s="499">
        <f t="shared" si="206"/>
        <v>0.94047884636339907</v>
      </c>
      <c r="AC335" s="469" t="str">
        <f t="shared" si="195"/>
        <v>Familiar CB</v>
      </c>
      <c r="AD335" s="469" t="s">
        <v>454</v>
      </c>
      <c r="AG335" s="605">
        <f>+IF(Tabla3[[#This Row],[Amortización k | cupón de intereses]]="Amortización de K",Tabla3[[#This Row],[Valor Nominal]],0)</f>
        <v>0</v>
      </c>
      <c r="AH335" s="605">
        <f>+IF(AND(Tabla3[[#This Row],[Amortización k | cupón de intereses]]="Cupón de interés",Tabla3[[#This Row],[Estado]]="Vigente"),Tabla3[[#This Row],[Valor Nominal]],0)</f>
        <v>2299.9299999999998</v>
      </c>
      <c r="AI335" s="618">
        <f>+IF(Tabla3[[#This Row],[Amortización k | cupón de intereses]]="Amortización de K",SUMIFS($AH$7:$AH$557,Tabla3[Código Emisión],Tabla3[[#This Row],[Código Emisión]],Tabla3[Fecha de operación],Tabla3[[#This Row],[Fecha de operación]]),0)-Tabla3[[#This Row],[Accrued]]*Tabla3[[#This Row],[Valor Nominal]]</f>
        <v>0</v>
      </c>
      <c r="AJ335" s="605">
        <f>+IF(Tabla3[[#This Row],[Amortización k | cupón de intereses]]="Amortización de K",IF(Tabla3[[#This Row],[Precio Clean]]&gt;1,Tabla3[[#This Row],[Valor Nominal]]*(Tabla3[[#This Row],[Precio Clean]]-1),0),0)</f>
        <v>0</v>
      </c>
      <c r="AK335" s="605">
        <f>+IF(Tabla3[[#This Row],[Amortización k | cupón de intereses]]="Amortización de K",IF(Tabla3[[#This Row],[Precio Clean]]&lt;1,Tabla3[[#This Row],[Valor Nominal]]*(Tabla3[[#This Row],[Precio Clean]]-1),0),0)</f>
        <v>0</v>
      </c>
    </row>
    <row r="336" spans="1:37">
      <c r="A336" s="502"/>
      <c r="B336" s="437" t="str">
        <f t="shared" si="204"/>
        <v>Bancop S.A.</v>
      </c>
      <c r="C336" s="437" t="str">
        <f t="shared" si="204"/>
        <v>BCO_6,15%_23032027_AA4031-35_150K</v>
      </c>
      <c r="D336" s="437" t="str">
        <f t="shared" si="204"/>
        <v>CDA</v>
      </c>
      <c r="E336" s="437" t="str">
        <f t="shared" si="204"/>
        <v>AA-py</v>
      </c>
      <c r="F336" s="437" t="str">
        <f t="shared" si="204"/>
        <v>Financiero</v>
      </c>
      <c r="G336" s="437" t="str">
        <f t="shared" si="204"/>
        <v>Paraguay</v>
      </c>
      <c r="H336" s="440">
        <f t="shared" si="204"/>
        <v>1</v>
      </c>
      <c r="I336" s="492">
        <v>2274.66</v>
      </c>
      <c r="J336" s="451"/>
      <c r="L336" s="442"/>
      <c r="M336" s="493"/>
      <c r="N336" s="493"/>
      <c r="O336" s="494">
        <f t="shared" si="205"/>
        <v>6.2930610775947568E-2</v>
      </c>
      <c r="P336" s="494">
        <f t="shared" si="205"/>
        <v>6.1499999999999999E-2</v>
      </c>
      <c r="Q336" s="450">
        <v>45961</v>
      </c>
      <c r="R336" s="450">
        <v>46279</v>
      </c>
      <c r="S336" s="509" t="s">
        <v>146</v>
      </c>
      <c r="T336" s="510">
        <f>Tabla3[[#This Row],[Cantidad]]*Tabla3[[#This Row],[Cortes]]</f>
        <v>2274.66</v>
      </c>
      <c r="U336" s="511">
        <f t="shared" si="202"/>
        <v>2212.0227264473056</v>
      </c>
      <c r="V336" s="511">
        <f t="shared" si="203"/>
        <v>2211.6528961345466</v>
      </c>
      <c r="W336" s="497">
        <f>IF(Tabla3[[#This Row],[Fecha de operación]]=$C$1,0,U336-V336)</f>
        <v>0.36983031275894973</v>
      </c>
      <c r="X336" s="512" t="str">
        <f t="shared" si="178"/>
        <v>Vigente</v>
      </c>
      <c r="Y336" s="498"/>
      <c r="Z336" s="469">
        <f t="shared" si="179"/>
        <v>167</v>
      </c>
      <c r="AA336" s="499">
        <f t="shared" si="206"/>
        <v>0.95527507341927598</v>
      </c>
      <c r="AB336" s="499">
        <f t="shared" si="206"/>
        <v>0.94047884636339907</v>
      </c>
      <c r="AC336" s="469" t="str">
        <f t="shared" si="195"/>
        <v>Familiar CB</v>
      </c>
      <c r="AD336" s="469" t="s">
        <v>454</v>
      </c>
      <c r="AG336" s="605">
        <f>+IF(Tabla3[[#This Row],[Amortización k | cupón de intereses]]="Amortización de K",Tabla3[[#This Row],[Valor Nominal]],0)</f>
        <v>0</v>
      </c>
      <c r="AH336" s="605">
        <f>+IF(AND(Tabla3[[#This Row],[Amortización k | cupón de intereses]]="Cupón de interés",Tabla3[[#This Row],[Estado]]="Vigente"),Tabla3[[#This Row],[Valor Nominal]],0)</f>
        <v>2274.66</v>
      </c>
      <c r="AI336" s="618">
        <f>+IF(Tabla3[[#This Row],[Amortización k | cupón de intereses]]="Amortización de K",SUMIFS($AH$7:$AH$557,Tabla3[Código Emisión],Tabla3[[#This Row],[Código Emisión]],Tabla3[Fecha de operación],Tabla3[[#This Row],[Fecha de operación]]),0)-Tabla3[[#This Row],[Accrued]]*Tabla3[[#This Row],[Valor Nominal]]</f>
        <v>0</v>
      </c>
      <c r="AJ336" s="605">
        <f>+IF(Tabla3[[#This Row],[Amortización k | cupón de intereses]]="Amortización de K",IF(Tabla3[[#This Row],[Precio Clean]]&gt;1,Tabla3[[#This Row],[Valor Nominal]]*(Tabla3[[#This Row],[Precio Clean]]-1),0),0)</f>
        <v>0</v>
      </c>
      <c r="AK336" s="605">
        <f>+IF(Tabla3[[#This Row],[Amortización k | cupón de intereses]]="Amortización de K",IF(Tabla3[[#This Row],[Precio Clean]]&lt;1,Tabla3[[#This Row],[Valor Nominal]]*(Tabla3[[#This Row],[Precio Clean]]-1),0),0)</f>
        <v>0</v>
      </c>
    </row>
    <row r="337" spans="1:37">
      <c r="A337" s="502"/>
      <c r="B337" s="437" t="str">
        <f t="shared" si="204"/>
        <v>Bancop S.A.</v>
      </c>
      <c r="C337" s="437" t="str">
        <f t="shared" si="204"/>
        <v>BCO_6,15%_23032027_AA4031-35_150K</v>
      </c>
      <c r="D337" s="437" t="str">
        <f t="shared" si="204"/>
        <v>CDA</v>
      </c>
      <c r="E337" s="437" t="str">
        <f t="shared" si="204"/>
        <v>AA-py</v>
      </c>
      <c r="F337" s="437" t="str">
        <f t="shared" si="204"/>
        <v>Financiero</v>
      </c>
      <c r="G337" s="437" t="str">
        <f t="shared" si="204"/>
        <v>Paraguay</v>
      </c>
      <c r="H337" s="440">
        <f t="shared" si="204"/>
        <v>1</v>
      </c>
      <c r="I337" s="492">
        <v>2274.66</v>
      </c>
      <c r="J337" s="451"/>
      <c r="L337" s="442"/>
      <c r="M337" s="493"/>
      <c r="N337" s="493"/>
      <c r="O337" s="494">
        <f t="shared" si="205"/>
        <v>6.2930610775947568E-2</v>
      </c>
      <c r="P337" s="494">
        <f t="shared" si="205"/>
        <v>6.1499999999999999E-2</v>
      </c>
      <c r="Q337" s="450">
        <v>45961</v>
      </c>
      <c r="R337" s="450">
        <v>46189</v>
      </c>
      <c r="S337" s="509" t="s">
        <v>146</v>
      </c>
      <c r="T337" s="510">
        <f>Tabla3[[#This Row],[Cantidad]]*Tabla3[[#This Row],[Cortes]]</f>
        <v>2274.66</v>
      </c>
      <c r="U337" s="511">
        <f t="shared" si="202"/>
        <v>2245.5619611617208</v>
      </c>
      <c r="V337" s="511">
        <f t="shared" si="203"/>
        <v>2245.1865233904514</v>
      </c>
      <c r="W337" s="497">
        <f>IF(Tabla3[[#This Row],[Fecha de operación]]=$C$1,0,U337-V337)</f>
        <v>0.37543777126938949</v>
      </c>
      <c r="X337" s="512" t="str">
        <f t="shared" si="178"/>
        <v>Vigente</v>
      </c>
      <c r="Y337" s="498"/>
      <c r="Z337" s="469">
        <f t="shared" si="179"/>
        <v>77</v>
      </c>
      <c r="AA337" s="499">
        <f t="shared" si="206"/>
        <v>0.95527507341927598</v>
      </c>
      <c r="AB337" s="499">
        <f t="shared" si="206"/>
        <v>0.94047884636339907</v>
      </c>
      <c r="AC337" s="469" t="str">
        <f t="shared" si="195"/>
        <v>Familiar CB</v>
      </c>
      <c r="AD337" s="469" t="s">
        <v>454</v>
      </c>
      <c r="AG337" s="605">
        <f>+IF(Tabla3[[#This Row],[Amortización k | cupón de intereses]]="Amortización de K",Tabla3[[#This Row],[Valor Nominal]],0)</f>
        <v>0</v>
      </c>
      <c r="AH337" s="605">
        <f>+IF(AND(Tabla3[[#This Row],[Amortización k | cupón de intereses]]="Cupón de interés",Tabla3[[#This Row],[Estado]]="Vigente"),Tabla3[[#This Row],[Valor Nominal]],0)</f>
        <v>2274.66</v>
      </c>
      <c r="AI337" s="618">
        <f>+IF(Tabla3[[#This Row],[Amortización k | cupón de intereses]]="Amortización de K",SUMIFS($AH$7:$AH$557,Tabla3[Código Emisión],Tabla3[[#This Row],[Código Emisión]],Tabla3[Fecha de operación],Tabla3[[#This Row],[Fecha de operación]]),0)-Tabla3[[#This Row],[Accrued]]*Tabla3[[#This Row],[Valor Nominal]]</f>
        <v>0</v>
      </c>
      <c r="AJ337" s="605">
        <f>+IF(Tabla3[[#This Row],[Amortización k | cupón de intereses]]="Amortización de K",IF(Tabla3[[#This Row],[Precio Clean]]&gt;1,Tabla3[[#This Row],[Valor Nominal]]*(Tabla3[[#This Row],[Precio Clean]]-1),0),0)</f>
        <v>0</v>
      </c>
      <c r="AK337" s="605">
        <f>+IF(Tabla3[[#This Row],[Amortización k | cupón de intereses]]="Amortización de K",IF(Tabla3[[#This Row],[Precio Clean]]&lt;1,Tabla3[[#This Row],[Valor Nominal]]*(Tabla3[[#This Row],[Precio Clean]]-1),0),0)</f>
        <v>0</v>
      </c>
    </row>
    <row r="338" spans="1:37">
      <c r="A338" s="502"/>
      <c r="B338" s="437" t="str">
        <f t="shared" si="204"/>
        <v>Bancop S.A.</v>
      </c>
      <c r="C338" s="437" t="str">
        <f t="shared" si="204"/>
        <v>BCO_6,15%_23032027_AA4031-35_150K</v>
      </c>
      <c r="D338" s="437" t="str">
        <f t="shared" si="204"/>
        <v>CDA</v>
      </c>
      <c r="E338" s="437" t="str">
        <f t="shared" si="204"/>
        <v>AA-py</v>
      </c>
      <c r="F338" s="437" t="str">
        <f t="shared" si="204"/>
        <v>Financiero</v>
      </c>
      <c r="G338" s="437" t="str">
        <f t="shared" si="204"/>
        <v>Paraguay</v>
      </c>
      <c r="H338" s="440">
        <f t="shared" si="204"/>
        <v>1</v>
      </c>
      <c r="I338" s="492">
        <v>2274.66</v>
      </c>
      <c r="J338" s="451"/>
      <c r="L338" s="442"/>
      <c r="M338" s="493"/>
      <c r="N338" s="493"/>
      <c r="O338" s="494">
        <f t="shared" si="205"/>
        <v>6.2930610775947568E-2</v>
      </c>
      <c r="P338" s="494">
        <f t="shared" si="205"/>
        <v>6.1499999999999999E-2</v>
      </c>
      <c r="Q338" s="450">
        <v>45961</v>
      </c>
      <c r="R338" s="450">
        <v>46099</v>
      </c>
      <c r="S338" s="509" t="s">
        <v>146</v>
      </c>
      <c r="T338" s="510">
        <f>Tabla3[[#This Row],[Cantidad]]*Tabla3[[#This Row],[Cortes]]</f>
        <v>2274.66</v>
      </c>
      <c r="U338" s="511" t="b">
        <f t="shared" si="202"/>
        <v>0</v>
      </c>
      <c r="V338" s="511" t="b">
        <f t="shared" si="203"/>
        <v>0</v>
      </c>
      <c r="W338" s="497">
        <f>IF(Tabla3[[#This Row],[Fecha de operación]]=$C$1,0,U338-V338)</f>
        <v>0</v>
      </c>
      <c r="X338" s="512" t="str">
        <f t="shared" si="178"/>
        <v>Vencido</v>
      </c>
      <c r="Y338" s="498"/>
      <c r="Z338" s="469">
        <f t="shared" si="179"/>
        <v>-13</v>
      </c>
      <c r="AA338" s="499">
        <f t="shared" si="206"/>
        <v>0.95527507341927598</v>
      </c>
      <c r="AB338" s="499">
        <f t="shared" si="206"/>
        <v>0.94047884636339907</v>
      </c>
      <c r="AC338" s="469" t="str">
        <f t="shared" si="195"/>
        <v>Familiar CB</v>
      </c>
      <c r="AD338" s="469" t="s">
        <v>454</v>
      </c>
      <c r="AG338" s="605">
        <f>+IF(Tabla3[[#This Row],[Amortización k | cupón de intereses]]="Amortización de K",Tabla3[[#This Row],[Valor Nominal]],0)</f>
        <v>0</v>
      </c>
      <c r="AH338" s="605">
        <f>+IF(AND(Tabla3[[#This Row],[Amortización k | cupón de intereses]]="Cupón de interés",Tabla3[[#This Row],[Estado]]="Vigente"),Tabla3[[#This Row],[Valor Nominal]],0)</f>
        <v>0</v>
      </c>
      <c r="AI338" s="618">
        <f>+IF(Tabla3[[#This Row],[Amortización k | cupón de intereses]]="Amortización de K",SUMIFS($AH$7:$AH$557,Tabla3[Código Emisión],Tabla3[[#This Row],[Código Emisión]],Tabla3[Fecha de operación],Tabla3[[#This Row],[Fecha de operación]]),0)-Tabla3[[#This Row],[Accrued]]*Tabla3[[#This Row],[Valor Nominal]]</f>
        <v>0</v>
      </c>
      <c r="AJ338" s="605">
        <f>+IF(Tabla3[[#This Row],[Amortización k | cupón de intereses]]="Amortización de K",IF(Tabla3[[#This Row],[Precio Clean]]&gt;1,Tabla3[[#This Row],[Valor Nominal]]*(Tabla3[[#This Row],[Precio Clean]]-1),0),0)</f>
        <v>0</v>
      </c>
      <c r="AK338" s="605">
        <f>+IF(Tabla3[[#This Row],[Amortización k | cupón de intereses]]="Amortización de K",IF(Tabla3[[#This Row],[Precio Clean]]&lt;1,Tabla3[[#This Row],[Valor Nominal]]*(Tabla3[[#This Row],[Precio Clean]]-1),0),0)</f>
        <v>0</v>
      </c>
    </row>
    <row r="339" spans="1:37">
      <c r="A339" s="502"/>
      <c r="B339" s="437" t="str">
        <f t="shared" si="204"/>
        <v>Bancop S.A.</v>
      </c>
      <c r="C339" s="437" t="str">
        <f t="shared" si="204"/>
        <v>BCO_6,15%_23032027_AA4031-35_150K</v>
      </c>
      <c r="D339" s="437" t="str">
        <f t="shared" si="204"/>
        <v>CDA</v>
      </c>
      <c r="E339" s="437" t="str">
        <f t="shared" si="204"/>
        <v>AA-py</v>
      </c>
      <c r="F339" s="437" t="str">
        <f t="shared" si="204"/>
        <v>Financiero</v>
      </c>
      <c r="G339" s="437" t="str">
        <f t="shared" si="204"/>
        <v>Paraguay</v>
      </c>
      <c r="H339" s="440">
        <f t="shared" si="204"/>
        <v>1</v>
      </c>
      <c r="I339" s="492">
        <v>2274.66</v>
      </c>
      <c r="J339" s="451"/>
      <c r="L339" s="442"/>
      <c r="M339" s="493"/>
      <c r="N339" s="493"/>
      <c r="O339" s="494">
        <f t="shared" si="205"/>
        <v>6.2930610775947568E-2</v>
      </c>
      <c r="P339" s="494">
        <f t="shared" si="205"/>
        <v>6.1499999999999999E-2</v>
      </c>
      <c r="Q339" s="450">
        <v>45961</v>
      </c>
      <c r="R339" s="450">
        <v>46009</v>
      </c>
      <c r="S339" s="509" t="s">
        <v>146</v>
      </c>
      <c r="T339" s="510">
        <f>Tabla3[[#This Row],[Cantidad]]*Tabla3[[#This Row],[Cortes]]</f>
        <v>2274.66</v>
      </c>
      <c r="U339" s="511" t="b">
        <f t="shared" si="202"/>
        <v>0</v>
      </c>
      <c r="V339" s="511" t="b">
        <f t="shared" si="203"/>
        <v>0</v>
      </c>
      <c r="W339" s="497">
        <f>IF(Tabla3[[#This Row],[Fecha de operación]]=$C$1,0,U339-V339)</f>
        <v>0</v>
      </c>
      <c r="X339" s="512" t="str">
        <f t="shared" si="178"/>
        <v>Vencido</v>
      </c>
      <c r="Y339" s="498"/>
      <c r="Z339" s="469">
        <f t="shared" si="179"/>
        <v>-103</v>
      </c>
      <c r="AA339" s="499">
        <f t="shared" si="206"/>
        <v>0.95527507341927598</v>
      </c>
      <c r="AB339" s="499">
        <f t="shared" si="206"/>
        <v>0.94047884636339907</v>
      </c>
      <c r="AC339" s="469" t="str">
        <f t="shared" si="195"/>
        <v>Familiar CB</v>
      </c>
      <c r="AD339" s="469" t="s">
        <v>454</v>
      </c>
      <c r="AG339" s="605">
        <f>+IF(Tabla3[[#This Row],[Amortización k | cupón de intereses]]="Amortización de K",Tabla3[[#This Row],[Valor Nominal]],0)</f>
        <v>0</v>
      </c>
      <c r="AH339" s="605">
        <f>+IF(AND(Tabla3[[#This Row],[Amortización k | cupón de intereses]]="Cupón de interés",Tabla3[[#This Row],[Estado]]="Vigente"),Tabla3[[#This Row],[Valor Nominal]],0)</f>
        <v>0</v>
      </c>
      <c r="AI339" s="618">
        <f>+IF(Tabla3[[#This Row],[Amortización k | cupón de intereses]]="Amortización de K",SUMIFS($AH$7:$AH$557,Tabla3[Código Emisión],Tabla3[[#This Row],[Código Emisión]],Tabla3[Fecha de operación],Tabla3[[#This Row],[Fecha de operación]]),0)-Tabla3[[#This Row],[Accrued]]*Tabla3[[#This Row],[Valor Nominal]]</f>
        <v>0</v>
      </c>
      <c r="AJ339" s="605">
        <f>+IF(Tabla3[[#This Row],[Amortización k | cupón de intereses]]="Amortización de K",IF(Tabla3[[#This Row],[Precio Clean]]&gt;1,Tabla3[[#This Row],[Valor Nominal]]*(Tabla3[[#This Row],[Precio Clean]]-1),0),0)</f>
        <v>0</v>
      </c>
      <c r="AK339" s="605">
        <f>+IF(Tabla3[[#This Row],[Amortización k | cupón de intereses]]="Amortización de K",IF(Tabla3[[#This Row],[Precio Clean]]&lt;1,Tabla3[[#This Row],[Valor Nominal]]*(Tabla3[[#This Row],[Precio Clean]]-1),0),0)</f>
        <v>0</v>
      </c>
    </row>
    <row r="340" spans="1:37" ht="15">
      <c r="A340" s="500">
        <f>+A333+1</f>
        <v>33</v>
      </c>
      <c r="B340" s="475" t="s">
        <v>516</v>
      </c>
      <c r="C340" s="475" t="s">
        <v>570</v>
      </c>
      <c r="D340" s="475" t="s">
        <v>453</v>
      </c>
      <c r="E340" s="475" t="s">
        <v>449</v>
      </c>
      <c r="F340" s="475" t="s">
        <v>297</v>
      </c>
      <c r="G340" s="475" t="s">
        <v>298</v>
      </c>
      <c r="H340" s="575">
        <v>2</v>
      </c>
      <c r="I340" s="477">
        <v>150000</v>
      </c>
      <c r="J340" s="478">
        <v>6.1499999999999999E-2</v>
      </c>
      <c r="K340" s="479">
        <f>_xlfn.MAXIFS(R:R,C:C,C340,AD:AD,"Cupón de interés",X:X,"Vencido")</f>
        <v>46099</v>
      </c>
      <c r="L340" s="478">
        <f>+Tabla3[[#This Row],[Tasa de Interés]]*($U$5-Tabla3[[#This Row],[Last coupon]])/365</f>
        <v>2.1904109589041096E-3</v>
      </c>
      <c r="M340" s="480">
        <f>+Tabla3[[#This Row],[Precio Dirty]]-Tabla3[[#This Row],[Accrued]]</f>
        <v>1.0000023800692823</v>
      </c>
      <c r="N340" s="481">
        <f>SUMIFS(U:U,C:C,C340,Q:Q,Q340)/SUMIFS(T:T,C:C,C340,Q:Q,Q340,AD:AD,"Amortización de K")</f>
        <v>1.0021927910281865</v>
      </c>
      <c r="O340" s="482">
        <v>6.2906798720359799E-2</v>
      </c>
      <c r="P340" s="482">
        <v>6.1475030349022575E-2</v>
      </c>
      <c r="Q340" s="484">
        <v>45965</v>
      </c>
      <c r="R340" s="484">
        <v>46469</v>
      </c>
      <c r="S340" s="504" t="s">
        <v>146</v>
      </c>
      <c r="T340" s="505">
        <f>Tabla3[[#This Row],[Cantidad]]*Tabla3[[#This Row],[Cortes]]</f>
        <v>300000</v>
      </c>
      <c r="U340" s="506">
        <f t="shared" si="202"/>
        <v>282622.53411316086</v>
      </c>
      <c r="V340" s="506">
        <f t="shared" si="203"/>
        <v>282575.2995099203</v>
      </c>
      <c r="W340" s="487">
        <f>IF(Tabla3[[#This Row],[Fecha de operación]]=$C$1,0,U340-V340)</f>
        <v>47.234603240562137</v>
      </c>
      <c r="X340" s="507" t="str">
        <f t="shared" si="178"/>
        <v>Vigente</v>
      </c>
      <c r="Y340" s="489" t="s">
        <v>450</v>
      </c>
      <c r="Z340" s="488">
        <f t="shared" si="179"/>
        <v>357</v>
      </c>
      <c r="AA340" s="508">
        <f>IF(Y340="Mensual",DURATION($C$1,$C$1+Z340*12,J340/12,O340/12,1)/12,DURATION($C$1,R340,J340,O340,IF(Y340="Cupón cero",1,IF(Y340="Al vencimiento",1,IF(Y340="Anual",1,IF(Y340="Semestral",2,IF(Y340="Trimestral",4,"")))))))</f>
        <v>0.95527537041600719</v>
      </c>
      <c r="AB340" s="508">
        <f>IF(Y340="Mensual",MDURATION($C$1,$C$1+Z340*12,J340/12,O340/12,1)/12,MDURATION($C$1,R340,J340,O340,IF(Y340="Cupón cero",1,IF(Y340="Al vencimiento",1,IF(Y340="Anual",1,IF(Y340="Semestral",2,IF(Y340="Trimestral",4,"")))))))</f>
        <v>0.94048465075977394</v>
      </c>
      <c r="AC340" s="488" t="s">
        <v>451</v>
      </c>
      <c r="AD340" s="488" t="s">
        <v>452</v>
      </c>
      <c r="AG340" s="605">
        <f>+IF(Tabla3[[#This Row],[Amortización k | cupón de intereses]]="Amortización de K",Tabla3[[#This Row],[Valor Nominal]],0)</f>
        <v>300000</v>
      </c>
      <c r="AH340" s="605">
        <f>+IF(AND(Tabla3[[#This Row],[Amortización k | cupón de intereses]]="Cupón de interés",Tabla3[[#This Row],[Estado]]="Vigente"),Tabla3[[#This Row],[Valor Nominal]],0)</f>
        <v>0</v>
      </c>
      <c r="AI340" s="618">
        <f>+IF(Tabla3[[#This Row],[Amortización k | cupón de intereses]]="Amortización de K",SUMIFS($AH$7:$AH$557,Tabla3[Código Emisión],Tabla3[[#This Row],[Código Emisión]],Tabla3[Fecha de operación],Tabla3[[#This Row],[Fecha de operación]]),0)-Tabla3[[#This Row],[Accrued]]*Tabla3[[#This Row],[Valor Nominal]]</f>
        <v>18045.59671232877</v>
      </c>
      <c r="AJ340" s="605">
        <f>+IF(Tabla3[[#This Row],[Amortización k | cupón de intereses]]="Amortización de K",IF(Tabla3[[#This Row],[Precio Clean]]&gt;1,Tabla3[[#This Row],[Valor Nominal]]*(Tabla3[[#This Row],[Precio Clean]]-1),0),0)</f>
        <v>0.71402078469784414</v>
      </c>
      <c r="AK340" s="605">
        <f>+IF(Tabla3[[#This Row],[Amortización k | cupón de intereses]]="Amortización de K",IF(Tabla3[[#This Row],[Precio Clean]]&lt;1,Tabla3[[#This Row],[Valor Nominal]]*(Tabla3[[#This Row],[Precio Clean]]-1),0),0)</f>
        <v>0</v>
      </c>
    </row>
    <row r="341" spans="1:37">
      <c r="A341" s="502"/>
      <c r="B341" s="437" t="str">
        <f t="shared" ref="B341:H346" si="207">+B340</f>
        <v>Bancop S.A.</v>
      </c>
      <c r="C341" s="437" t="str">
        <f t="shared" si="207"/>
        <v>BCO_6,15%_23032027_AA4031-35_150K</v>
      </c>
      <c r="D341" s="437" t="str">
        <f t="shared" si="207"/>
        <v>CDA</v>
      </c>
      <c r="E341" s="437" t="str">
        <f t="shared" si="207"/>
        <v>AA-py</v>
      </c>
      <c r="F341" s="437" t="str">
        <f t="shared" si="207"/>
        <v>Financiero</v>
      </c>
      <c r="G341" s="437" t="str">
        <f t="shared" si="207"/>
        <v>Paraguay</v>
      </c>
      <c r="H341" s="440">
        <f t="shared" si="207"/>
        <v>2</v>
      </c>
      <c r="I341" s="445">
        <v>2502.11</v>
      </c>
      <c r="J341" s="462"/>
      <c r="L341" s="442"/>
      <c r="M341" s="493"/>
      <c r="N341" s="493"/>
      <c r="O341" s="516">
        <f t="shared" ref="O341:Q346" si="208">+O340</f>
        <v>6.2906798720359799E-2</v>
      </c>
      <c r="P341" s="516">
        <f t="shared" si="208"/>
        <v>6.1475030349022575E-2</v>
      </c>
      <c r="Q341" s="450">
        <f t="shared" si="208"/>
        <v>45965</v>
      </c>
      <c r="R341" s="450">
        <v>46469</v>
      </c>
      <c r="S341" s="509" t="s">
        <v>146</v>
      </c>
      <c r="T341" s="510">
        <f>Tabla3[[#This Row],[Cantidad]]*Tabla3[[#This Row],[Cortes]]</f>
        <v>5004.22</v>
      </c>
      <c r="U341" s="511">
        <f t="shared" si="202"/>
        <v>4714.3511255325393</v>
      </c>
      <c r="V341" s="511">
        <f t="shared" si="203"/>
        <v>4713.5632177117777</v>
      </c>
      <c r="W341" s="497">
        <f>IF(Tabla3[[#This Row],[Fecha de operación]]=$C$1,0,U341-V341)</f>
        <v>0.78790782076157484</v>
      </c>
      <c r="X341" s="512" t="str">
        <f t="shared" si="178"/>
        <v>Vigente</v>
      </c>
      <c r="Y341" s="517"/>
      <c r="Z341" s="449">
        <f t="shared" si="179"/>
        <v>357</v>
      </c>
      <c r="AA341" s="518">
        <f t="shared" ref="AA341:AB346" si="209">AA340</f>
        <v>0.95527537041600719</v>
      </c>
      <c r="AB341" s="518">
        <f t="shared" si="209"/>
        <v>0.94048465075977394</v>
      </c>
      <c r="AC341" s="449" t="str">
        <f t="shared" ref="AC341:AC346" si="210">+AC340</f>
        <v>Familiar CB</v>
      </c>
      <c r="AD341" s="449" t="s">
        <v>454</v>
      </c>
      <c r="AG341" s="605">
        <f>+IF(Tabla3[[#This Row],[Amortización k | cupón de intereses]]="Amortización de K",Tabla3[[#This Row],[Valor Nominal]],0)</f>
        <v>0</v>
      </c>
      <c r="AH341" s="605">
        <f>+IF(AND(Tabla3[[#This Row],[Amortización k | cupón de intereses]]="Cupón de interés",Tabla3[[#This Row],[Estado]]="Vigente"),Tabla3[[#This Row],[Valor Nominal]],0)</f>
        <v>5004.22</v>
      </c>
      <c r="AI341" s="618">
        <f>+IF(Tabla3[[#This Row],[Amortización k | cupón de intereses]]="Amortización de K",SUMIFS($AH$7:$AH$557,Tabla3[Código Emisión],Tabla3[[#This Row],[Código Emisión]],Tabla3[Fecha de operación],Tabla3[[#This Row],[Fecha de operación]]),0)-Tabla3[[#This Row],[Accrued]]*Tabla3[[#This Row],[Valor Nominal]]</f>
        <v>0</v>
      </c>
      <c r="AJ341" s="605">
        <f>+IF(Tabla3[[#This Row],[Amortización k | cupón de intereses]]="Amortización de K",IF(Tabla3[[#This Row],[Precio Clean]]&gt;1,Tabla3[[#This Row],[Valor Nominal]]*(Tabla3[[#This Row],[Precio Clean]]-1),0),0)</f>
        <v>0</v>
      </c>
      <c r="AK341" s="605">
        <f>+IF(Tabla3[[#This Row],[Amortización k | cupón de intereses]]="Amortización de K",IF(Tabla3[[#This Row],[Precio Clean]]&lt;1,Tabla3[[#This Row],[Valor Nominal]]*(Tabla3[[#This Row],[Precio Clean]]-1),0),0)</f>
        <v>0</v>
      </c>
    </row>
    <row r="342" spans="1:37">
      <c r="A342" s="502"/>
      <c r="B342" s="437" t="str">
        <f t="shared" si="207"/>
        <v>Bancop S.A.</v>
      </c>
      <c r="C342" s="437" t="str">
        <f t="shared" si="207"/>
        <v>BCO_6,15%_23032027_AA4031-35_150K</v>
      </c>
      <c r="D342" s="437" t="str">
        <f t="shared" si="207"/>
        <v>CDA</v>
      </c>
      <c r="E342" s="437" t="str">
        <f t="shared" si="207"/>
        <v>AA-py</v>
      </c>
      <c r="F342" s="437" t="str">
        <f t="shared" si="207"/>
        <v>Financiero</v>
      </c>
      <c r="G342" s="437" t="str">
        <f t="shared" si="207"/>
        <v>Paraguay</v>
      </c>
      <c r="H342" s="440">
        <f t="shared" si="207"/>
        <v>2</v>
      </c>
      <c r="I342" s="445">
        <v>2299.9299999999998</v>
      </c>
      <c r="J342" s="462"/>
      <c r="L342" s="442"/>
      <c r="M342" s="493"/>
      <c r="N342" s="493"/>
      <c r="O342" s="516">
        <f t="shared" si="208"/>
        <v>6.2906798720359799E-2</v>
      </c>
      <c r="P342" s="516">
        <f t="shared" si="208"/>
        <v>6.1475030349022575E-2</v>
      </c>
      <c r="Q342" s="450">
        <f t="shared" si="208"/>
        <v>45965</v>
      </c>
      <c r="R342" s="450">
        <v>46370</v>
      </c>
      <c r="S342" s="509" t="s">
        <v>146</v>
      </c>
      <c r="T342" s="510">
        <f>Tabla3[[#This Row],[Cantidad]]*Tabla3[[#This Row],[Cortes]]</f>
        <v>4599.8599999999997</v>
      </c>
      <c r="U342" s="511">
        <f t="shared" si="202"/>
        <v>4405.7161230536258</v>
      </c>
      <c r="V342" s="511">
        <f t="shared" si="203"/>
        <v>4404.9797972906581</v>
      </c>
      <c r="W342" s="497">
        <f>IF(Tabla3[[#This Row],[Fecha de operación]]=$C$1,0,U342-V342)</f>
        <v>0.73632576296768093</v>
      </c>
      <c r="X342" s="512" t="str">
        <f t="shared" si="178"/>
        <v>Vigente</v>
      </c>
      <c r="Y342" s="517"/>
      <c r="Z342" s="449">
        <f t="shared" si="179"/>
        <v>258</v>
      </c>
      <c r="AA342" s="518">
        <f t="shared" si="209"/>
        <v>0.95527537041600719</v>
      </c>
      <c r="AB342" s="518">
        <f t="shared" si="209"/>
        <v>0.94048465075977394</v>
      </c>
      <c r="AC342" s="449" t="str">
        <f t="shared" si="210"/>
        <v>Familiar CB</v>
      </c>
      <c r="AD342" s="449" t="s">
        <v>454</v>
      </c>
      <c r="AG342" s="605">
        <f>+IF(Tabla3[[#This Row],[Amortización k | cupón de intereses]]="Amortización de K",Tabla3[[#This Row],[Valor Nominal]],0)</f>
        <v>0</v>
      </c>
      <c r="AH342" s="605">
        <f>+IF(AND(Tabla3[[#This Row],[Amortización k | cupón de intereses]]="Cupón de interés",Tabla3[[#This Row],[Estado]]="Vigente"),Tabla3[[#This Row],[Valor Nominal]],0)</f>
        <v>4599.8599999999997</v>
      </c>
      <c r="AI342" s="618">
        <f>+IF(Tabla3[[#This Row],[Amortización k | cupón de intereses]]="Amortización de K",SUMIFS($AH$7:$AH$557,Tabla3[Código Emisión],Tabla3[[#This Row],[Código Emisión]],Tabla3[Fecha de operación],Tabla3[[#This Row],[Fecha de operación]]),0)-Tabla3[[#This Row],[Accrued]]*Tabla3[[#This Row],[Valor Nominal]]</f>
        <v>0</v>
      </c>
      <c r="AJ342" s="605">
        <f>+IF(Tabla3[[#This Row],[Amortización k | cupón de intereses]]="Amortización de K",IF(Tabla3[[#This Row],[Precio Clean]]&gt;1,Tabla3[[#This Row],[Valor Nominal]]*(Tabla3[[#This Row],[Precio Clean]]-1),0),0)</f>
        <v>0</v>
      </c>
      <c r="AK342" s="605">
        <f>+IF(Tabla3[[#This Row],[Amortización k | cupón de intereses]]="Amortización de K",IF(Tabla3[[#This Row],[Precio Clean]]&lt;1,Tabla3[[#This Row],[Valor Nominal]]*(Tabla3[[#This Row],[Precio Clean]]-1),0),0)</f>
        <v>0</v>
      </c>
    </row>
    <row r="343" spans="1:37">
      <c r="A343" s="502"/>
      <c r="B343" s="437" t="str">
        <f t="shared" si="207"/>
        <v>Bancop S.A.</v>
      </c>
      <c r="C343" s="437" t="str">
        <f t="shared" si="207"/>
        <v>BCO_6,15%_23032027_AA4031-35_150K</v>
      </c>
      <c r="D343" s="437" t="str">
        <f t="shared" si="207"/>
        <v>CDA</v>
      </c>
      <c r="E343" s="437" t="str">
        <f t="shared" si="207"/>
        <v>AA-py</v>
      </c>
      <c r="F343" s="437" t="str">
        <f t="shared" si="207"/>
        <v>Financiero</v>
      </c>
      <c r="G343" s="437" t="str">
        <f t="shared" si="207"/>
        <v>Paraguay</v>
      </c>
      <c r="H343" s="440">
        <f t="shared" si="207"/>
        <v>2</v>
      </c>
      <c r="I343" s="445">
        <v>2274.66</v>
      </c>
      <c r="J343" s="462"/>
      <c r="L343" s="442"/>
      <c r="M343" s="493"/>
      <c r="N343" s="493"/>
      <c r="O343" s="516">
        <f t="shared" si="208"/>
        <v>6.2906798720359799E-2</v>
      </c>
      <c r="P343" s="516">
        <f t="shared" si="208"/>
        <v>6.1475030349022575E-2</v>
      </c>
      <c r="Q343" s="450">
        <f t="shared" si="208"/>
        <v>45965</v>
      </c>
      <c r="R343" s="450">
        <v>46279</v>
      </c>
      <c r="S343" s="509" t="s">
        <v>146</v>
      </c>
      <c r="T343" s="510">
        <f>Tabla3[[#This Row],[Cantidad]]*Tabla3[[#This Row],[Cortes]]</f>
        <v>4549.32</v>
      </c>
      <c r="U343" s="511">
        <f t="shared" si="202"/>
        <v>4424.0907992357434</v>
      </c>
      <c r="V343" s="511">
        <f t="shared" si="203"/>
        <v>4423.3514025197046</v>
      </c>
      <c r="W343" s="497">
        <f>IF(Tabla3[[#This Row],[Fecha de operación]]=$C$1,0,U343-V343)</f>
        <v>0.73939671603875468</v>
      </c>
      <c r="X343" s="512" t="str">
        <f t="shared" si="178"/>
        <v>Vigente</v>
      </c>
      <c r="Y343" s="517"/>
      <c r="Z343" s="449">
        <f t="shared" si="179"/>
        <v>167</v>
      </c>
      <c r="AA343" s="518">
        <f t="shared" si="209"/>
        <v>0.95527537041600719</v>
      </c>
      <c r="AB343" s="518">
        <f t="shared" si="209"/>
        <v>0.94048465075977394</v>
      </c>
      <c r="AC343" s="449" t="str">
        <f t="shared" si="210"/>
        <v>Familiar CB</v>
      </c>
      <c r="AD343" s="449" t="s">
        <v>454</v>
      </c>
      <c r="AG343" s="605">
        <f>+IF(Tabla3[[#This Row],[Amortización k | cupón de intereses]]="Amortización de K",Tabla3[[#This Row],[Valor Nominal]],0)</f>
        <v>0</v>
      </c>
      <c r="AH343" s="605">
        <f>+IF(AND(Tabla3[[#This Row],[Amortización k | cupón de intereses]]="Cupón de interés",Tabla3[[#This Row],[Estado]]="Vigente"),Tabla3[[#This Row],[Valor Nominal]],0)</f>
        <v>4549.32</v>
      </c>
      <c r="AI343" s="618">
        <f>+IF(Tabla3[[#This Row],[Amortización k | cupón de intereses]]="Amortización de K",SUMIFS($AH$7:$AH$557,Tabla3[Código Emisión],Tabla3[[#This Row],[Código Emisión]],Tabla3[Fecha de operación],Tabla3[[#This Row],[Fecha de operación]]),0)-Tabla3[[#This Row],[Accrued]]*Tabla3[[#This Row],[Valor Nominal]]</f>
        <v>0</v>
      </c>
      <c r="AJ343" s="605">
        <f>+IF(Tabla3[[#This Row],[Amortización k | cupón de intereses]]="Amortización de K",IF(Tabla3[[#This Row],[Precio Clean]]&gt;1,Tabla3[[#This Row],[Valor Nominal]]*(Tabla3[[#This Row],[Precio Clean]]-1),0),0)</f>
        <v>0</v>
      </c>
      <c r="AK343" s="605">
        <f>+IF(Tabla3[[#This Row],[Amortización k | cupón de intereses]]="Amortización de K",IF(Tabla3[[#This Row],[Precio Clean]]&lt;1,Tabla3[[#This Row],[Valor Nominal]]*(Tabla3[[#This Row],[Precio Clean]]-1),0),0)</f>
        <v>0</v>
      </c>
    </row>
    <row r="344" spans="1:37">
      <c r="A344" s="502"/>
      <c r="B344" s="437" t="str">
        <f t="shared" si="207"/>
        <v>Bancop S.A.</v>
      </c>
      <c r="C344" s="437" t="str">
        <f t="shared" si="207"/>
        <v>BCO_6,15%_23032027_AA4031-35_150K</v>
      </c>
      <c r="D344" s="437" t="str">
        <f t="shared" si="207"/>
        <v>CDA</v>
      </c>
      <c r="E344" s="437" t="str">
        <f t="shared" si="207"/>
        <v>AA-py</v>
      </c>
      <c r="F344" s="437" t="str">
        <f t="shared" si="207"/>
        <v>Financiero</v>
      </c>
      <c r="G344" s="437" t="str">
        <f t="shared" si="207"/>
        <v>Paraguay</v>
      </c>
      <c r="H344" s="440">
        <f t="shared" si="207"/>
        <v>2</v>
      </c>
      <c r="I344" s="445">
        <v>2274.66</v>
      </c>
      <c r="J344" s="462"/>
      <c r="L344" s="442"/>
      <c r="M344" s="493"/>
      <c r="N344" s="493"/>
      <c r="O344" s="516">
        <f t="shared" si="208"/>
        <v>6.2906798720359799E-2</v>
      </c>
      <c r="P344" s="516">
        <f t="shared" si="208"/>
        <v>6.1475030349022575E-2</v>
      </c>
      <c r="Q344" s="450">
        <f t="shared" si="208"/>
        <v>45965</v>
      </c>
      <c r="R344" s="450">
        <v>46189</v>
      </c>
      <c r="S344" s="509" t="s">
        <v>146</v>
      </c>
      <c r="T344" s="510">
        <f>Tabla3[[#This Row],[Cantidad]]*Tabla3[[#This Row],[Cortes]]</f>
        <v>4549.32</v>
      </c>
      <c r="U344" s="511">
        <f t="shared" si="202"/>
        <v>4491.1451474732239</v>
      </c>
      <c r="V344" s="511">
        <f t="shared" si="203"/>
        <v>4490.3945439878989</v>
      </c>
      <c r="W344" s="497">
        <f>IF(Tabla3[[#This Row],[Fecha de operación]]=$C$1,0,U344-V344)</f>
        <v>0.75060348532497301</v>
      </c>
      <c r="X344" s="512" t="str">
        <f t="shared" si="178"/>
        <v>Vigente</v>
      </c>
      <c r="Y344" s="517"/>
      <c r="Z344" s="449">
        <f t="shared" si="179"/>
        <v>77</v>
      </c>
      <c r="AA344" s="518">
        <f t="shared" si="209"/>
        <v>0.95527537041600719</v>
      </c>
      <c r="AB344" s="518">
        <f t="shared" si="209"/>
        <v>0.94048465075977394</v>
      </c>
      <c r="AC344" s="449" t="str">
        <f t="shared" si="210"/>
        <v>Familiar CB</v>
      </c>
      <c r="AD344" s="449" t="s">
        <v>454</v>
      </c>
      <c r="AG344" s="605">
        <f>+IF(Tabla3[[#This Row],[Amortización k | cupón de intereses]]="Amortización de K",Tabla3[[#This Row],[Valor Nominal]],0)</f>
        <v>0</v>
      </c>
      <c r="AH344" s="605">
        <f>+IF(AND(Tabla3[[#This Row],[Amortización k | cupón de intereses]]="Cupón de interés",Tabla3[[#This Row],[Estado]]="Vigente"),Tabla3[[#This Row],[Valor Nominal]],0)</f>
        <v>4549.32</v>
      </c>
      <c r="AI344" s="618">
        <f>+IF(Tabla3[[#This Row],[Amortización k | cupón de intereses]]="Amortización de K",SUMIFS($AH$7:$AH$557,Tabla3[Código Emisión],Tabla3[[#This Row],[Código Emisión]],Tabla3[Fecha de operación],Tabla3[[#This Row],[Fecha de operación]]),0)-Tabla3[[#This Row],[Accrued]]*Tabla3[[#This Row],[Valor Nominal]]</f>
        <v>0</v>
      </c>
      <c r="AJ344" s="605">
        <f>+IF(Tabla3[[#This Row],[Amortización k | cupón de intereses]]="Amortización de K",IF(Tabla3[[#This Row],[Precio Clean]]&gt;1,Tabla3[[#This Row],[Valor Nominal]]*(Tabla3[[#This Row],[Precio Clean]]-1),0),0)</f>
        <v>0</v>
      </c>
      <c r="AK344" s="605">
        <f>+IF(Tabla3[[#This Row],[Amortización k | cupón de intereses]]="Amortización de K",IF(Tabla3[[#This Row],[Precio Clean]]&lt;1,Tabla3[[#This Row],[Valor Nominal]]*(Tabla3[[#This Row],[Precio Clean]]-1),0),0)</f>
        <v>0</v>
      </c>
    </row>
    <row r="345" spans="1:37">
      <c r="A345" s="502"/>
      <c r="B345" s="437" t="str">
        <f t="shared" si="207"/>
        <v>Bancop S.A.</v>
      </c>
      <c r="C345" s="437" t="str">
        <f t="shared" si="207"/>
        <v>BCO_6,15%_23032027_AA4031-35_150K</v>
      </c>
      <c r="D345" s="437" t="str">
        <f t="shared" si="207"/>
        <v>CDA</v>
      </c>
      <c r="E345" s="437" t="str">
        <f t="shared" si="207"/>
        <v>AA-py</v>
      </c>
      <c r="F345" s="437" t="str">
        <f t="shared" si="207"/>
        <v>Financiero</v>
      </c>
      <c r="G345" s="437" t="str">
        <f t="shared" si="207"/>
        <v>Paraguay</v>
      </c>
      <c r="H345" s="440">
        <f t="shared" si="207"/>
        <v>2</v>
      </c>
      <c r="I345" s="445">
        <v>2274.66</v>
      </c>
      <c r="J345" s="462"/>
      <c r="L345" s="442"/>
      <c r="M345" s="493"/>
      <c r="N345" s="493"/>
      <c r="O345" s="516">
        <f t="shared" si="208"/>
        <v>6.2906798720359799E-2</v>
      </c>
      <c r="P345" s="516">
        <f t="shared" si="208"/>
        <v>6.1475030349022575E-2</v>
      </c>
      <c r="Q345" s="450">
        <f t="shared" si="208"/>
        <v>45965</v>
      </c>
      <c r="R345" s="450">
        <v>46099</v>
      </c>
      <c r="S345" s="509" t="s">
        <v>146</v>
      </c>
      <c r="T345" s="510">
        <f>Tabla3[[#This Row],[Cantidad]]*Tabla3[[#This Row],[Cortes]]</f>
        <v>4549.32</v>
      </c>
      <c r="U345" s="511" t="b">
        <f t="shared" si="202"/>
        <v>0</v>
      </c>
      <c r="V345" s="511" t="b">
        <f t="shared" si="203"/>
        <v>0</v>
      </c>
      <c r="W345" s="497">
        <f>IF(Tabla3[[#This Row],[Fecha de operación]]=$C$1,0,U345-V345)</f>
        <v>0</v>
      </c>
      <c r="X345" s="512" t="str">
        <f t="shared" si="178"/>
        <v>Vencido</v>
      </c>
      <c r="Y345" s="517"/>
      <c r="Z345" s="449">
        <f t="shared" si="179"/>
        <v>-13</v>
      </c>
      <c r="AA345" s="518">
        <f t="shared" si="209"/>
        <v>0.95527537041600719</v>
      </c>
      <c r="AB345" s="518">
        <f t="shared" si="209"/>
        <v>0.94048465075977394</v>
      </c>
      <c r="AC345" s="449" t="str">
        <f t="shared" si="210"/>
        <v>Familiar CB</v>
      </c>
      <c r="AD345" s="449" t="s">
        <v>454</v>
      </c>
      <c r="AG345" s="605">
        <f>+IF(Tabla3[[#This Row],[Amortización k | cupón de intereses]]="Amortización de K",Tabla3[[#This Row],[Valor Nominal]],0)</f>
        <v>0</v>
      </c>
      <c r="AH345" s="605">
        <f>+IF(AND(Tabla3[[#This Row],[Amortización k | cupón de intereses]]="Cupón de interés",Tabla3[[#This Row],[Estado]]="Vigente"),Tabla3[[#This Row],[Valor Nominal]],0)</f>
        <v>0</v>
      </c>
      <c r="AI345" s="618">
        <f>+IF(Tabla3[[#This Row],[Amortización k | cupón de intereses]]="Amortización de K",SUMIFS($AH$7:$AH$557,Tabla3[Código Emisión],Tabla3[[#This Row],[Código Emisión]],Tabla3[Fecha de operación],Tabla3[[#This Row],[Fecha de operación]]),0)-Tabla3[[#This Row],[Accrued]]*Tabla3[[#This Row],[Valor Nominal]]</f>
        <v>0</v>
      </c>
      <c r="AJ345" s="605">
        <f>+IF(Tabla3[[#This Row],[Amortización k | cupón de intereses]]="Amortización de K",IF(Tabla3[[#This Row],[Precio Clean]]&gt;1,Tabla3[[#This Row],[Valor Nominal]]*(Tabla3[[#This Row],[Precio Clean]]-1),0),0)</f>
        <v>0</v>
      </c>
      <c r="AK345" s="605">
        <f>+IF(Tabla3[[#This Row],[Amortización k | cupón de intereses]]="Amortización de K",IF(Tabla3[[#This Row],[Precio Clean]]&lt;1,Tabla3[[#This Row],[Valor Nominal]]*(Tabla3[[#This Row],[Precio Clean]]-1),0),0)</f>
        <v>0</v>
      </c>
    </row>
    <row r="346" spans="1:37">
      <c r="A346" s="502"/>
      <c r="B346" s="437" t="str">
        <f t="shared" si="207"/>
        <v>Bancop S.A.</v>
      </c>
      <c r="C346" s="437" t="str">
        <f t="shared" si="207"/>
        <v>BCO_6,15%_23032027_AA4031-35_150K</v>
      </c>
      <c r="D346" s="437" t="str">
        <f t="shared" si="207"/>
        <v>CDA</v>
      </c>
      <c r="E346" s="437" t="str">
        <f t="shared" si="207"/>
        <v>AA-py</v>
      </c>
      <c r="F346" s="437" t="str">
        <f t="shared" si="207"/>
        <v>Financiero</v>
      </c>
      <c r="G346" s="437" t="str">
        <f t="shared" si="207"/>
        <v>Paraguay</v>
      </c>
      <c r="H346" s="440">
        <f t="shared" si="207"/>
        <v>2</v>
      </c>
      <c r="I346" s="445">
        <v>2274.66</v>
      </c>
      <c r="J346" s="462"/>
      <c r="L346" s="442"/>
      <c r="M346" s="493"/>
      <c r="N346" s="493"/>
      <c r="O346" s="516">
        <f t="shared" si="208"/>
        <v>6.2906798720359799E-2</v>
      </c>
      <c r="P346" s="516">
        <f t="shared" si="208"/>
        <v>6.1475030349022575E-2</v>
      </c>
      <c r="Q346" s="450">
        <f t="shared" si="208"/>
        <v>45965</v>
      </c>
      <c r="R346" s="450">
        <v>46009</v>
      </c>
      <c r="S346" s="509" t="s">
        <v>146</v>
      </c>
      <c r="T346" s="510">
        <f>Tabla3[[#This Row],[Cantidad]]*Tabla3[[#This Row],[Cortes]]</f>
        <v>4549.32</v>
      </c>
      <c r="U346" s="511" t="b">
        <f t="shared" si="202"/>
        <v>0</v>
      </c>
      <c r="V346" s="511" t="b">
        <f t="shared" si="203"/>
        <v>0</v>
      </c>
      <c r="W346" s="497">
        <f>IF(Tabla3[[#This Row],[Fecha de operación]]=$C$1,0,U346-V346)</f>
        <v>0</v>
      </c>
      <c r="X346" s="512" t="str">
        <f t="shared" si="178"/>
        <v>Vencido</v>
      </c>
      <c r="Y346" s="517"/>
      <c r="Z346" s="449">
        <f t="shared" si="179"/>
        <v>-103</v>
      </c>
      <c r="AA346" s="518">
        <f t="shared" si="209"/>
        <v>0.95527537041600719</v>
      </c>
      <c r="AB346" s="518">
        <f t="shared" si="209"/>
        <v>0.94048465075977394</v>
      </c>
      <c r="AC346" s="449" t="str">
        <f t="shared" si="210"/>
        <v>Familiar CB</v>
      </c>
      <c r="AD346" s="449" t="s">
        <v>454</v>
      </c>
      <c r="AG346" s="605">
        <f>+IF(Tabla3[[#This Row],[Amortización k | cupón de intereses]]="Amortización de K",Tabla3[[#This Row],[Valor Nominal]],0)</f>
        <v>0</v>
      </c>
      <c r="AH346" s="605">
        <f>+IF(AND(Tabla3[[#This Row],[Amortización k | cupón de intereses]]="Cupón de interés",Tabla3[[#This Row],[Estado]]="Vigente"),Tabla3[[#This Row],[Valor Nominal]],0)</f>
        <v>0</v>
      </c>
      <c r="AI346" s="618">
        <f>+IF(Tabla3[[#This Row],[Amortización k | cupón de intereses]]="Amortización de K",SUMIFS($AH$7:$AH$557,Tabla3[Código Emisión],Tabla3[[#This Row],[Código Emisión]],Tabla3[Fecha de operación],Tabla3[[#This Row],[Fecha de operación]]),0)-Tabla3[[#This Row],[Accrued]]*Tabla3[[#This Row],[Valor Nominal]]</f>
        <v>0</v>
      </c>
      <c r="AJ346" s="605">
        <f>+IF(Tabla3[[#This Row],[Amortización k | cupón de intereses]]="Amortización de K",IF(Tabla3[[#This Row],[Precio Clean]]&gt;1,Tabla3[[#This Row],[Valor Nominal]]*(Tabla3[[#This Row],[Precio Clean]]-1),0),0)</f>
        <v>0</v>
      </c>
      <c r="AK346" s="605">
        <f>+IF(Tabla3[[#This Row],[Amortización k | cupón de intereses]]="Amortización de K",IF(Tabla3[[#This Row],[Precio Clean]]&lt;1,Tabla3[[#This Row],[Valor Nominal]]*(Tabla3[[#This Row],[Precio Clean]]-1),0),0)</f>
        <v>0</v>
      </c>
    </row>
    <row r="347" spans="1:37" ht="15">
      <c r="A347" s="500">
        <f>+A340+1</f>
        <v>34</v>
      </c>
      <c r="B347" s="475" t="s">
        <v>485</v>
      </c>
      <c r="C347" s="475" t="s">
        <v>571</v>
      </c>
      <c r="D347" s="475" t="s">
        <v>453</v>
      </c>
      <c r="E347" s="475" t="s">
        <v>487</v>
      </c>
      <c r="F347" s="475" t="s">
        <v>297</v>
      </c>
      <c r="G347" s="475" t="s">
        <v>298</v>
      </c>
      <c r="H347" s="475">
        <v>2</v>
      </c>
      <c r="I347" s="477">
        <v>50000</v>
      </c>
      <c r="J347" s="478">
        <v>6.5000000000000002E-2</v>
      </c>
      <c r="K347" s="479">
        <f>_xlfn.MAXIFS(R:R,C:C,C347,AD:AD,"Cupón de interés",X:X,"Vencido")</f>
        <v>46086</v>
      </c>
      <c r="L347" s="478">
        <f>+Tabla3[[#This Row],[Tasa de Interés]]*($U$5-Tabla3[[#This Row],[Last coupon]])/365</f>
        <v>4.6301369863013695E-3</v>
      </c>
      <c r="M347" s="480">
        <f>+Tabla3[[#This Row],[Precio Dirty]]-Tabla3[[#This Row],[Accrued]]</f>
        <v>0.99997141851723659</v>
      </c>
      <c r="N347" s="481">
        <f>SUMIFS(U:U,C:C,C347,Q:Q,Q347)/SUMIFS(T:T,C:C,C347,Q:Q,Q347,AD:AD,"Amortización de K")</f>
        <v>1.0046015555035379</v>
      </c>
      <c r="O347" s="482">
        <v>6.6600474715232852E-2</v>
      </c>
      <c r="P347" s="482">
        <v>6.4998760445679871E-2</v>
      </c>
      <c r="Q347" s="484">
        <v>45996</v>
      </c>
      <c r="R347" s="484">
        <v>47092</v>
      </c>
      <c r="S347" s="504" t="s">
        <v>146</v>
      </c>
      <c r="T347" s="505">
        <f>Tabla3[[#This Row],[Cantidad]]*Tabla3[[#This Row],[Cortes]]</f>
        <v>100000</v>
      </c>
      <c r="U347" s="576">
        <f t="shared" si="202"/>
        <v>84104.098181305002</v>
      </c>
      <c r="V347" s="576">
        <f t="shared" si="203"/>
        <v>84089.242685548059</v>
      </c>
      <c r="W347" s="505">
        <f>IF(Tabla3[[#This Row],[Fecha de operación]]=$C$1,0,U347-V347)</f>
        <v>14.855495756943128</v>
      </c>
      <c r="X347" s="507" t="str">
        <f t="shared" si="178"/>
        <v>Vigente</v>
      </c>
      <c r="Y347" s="489" t="s">
        <v>450</v>
      </c>
      <c r="Z347" s="488">
        <f t="shared" si="179"/>
        <v>980</v>
      </c>
      <c r="AA347" s="508">
        <f>IF(Y347="Mensual",DURATION($C$1,$C$1+Z347*12,J347/12,O347/12,1)/12,DURATION($C$1,R347,J347,O347,IF(Y347="Cupón cero",1,IF(Y347="Al vencimiento",1,IF(Y347="Anual",1,IF(Y347="Semestral",2,IF(Y347="Trimestral",4,"")))))))</f>
        <v>2.4676132134475903</v>
      </c>
      <c r="AB347" s="508">
        <f>IF(Y347="Mensual",MDURATION($C$1,$C$1+Z347*12,J347/12,O347/12,1)/12,MDURATION($C$1,R347,J347,O347,IF(Y347="Cupón cero",1,IF(Y347="Al vencimiento",1,IF(Y347="Anual",1,IF(Y347="Semestral",2,IF(Y347="Trimestral",4,"")))))))</f>
        <v>2.4272000446470092</v>
      </c>
      <c r="AC347" s="488" t="s">
        <v>451</v>
      </c>
      <c r="AD347" s="488" t="s">
        <v>452</v>
      </c>
      <c r="AG347" s="605">
        <f>+IF(Tabla3[[#This Row],[Amortización k | cupón de intereses]]="Amortización de K",Tabla3[[#This Row],[Valor Nominal]],0)</f>
        <v>100000</v>
      </c>
      <c r="AH347" s="605">
        <f>+IF(AND(Tabla3[[#This Row],[Amortización k | cupón de intereses]]="Cupón de interés",Tabla3[[#This Row],[Estado]]="Vigente"),Tabla3[[#This Row],[Valor Nominal]],0)</f>
        <v>0</v>
      </c>
      <c r="AI347" s="618">
        <f>+IF(Tabla3[[#This Row],[Amortización k | cupón de intereses]]="Amortización de K",SUMIFS($AH$7:$AH$557,Tabla3[Código Emisión],Tabla3[[#This Row],[Código Emisión]],Tabla3[Fecha de operación],Tabla3[[#This Row],[Fecha de operación]]),0)-Tabla3[[#This Row],[Accrued]]*Tabla3[[#This Row],[Valor Nominal]]</f>
        <v>17451.946301369862</v>
      </c>
      <c r="AJ347" s="605">
        <f>+IF(Tabla3[[#This Row],[Amortización k | cupón de intereses]]="Amortización de K",IF(Tabla3[[#This Row],[Precio Clean]]&gt;1,Tabla3[[#This Row],[Valor Nominal]]*(Tabla3[[#This Row],[Precio Clean]]-1),0),0)</f>
        <v>0</v>
      </c>
      <c r="AK347" s="605">
        <f>+IF(Tabla3[[#This Row],[Amortización k | cupón de intereses]]="Amortización de K",IF(Tabla3[[#This Row],[Precio Clean]]&lt;1,Tabla3[[#This Row],[Valor Nominal]]*(Tabla3[[#This Row],[Precio Clean]]-1),0),0)</f>
        <v>-2.8581482763412325</v>
      </c>
    </row>
    <row r="348" spans="1:37">
      <c r="A348" s="502"/>
      <c r="B348" s="437" t="str">
        <f t="shared" ref="B348:C359" si="211">+B347</f>
        <v>Banco Nacional de Fomento</v>
      </c>
      <c r="C348" s="437" t="str">
        <f t="shared" si="211"/>
        <v>BNF_6,50%_05122028_BB3247-52_50K</v>
      </c>
      <c r="D348" s="437" t="s">
        <v>453</v>
      </c>
      <c r="E348" s="437" t="str">
        <f t="shared" ref="E348:E359" si="212">+E347</f>
        <v>AA+py</v>
      </c>
      <c r="F348" s="437" t="s">
        <v>297</v>
      </c>
      <c r="G348" s="437" t="s">
        <v>298</v>
      </c>
      <c r="H348" s="437">
        <f t="shared" ref="H348:H359" si="213">+H347</f>
        <v>2</v>
      </c>
      <c r="I348" s="445">
        <v>810.27</v>
      </c>
      <c r="J348" s="462"/>
      <c r="K348" s="450"/>
      <c r="L348" s="462"/>
      <c r="M348" s="493"/>
      <c r="N348" s="493"/>
      <c r="O348" s="516">
        <f t="shared" ref="O348:Q359" si="214">+O347</f>
        <v>6.6600474715232852E-2</v>
      </c>
      <c r="P348" s="516">
        <f t="shared" si="214"/>
        <v>6.4998760445679871E-2</v>
      </c>
      <c r="Q348" s="450">
        <f t="shared" si="214"/>
        <v>45996</v>
      </c>
      <c r="R348" s="450">
        <v>47092</v>
      </c>
      <c r="S348" s="509" t="s">
        <v>146</v>
      </c>
      <c r="T348" s="510">
        <f>Tabla3[[#This Row],[Cantidad]]*Tabla3[[#This Row],[Cortes]]</f>
        <v>1620.54</v>
      </c>
      <c r="U348" s="511">
        <f t="shared" si="202"/>
        <v>1362.9405526673202</v>
      </c>
      <c r="V348" s="511">
        <f t="shared" si="203"/>
        <v>1362.6998134163805</v>
      </c>
      <c r="W348" s="497">
        <f>IF(Tabla3[[#This Row],[Fecha de operación]]=$C$1,0,U348-V348)</f>
        <v>0.24073925093966864</v>
      </c>
      <c r="X348" s="512" t="str">
        <f t="shared" si="178"/>
        <v>Vigente</v>
      </c>
      <c r="Y348" s="517" t="s">
        <v>450</v>
      </c>
      <c r="Z348" s="449">
        <f t="shared" si="179"/>
        <v>980</v>
      </c>
      <c r="AA348" s="518">
        <f t="shared" ref="AA348:AB359" si="215">+AA347</f>
        <v>2.4676132134475903</v>
      </c>
      <c r="AB348" s="518">
        <f t="shared" si="215"/>
        <v>2.4272000446470092</v>
      </c>
      <c r="AC348" s="449" t="s">
        <v>451</v>
      </c>
      <c r="AD348" s="449" t="s">
        <v>454</v>
      </c>
      <c r="AG348" s="605">
        <f>+IF(Tabla3[[#This Row],[Amortización k | cupón de intereses]]="Amortización de K",Tabla3[[#This Row],[Valor Nominal]],0)</f>
        <v>0</v>
      </c>
      <c r="AH348" s="605">
        <f>+IF(AND(Tabla3[[#This Row],[Amortización k | cupón de intereses]]="Cupón de interés",Tabla3[[#This Row],[Estado]]="Vigente"),Tabla3[[#This Row],[Valor Nominal]],0)</f>
        <v>1620.54</v>
      </c>
      <c r="AI348" s="618">
        <f>+IF(Tabla3[[#This Row],[Amortización k | cupón de intereses]]="Amortización de K",SUMIFS($AH$7:$AH$557,Tabla3[Código Emisión],Tabla3[[#This Row],[Código Emisión]],Tabla3[Fecha de operación],Tabla3[[#This Row],[Fecha de operación]]),0)-Tabla3[[#This Row],[Accrued]]*Tabla3[[#This Row],[Valor Nominal]]</f>
        <v>0</v>
      </c>
      <c r="AJ348" s="605">
        <f>+IF(Tabla3[[#This Row],[Amortización k | cupón de intereses]]="Amortización de K",IF(Tabla3[[#This Row],[Precio Clean]]&gt;1,Tabla3[[#This Row],[Valor Nominal]]*(Tabla3[[#This Row],[Precio Clean]]-1),0),0)</f>
        <v>0</v>
      </c>
      <c r="AK348" s="605">
        <f>+IF(Tabla3[[#This Row],[Amortización k | cupón de intereses]]="Amortización de K",IF(Tabla3[[#This Row],[Precio Clean]]&lt;1,Tabla3[[#This Row],[Valor Nominal]]*(Tabla3[[#This Row],[Precio Clean]]-1),0),0)</f>
        <v>0</v>
      </c>
    </row>
    <row r="349" spans="1:37">
      <c r="A349" s="502"/>
      <c r="B349" s="437" t="str">
        <f t="shared" si="211"/>
        <v>Banco Nacional de Fomento</v>
      </c>
      <c r="C349" s="437" t="str">
        <f t="shared" si="211"/>
        <v>BNF_6,50%_05122028_BB3247-52_50K</v>
      </c>
      <c r="D349" s="437" t="s">
        <v>453</v>
      </c>
      <c r="E349" s="437" t="str">
        <f t="shared" si="212"/>
        <v>AA+py</v>
      </c>
      <c r="F349" s="437" t="s">
        <v>297</v>
      </c>
      <c r="G349" s="437" t="s">
        <v>298</v>
      </c>
      <c r="H349" s="437">
        <f t="shared" si="213"/>
        <v>2</v>
      </c>
      <c r="I349" s="445">
        <v>819.17</v>
      </c>
      <c r="J349" s="462"/>
      <c r="K349" s="450"/>
      <c r="L349" s="462"/>
      <c r="M349" s="493"/>
      <c r="N349" s="493"/>
      <c r="O349" s="516">
        <f t="shared" si="214"/>
        <v>6.6600474715232852E-2</v>
      </c>
      <c r="P349" s="516">
        <f t="shared" si="214"/>
        <v>6.4998760445679871E-2</v>
      </c>
      <c r="Q349" s="450">
        <f t="shared" si="214"/>
        <v>45996</v>
      </c>
      <c r="R349" s="450">
        <v>47001</v>
      </c>
      <c r="S349" s="509" t="s">
        <v>146</v>
      </c>
      <c r="T349" s="510">
        <f>Tabla3[[#This Row],[Cantidad]]*Tabla3[[#This Row],[Cortes]]</f>
        <v>1638.34</v>
      </c>
      <c r="U349" s="511">
        <f t="shared" si="202"/>
        <v>1400.2399262988768</v>
      </c>
      <c r="V349" s="511">
        <f t="shared" si="203"/>
        <v>1399.9925987757995</v>
      </c>
      <c r="W349" s="497">
        <f>IF(Tabla3[[#This Row],[Fecha de operación]]=$C$1,0,U349-V349)</f>
        <v>0.24732752307727424</v>
      </c>
      <c r="X349" s="512" t="str">
        <f t="shared" si="178"/>
        <v>Vigente</v>
      </c>
      <c r="Y349" s="517" t="s">
        <v>450</v>
      </c>
      <c r="Z349" s="449">
        <f t="shared" si="179"/>
        <v>889</v>
      </c>
      <c r="AA349" s="518">
        <f t="shared" si="215"/>
        <v>2.4676132134475903</v>
      </c>
      <c r="AB349" s="518">
        <f t="shared" si="215"/>
        <v>2.4272000446470092</v>
      </c>
      <c r="AC349" s="449" t="s">
        <v>451</v>
      </c>
      <c r="AD349" s="449" t="s">
        <v>454</v>
      </c>
      <c r="AG349" s="605">
        <f>+IF(Tabla3[[#This Row],[Amortización k | cupón de intereses]]="Amortización de K",Tabla3[[#This Row],[Valor Nominal]],0)</f>
        <v>0</v>
      </c>
      <c r="AH349" s="605">
        <f>+IF(AND(Tabla3[[#This Row],[Amortización k | cupón de intereses]]="Cupón de interés",Tabla3[[#This Row],[Estado]]="Vigente"),Tabla3[[#This Row],[Valor Nominal]],0)</f>
        <v>1638.34</v>
      </c>
      <c r="AI349" s="618">
        <f>+IF(Tabla3[[#This Row],[Amortización k | cupón de intereses]]="Amortización de K",SUMIFS($AH$7:$AH$557,Tabla3[Código Emisión],Tabla3[[#This Row],[Código Emisión]],Tabla3[Fecha de operación],Tabla3[[#This Row],[Fecha de operación]]),0)-Tabla3[[#This Row],[Accrued]]*Tabla3[[#This Row],[Valor Nominal]]</f>
        <v>0</v>
      </c>
      <c r="AJ349" s="605">
        <f>+IF(Tabla3[[#This Row],[Amortización k | cupón de intereses]]="Amortización de K",IF(Tabla3[[#This Row],[Precio Clean]]&gt;1,Tabla3[[#This Row],[Valor Nominal]]*(Tabla3[[#This Row],[Precio Clean]]-1),0),0)</f>
        <v>0</v>
      </c>
      <c r="AK349" s="605">
        <f>+IF(Tabla3[[#This Row],[Amortización k | cupón de intereses]]="Amortización de K",IF(Tabla3[[#This Row],[Precio Clean]]&lt;1,Tabla3[[#This Row],[Valor Nominal]]*(Tabla3[[#This Row],[Precio Clean]]-1),0),0)</f>
        <v>0</v>
      </c>
    </row>
    <row r="350" spans="1:37">
      <c r="A350" s="502"/>
      <c r="B350" s="437" t="str">
        <f t="shared" si="211"/>
        <v>Banco Nacional de Fomento</v>
      </c>
      <c r="C350" s="437" t="str">
        <f t="shared" si="211"/>
        <v>BNF_6,50%_05122028_BB3247-52_50K</v>
      </c>
      <c r="D350" s="437" t="s">
        <v>453</v>
      </c>
      <c r="E350" s="437" t="str">
        <f t="shared" si="212"/>
        <v>AA+py</v>
      </c>
      <c r="F350" s="437" t="s">
        <v>297</v>
      </c>
      <c r="G350" s="437" t="s">
        <v>298</v>
      </c>
      <c r="H350" s="437">
        <f t="shared" si="213"/>
        <v>2</v>
      </c>
      <c r="I350" s="445">
        <v>810.27</v>
      </c>
      <c r="J350" s="462"/>
      <c r="K350" s="450"/>
      <c r="L350" s="462"/>
      <c r="M350" s="493"/>
      <c r="N350" s="493"/>
      <c r="O350" s="516">
        <f t="shared" si="214"/>
        <v>6.6600474715232852E-2</v>
      </c>
      <c r="P350" s="516">
        <f t="shared" si="214"/>
        <v>6.4998760445679871E-2</v>
      </c>
      <c r="Q350" s="450">
        <f t="shared" si="214"/>
        <v>45996</v>
      </c>
      <c r="R350" s="450">
        <v>46909</v>
      </c>
      <c r="S350" s="509" t="s">
        <v>146</v>
      </c>
      <c r="T350" s="510">
        <f>Tabla3[[#This Row],[Cantidad]]*Tabla3[[#This Row],[Cortes]]</f>
        <v>1620.54</v>
      </c>
      <c r="U350" s="511">
        <f t="shared" si="202"/>
        <v>1407.7196036253195</v>
      </c>
      <c r="V350" s="511">
        <f t="shared" si="203"/>
        <v>1407.4709549500367</v>
      </c>
      <c r="W350" s="497">
        <f>IF(Tabla3[[#This Row],[Fecha de operación]]=$C$1,0,U350-V350)</f>
        <v>0.24864867528276591</v>
      </c>
      <c r="X350" s="512" t="str">
        <f t="shared" si="178"/>
        <v>Vigente</v>
      </c>
      <c r="Y350" s="517" t="s">
        <v>450</v>
      </c>
      <c r="Z350" s="449">
        <f t="shared" si="179"/>
        <v>797</v>
      </c>
      <c r="AA350" s="518">
        <f t="shared" si="215"/>
        <v>2.4676132134475903</v>
      </c>
      <c r="AB350" s="518">
        <f t="shared" si="215"/>
        <v>2.4272000446470092</v>
      </c>
      <c r="AC350" s="449" t="s">
        <v>451</v>
      </c>
      <c r="AD350" s="449" t="s">
        <v>454</v>
      </c>
      <c r="AG350" s="605">
        <f>+IF(Tabla3[[#This Row],[Amortización k | cupón de intereses]]="Amortización de K",Tabla3[[#This Row],[Valor Nominal]],0)</f>
        <v>0</v>
      </c>
      <c r="AH350" s="605">
        <f>+IF(AND(Tabla3[[#This Row],[Amortización k | cupón de intereses]]="Cupón de interés",Tabla3[[#This Row],[Estado]]="Vigente"),Tabla3[[#This Row],[Valor Nominal]],0)</f>
        <v>1620.54</v>
      </c>
      <c r="AI350" s="618">
        <f>+IF(Tabla3[[#This Row],[Amortización k | cupón de intereses]]="Amortización de K",SUMIFS($AH$7:$AH$557,Tabla3[Código Emisión],Tabla3[[#This Row],[Código Emisión]],Tabla3[Fecha de operación],Tabla3[[#This Row],[Fecha de operación]]),0)-Tabla3[[#This Row],[Accrued]]*Tabla3[[#This Row],[Valor Nominal]]</f>
        <v>0</v>
      </c>
      <c r="AJ350" s="605">
        <f>+IF(Tabla3[[#This Row],[Amortización k | cupón de intereses]]="Amortización de K",IF(Tabla3[[#This Row],[Precio Clean]]&gt;1,Tabla3[[#This Row],[Valor Nominal]]*(Tabla3[[#This Row],[Precio Clean]]-1),0),0)</f>
        <v>0</v>
      </c>
      <c r="AK350" s="605">
        <f>+IF(Tabla3[[#This Row],[Amortización k | cupón de intereses]]="Amortización de K",IF(Tabla3[[#This Row],[Precio Clean]]&lt;1,Tabla3[[#This Row],[Valor Nominal]]*(Tabla3[[#This Row],[Precio Clean]]-1),0),0)</f>
        <v>0</v>
      </c>
    </row>
    <row r="351" spans="1:37">
      <c r="A351" s="502"/>
      <c r="B351" s="437" t="str">
        <f t="shared" si="211"/>
        <v>Banco Nacional de Fomento</v>
      </c>
      <c r="C351" s="437" t="str">
        <f t="shared" si="211"/>
        <v>BNF_6,50%_05122028_BB3247-52_50K</v>
      </c>
      <c r="D351" s="437" t="s">
        <v>453</v>
      </c>
      <c r="E351" s="437" t="str">
        <f t="shared" si="212"/>
        <v>AA+py</v>
      </c>
      <c r="F351" s="437" t="s">
        <v>297</v>
      </c>
      <c r="G351" s="437" t="s">
        <v>298</v>
      </c>
      <c r="H351" s="437">
        <f t="shared" si="213"/>
        <v>2</v>
      </c>
      <c r="I351" s="445">
        <v>810.27</v>
      </c>
      <c r="J351" s="462"/>
      <c r="K351" s="450"/>
      <c r="L351" s="462"/>
      <c r="M351" s="493"/>
      <c r="N351" s="493"/>
      <c r="O351" s="516">
        <f t="shared" si="214"/>
        <v>6.6600474715232852E-2</v>
      </c>
      <c r="P351" s="516">
        <f t="shared" si="214"/>
        <v>6.4998760445679871E-2</v>
      </c>
      <c r="Q351" s="450">
        <f t="shared" si="214"/>
        <v>45996</v>
      </c>
      <c r="R351" s="450">
        <v>46818</v>
      </c>
      <c r="S351" s="509" t="s">
        <v>146</v>
      </c>
      <c r="T351" s="510">
        <f>Tabla3[[#This Row],[Cantidad]]*Tabla3[[#This Row],[Cortes]]</f>
        <v>1620.54</v>
      </c>
      <c r="U351" s="511">
        <f t="shared" si="202"/>
        <v>1430.5314904379206</v>
      </c>
      <c r="V351" s="511">
        <f t="shared" si="203"/>
        <v>1430.2788124478357</v>
      </c>
      <c r="W351" s="497">
        <f>IF(Tabla3[[#This Row],[Fecha de operación]]=$C$1,0,U351-V351)</f>
        <v>0.25267799008497605</v>
      </c>
      <c r="X351" s="512" t="str">
        <f t="shared" si="178"/>
        <v>Vigente</v>
      </c>
      <c r="Y351" s="517" t="s">
        <v>450</v>
      </c>
      <c r="Z351" s="449">
        <f t="shared" si="179"/>
        <v>706</v>
      </c>
      <c r="AA351" s="518">
        <f t="shared" si="215"/>
        <v>2.4676132134475903</v>
      </c>
      <c r="AB351" s="518">
        <f t="shared" si="215"/>
        <v>2.4272000446470092</v>
      </c>
      <c r="AC351" s="449" t="s">
        <v>451</v>
      </c>
      <c r="AD351" s="449" t="s">
        <v>454</v>
      </c>
      <c r="AG351" s="605">
        <f>+IF(Tabla3[[#This Row],[Amortización k | cupón de intereses]]="Amortización de K",Tabla3[[#This Row],[Valor Nominal]],0)</f>
        <v>0</v>
      </c>
      <c r="AH351" s="605">
        <f>+IF(AND(Tabla3[[#This Row],[Amortización k | cupón de intereses]]="Cupón de interés",Tabla3[[#This Row],[Estado]]="Vigente"),Tabla3[[#This Row],[Valor Nominal]],0)</f>
        <v>1620.54</v>
      </c>
      <c r="AI351" s="618">
        <f>+IF(Tabla3[[#This Row],[Amortización k | cupón de intereses]]="Amortización de K",SUMIFS($AH$7:$AH$557,Tabla3[Código Emisión],Tabla3[[#This Row],[Código Emisión]],Tabla3[Fecha de operación],Tabla3[[#This Row],[Fecha de operación]]),0)-Tabla3[[#This Row],[Accrued]]*Tabla3[[#This Row],[Valor Nominal]]</f>
        <v>0</v>
      </c>
      <c r="AJ351" s="605">
        <f>+IF(Tabla3[[#This Row],[Amortización k | cupón de intereses]]="Amortización de K",IF(Tabla3[[#This Row],[Precio Clean]]&gt;1,Tabla3[[#This Row],[Valor Nominal]]*(Tabla3[[#This Row],[Precio Clean]]-1),0),0)</f>
        <v>0</v>
      </c>
      <c r="AK351" s="605">
        <f>+IF(Tabla3[[#This Row],[Amortización k | cupón de intereses]]="Amortización de K",IF(Tabla3[[#This Row],[Precio Clean]]&lt;1,Tabla3[[#This Row],[Valor Nominal]]*(Tabla3[[#This Row],[Precio Clean]]-1),0),0)</f>
        <v>0</v>
      </c>
    </row>
    <row r="352" spans="1:37">
      <c r="A352" s="502"/>
      <c r="B352" s="437" t="str">
        <f t="shared" si="211"/>
        <v>Banco Nacional de Fomento</v>
      </c>
      <c r="C352" s="437" t="str">
        <f t="shared" si="211"/>
        <v>BNF_6,50%_05122028_BB3247-52_50K</v>
      </c>
      <c r="D352" s="437" t="s">
        <v>453</v>
      </c>
      <c r="E352" s="437" t="str">
        <f t="shared" si="212"/>
        <v>AA+py</v>
      </c>
      <c r="F352" s="437" t="s">
        <v>297</v>
      </c>
      <c r="G352" s="437" t="s">
        <v>298</v>
      </c>
      <c r="H352" s="437">
        <f t="shared" si="213"/>
        <v>2</v>
      </c>
      <c r="I352" s="445">
        <v>810.27</v>
      </c>
      <c r="J352" s="462"/>
      <c r="K352" s="450"/>
      <c r="L352" s="462"/>
      <c r="M352" s="493"/>
      <c r="N352" s="493"/>
      <c r="O352" s="516">
        <f t="shared" si="214"/>
        <v>6.6600474715232852E-2</v>
      </c>
      <c r="P352" s="516">
        <f t="shared" si="214"/>
        <v>6.4998760445679871E-2</v>
      </c>
      <c r="Q352" s="450">
        <f t="shared" si="214"/>
        <v>45996</v>
      </c>
      <c r="R352" s="450">
        <v>46727</v>
      </c>
      <c r="S352" s="509" t="s">
        <v>146</v>
      </c>
      <c r="T352" s="510">
        <f>Tabla3[[#This Row],[Cantidad]]*Tabla3[[#This Row],[Cortes]]</f>
        <v>1620.54</v>
      </c>
      <c r="U352" s="511">
        <f t="shared" si="202"/>
        <v>1453.7130404836055</v>
      </c>
      <c r="V352" s="511">
        <f t="shared" si="203"/>
        <v>1453.4562678842706</v>
      </c>
      <c r="W352" s="497">
        <f>IF(Tabla3[[#This Row],[Fecha de operación]]=$C$1,0,U352-V352)</f>
        <v>0.25677259933490859</v>
      </c>
      <c r="X352" s="512" t="str">
        <f t="shared" si="178"/>
        <v>Vigente</v>
      </c>
      <c r="Y352" s="517" t="s">
        <v>450</v>
      </c>
      <c r="Z352" s="449">
        <f t="shared" si="179"/>
        <v>615</v>
      </c>
      <c r="AA352" s="518">
        <f t="shared" si="215"/>
        <v>2.4676132134475903</v>
      </c>
      <c r="AB352" s="518">
        <f t="shared" si="215"/>
        <v>2.4272000446470092</v>
      </c>
      <c r="AC352" s="449" t="s">
        <v>451</v>
      </c>
      <c r="AD352" s="449" t="s">
        <v>454</v>
      </c>
      <c r="AG352" s="605">
        <f>+IF(Tabla3[[#This Row],[Amortización k | cupón de intereses]]="Amortización de K",Tabla3[[#This Row],[Valor Nominal]],0)</f>
        <v>0</v>
      </c>
      <c r="AH352" s="605">
        <f>+IF(AND(Tabla3[[#This Row],[Amortización k | cupón de intereses]]="Cupón de interés",Tabla3[[#This Row],[Estado]]="Vigente"),Tabla3[[#This Row],[Valor Nominal]],0)</f>
        <v>1620.54</v>
      </c>
      <c r="AI352" s="618">
        <f>+IF(Tabla3[[#This Row],[Amortización k | cupón de intereses]]="Amortización de K",SUMIFS($AH$7:$AH$557,Tabla3[Código Emisión],Tabla3[[#This Row],[Código Emisión]],Tabla3[Fecha de operación],Tabla3[[#This Row],[Fecha de operación]]),0)-Tabla3[[#This Row],[Accrued]]*Tabla3[[#This Row],[Valor Nominal]]</f>
        <v>0</v>
      </c>
      <c r="AJ352" s="605">
        <f>+IF(Tabla3[[#This Row],[Amortización k | cupón de intereses]]="Amortización de K",IF(Tabla3[[#This Row],[Precio Clean]]&gt;1,Tabla3[[#This Row],[Valor Nominal]]*(Tabla3[[#This Row],[Precio Clean]]-1),0),0)</f>
        <v>0</v>
      </c>
      <c r="AK352" s="605">
        <f>+IF(Tabla3[[#This Row],[Amortización k | cupón de intereses]]="Amortización de K",IF(Tabla3[[#This Row],[Precio Clean]]&lt;1,Tabla3[[#This Row],[Valor Nominal]]*(Tabla3[[#This Row],[Precio Clean]]-1),0),0)</f>
        <v>0</v>
      </c>
    </row>
    <row r="353" spans="1:37">
      <c r="A353" s="502"/>
      <c r="B353" s="437" t="str">
        <f t="shared" si="211"/>
        <v>Banco Nacional de Fomento</v>
      </c>
      <c r="C353" s="437" t="str">
        <f t="shared" si="211"/>
        <v>BNF_6,50%_05122028_BB3247-52_50K</v>
      </c>
      <c r="D353" s="437" t="s">
        <v>453</v>
      </c>
      <c r="E353" s="437" t="str">
        <f t="shared" si="212"/>
        <v>AA+py</v>
      </c>
      <c r="F353" s="437" t="s">
        <v>297</v>
      </c>
      <c r="G353" s="437" t="s">
        <v>298</v>
      </c>
      <c r="H353" s="437">
        <f t="shared" si="213"/>
        <v>2</v>
      </c>
      <c r="I353" s="445">
        <v>810.27</v>
      </c>
      <c r="J353" s="462"/>
      <c r="K353" s="450"/>
      <c r="L353" s="462"/>
      <c r="M353" s="493"/>
      <c r="N353" s="493"/>
      <c r="O353" s="516">
        <f t="shared" si="214"/>
        <v>6.6600474715232852E-2</v>
      </c>
      <c r="P353" s="516">
        <f t="shared" si="214"/>
        <v>6.4998760445679871E-2</v>
      </c>
      <c r="Q353" s="450">
        <f t="shared" si="214"/>
        <v>45996</v>
      </c>
      <c r="R353" s="450">
        <v>46636</v>
      </c>
      <c r="S353" s="509" t="s">
        <v>146</v>
      </c>
      <c r="T353" s="510">
        <f>Tabla3[[#This Row],[Cantidad]]*Tabla3[[#This Row],[Cortes]]</f>
        <v>1620.54</v>
      </c>
      <c r="U353" s="511">
        <f t="shared" si="202"/>
        <v>1477.2702441000872</v>
      </c>
      <c r="V353" s="511">
        <f t="shared" si="203"/>
        <v>1477.009310538969</v>
      </c>
      <c r="W353" s="497">
        <f>IF(Tabla3[[#This Row],[Fecha de operación]]=$C$1,0,U353-V353)</f>
        <v>0.26093356111823596</v>
      </c>
      <c r="X353" s="512" t="str">
        <f t="shared" si="178"/>
        <v>Vigente</v>
      </c>
      <c r="Y353" s="517" t="s">
        <v>450</v>
      </c>
      <c r="Z353" s="449">
        <f t="shared" si="179"/>
        <v>524</v>
      </c>
      <c r="AA353" s="518">
        <f t="shared" si="215"/>
        <v>2.4676132134475903</v>
      </c>
      <c r="AB353" s="518">
        <f t="shared" si="215"/>
        <v>2.4272000446470092</v>
      </c>
      <c r="AC353" s="449" t="s">
        <v>451</v>
      </c>
      <c r="AD353" s="449" t="s">
        <v>454</v>
      </c>
      <c r="AG353" s="605">
        <f>+IF(Tabla3[[#This Row],[Amortización k | cupón de intereses]]="Amortización de K",Tabla3[[#This Row],[Valor Nominal]],0)</f>
        <v>0</v>
      </c>
      <c r="AH353" s="605">
        <f>+IF(AND(Tabla3[[#This Row],[Amortización k | cupón de intereses]]="Cupón de interés",Tabla3[[#This Row],[Estado]]="Vigente"),Tabla3[[#This Row],[Valor Nominal]],0)</f>
        <v>1620.54</v>
      </c>
      <c r="AI353" s="618">
        <f>+IF(Tabla3[[#This Row],[Amortización k | cupón de intereses]]="Amortización de K",SUMIFS($AH$7:$AH$557,Tabla3[Código Emisión],Tabla3[[#This Row],[Código Emisión]],Tabla3[Fecha de operación],Tabla3[[#This Row],[Fecha de operación]]),0)-Tabla3[[#This Row],[Accrued]]*Tabla3[[#This Row],[Valor Nominal]]</f>
        <v>0</v>
      </c>
      <c r="AJ353" s="605">
        <f>+IF(Tabla3[[#This Row],[Amortización k | cupón de intereses]]="Amortización de K",IF(Tabla3[[#This Row],[Precio Clean]]&gt;1,Tabla3[[#This Row],[Valor Nominal]]*(Tabla3[[#This Row],[Precio Clean]]-1),0),0)</f>
        <v>0</v>
      </c>
      <c r="AK353" s="605">
        <f>+IF(Tabla3[[#This Row],[Amortización k | cupón de intereses]]="Amortización de K",IF(Tabla3[[#This Row],[Precio Clean]]&lt;1,Tabla3[[#This Row],[Valor Nominal]]*(Tabla3[[#This Row],[Precio Clean]]-1),0),0)</f>
        <v>0</v>
      </c>
    </row>
    <row r="354" spans="1:37">
      <c r="A354" s="502"/>
      <c r="B354" s="437" t="str">
        <f t="shared" si="211"/>
        <v>Banco Nacional de Fomento</v>
      </c>
      <c r="C354" s="437" t="str">
        <f t="shared" si="211"/>
        <v>BNF_6,50%_05122028_BB3247-52_50K</v>
      </c>
      <c r="D354" s="437" t="s">
        <v>453</v>
      </c>
      <c r="E354" s="437" t="str">
        <f t="shared" si="212"/>
        <v>AA+py</v>
      </c>
      <c r="F354" s="437" t="s">
        <v>297</v>
      </c>
      <c r="G354" s="437" t="s">
        <v>298</v>
      </c>
      <c r="H354" s="437">
        <f t="shared" si="213"/>
        <v>2</v>
      </c>
      <c r="I354" s="445">
        <v>836.98</v>
      </c>
      <c r="J354" s="462"/>
      <c r="K354" s="450"/>
      <c r="L354" s="462"/>
      <c r="M354" s="493"/>
      <c r="N354" s="493"/>
      <c r="O354" s="516">
        <f t="shared" si="214"/>
        <v>6.6600474715232852E-2</v>
      </c>
      <c r="P354" s="516">
        <f t="shared" si="214"/>
        <v>6.4998760445679871E-2</v>
      </c>
      <c r="Q354" s="450">
        <f t="shared" si="214"/>
        <v>45996</v>
      </c>
      <c r="R354" s="450">
        <v>46545</v>
      </c>
      <c r="S354" s="509" t="s">
        <v>146</v>
      </c>
      <c r="T354" s="510">
        <f>Tabla3[[#This Row],[Cantidad]]*Tabla3[[#This Row],[Cortes]]</f>
        <v>1673.96</v>
      </c>
      <c r="U354" s="511">
        <f t="shared" si="202"/>
        <v>1550.6955295841221</v>
      </c>
      <c r="V354" s="511">
        <f t="shared" si="203"/>
        <v>1550.4216267499182</v>
      </c>
      <c r="W354" s="497">
        <f>IF(Tabla3[[#This Row],[Fecha de operación]]=$C$1,0,U354-V354)</f>
        <v>0.27390283420390915</v>
      </c>
      <c r="X354" s="512" t="str">
        <f t="shared" si="178"/>
        <v>Vigente</v>
      </c>
      <c r="Y354" s="517" t="s">
        <v>450</v>
      </c>
      <c r="Z354" s="449">
        <f t="shared" si="179"/>
        <v>433</v>
      </c>
      <c r="AA354" s="518">
        <f t="shared" si="215"/>
        <v>2.4676132134475903</v>
      </c>
      <c r="AB354" s="518">
        <f t="shared" si="215"/>
        <v>2.4272000446470092</v>
      </c>
      <c r="AC354" s="449" t="s">
        <v>451</v>
      </c>
      <c r="AD354" s="449" t="s">
        <v>454</v>
      </c>
      <c r="AG354" s="605">
        <f>+IF(Tabla3[[#This Row],[Amortización k | cupón de intereses]]="Amortización de K",Tabla3[[#This Row],[Valor Nominal]],0)</f>
        <v>0</v>
      </c>
      <c r="AH354" s="605">
        <f>+IF(AND(Tabla3[[#This Row],[Amortización k | cupón de intereses]]="Cupón de interés",Tabla3[[#This Row],[Estado]]="Vigente"),Tabla3[[#This Row],[Valor Nominal]],0)</f>
        <v>1673.96</v>
      </c>
      <c r="AI354" s="618">
        <f>+IF(Tabla3[[#This Row],[Amortización k | cupón de intereses]]="Amortización de K",SUMIFS($AH$7:$AH$557,Tabla3[Código Emisión],Tabla3[[#This Row],[Código Emisión]],Tabla3[Fecha de operación],Tabla3[[#This Row],[Fecha de operación]]),0)-Tabla3[[#This Row],[Accrued]]*Tabla3[[#This Row],[Valor Nominal]]</f>
        <v>0</v>
      </c>
      <c r="AJ354" s="605">
        <f>+IF(Tabla3[[#This Row],[Amortización k | cupón de intereses]]="Amortización de K",IF(Tabla3[[#This Row],[Precio Clean]]&gt;1,Tabla3[[#This Row],[Valor Nominal]]*(Tabla3[[#This Row],[Precio Clean]]-1),0),0)</f>
        <v>0</v>
      </c>
      <c r="AK354" s="605">
        <f>+IF(Tabla3[[#This Row],[Amortización k | cupón de intereses]]="Amortización de K",IF(Tabla3[[#This Row],[Precio Clean]]&lt;1,Tabla3[[#This Row],[Valor Nominal]]*(Tabla3[[#This Row],[Precio Clean]]-1),0),0)</f>
        <v>0</v>
      </c>
    </row>
    <row r="355" spans="1:37">
      <c r="A355" s="502"/>
      <c r="B355" s="437" t="str">
        <f t="shared" si="211"/>
        <v>Banco Nacional de Fomento</v>
      </c>
      <c r="C355" s="437" t="str">
        <f t="shared" si="211"/>
        <v>BNF_6,50%_05122028_BB3247-52_50K</v>
      </c>
      <c r="D355" s="437" t="s">
        <v>453</v>
      </c>
      <c r="E355" s="437" t="str">
        <f t="shared" si="212"/>
        <v>AA+py</v>
      </c>
      <c r="F355" s="437" t="s">
        <v>297</v>
      </c>
      <c r="G355" s="437" t="s">
        <v>298</v>
      </c>
      <c r="H355" s="437">
        <f t="shared" si="213"/>
        <v>2</v>
      </c>
      <c r="I355" s="445">
        <v>783.56</v>
      </c>
      <c r="J355" s="462"/>
      <c r="K355" s="450"/>
      <c r="L355" s="462"/>
      <c r="M355" s="493"/>
      <c r="N355" s="493"/>
      <c r="O355" s="516">
        <f t="shared" si="214"/>
        <v>6.6600474715232852E-2</v>
      </c>
      <c r="P355" s="516">
        <f t="shared" si="214"/>
        <v>6.4998760445679871E-2</v>
      </c>
      <c r="Q355" s="450">
        <f t="shared" si="214"/>
        <v>45996</v>
      </c>
      <c r="R355" s="450">
        <v>46451</v>
      </c>
      <c r="S355" s="509" t="s">
        <v>146</v>
      </c>
      <c r="T355" s="510">
        <f>Tabla3[[#This Row],[Cantidad]]*Tabla3[[#This Row],[Cortes]]</f>
        <v>1567.12</v>
      </c>
      <c r="U355" s="511">
        <f t="shared" si="202"/>
        <v>1476.0298058869014</v>
      </c>
      <c r="V355" s="511">
        <f t="shared" si="203"/>
        <v>1475.7690914271709</v>
      </c>
      <c r="W355" s="497">
        <f>IF(Tabla3[[#This Row],[Fecha de operación]]=$C$1,0,U355-V355)</f>
        <v>0.26071445973047958</v>
      </c>
      <c r="X355" s="512" t="str">
        <f t="shared" si="178"/>
        <v>Vigente</v>
      </c>
      <c r="Y355" s="517" t="s">
        <v>450</v>
      </c>
      <c r="Z355" s="449">
        <f t="shared" si="179"/>
        <v>339</v>
      </c>
      <c r="AA355" s="518">
        <f t="shared" si="215"/>
        <v>2.4676132134475903</v>
      </c>
      <c r="AB355" s="518">
        <f t="shared" si="215"/>
        <v>2.4272000446470092</v>
      </c>
      <c r="AC355" s="449" t="s">
        <v>451</v>
      </c>
      <c r="AD355" s="449" t="s">
        <v>454</v>
      </c>
      <c r="AG355" s="605">
        <f>+IF(Tabla3[[#This Row],[Amortización k | cupón de intereses]]="Amortización de K",Tabla3[[#This Row],[Valor Nominal]],0)</f>
        <v>0</v>
      </c>
      <c r="AH355" s="605">
        <f>+IF(AND(Tabla3[[#This Row],[Amortización k | cupón de intereses]]="Cupón de interés",Tabla3[[#This Row],[Estado]]="Vigente"),Tabla3[[#This Row],[Valor Nominal]],0)</f>
        <v>1567.12</v>
      </c>
      <c r="AI355" s="618">
        <f>+IF(Tabla3[[#This Row],[Amortización k | cupón de intereses]]="Amortización de K",SUMIFS($AH$7:$AH$557,Tabla3[Código Emisión],Tabla3[[#This Row],[Código Emisión]],Tabla3[Fecha de operación],Tabla3[[#This Row],[Fecha de operación]]),0)-Tabla3[[#This Row],[Accrued]]*Tabla3[[#This Row],[Valor Nominal]]</f>
        <v>0</v>
      </c>
      <c r="AJ355" s="605">
        <f>+IF(Tabla3[[#This Row],[Amortización k | cupón de intereses]]="Amortización de K",IF(Tabla3[[#This Row],[Precio Clean]]&gt;1,Tabla3[[#This Row],[Valor Nominal]]*(Tabla3[[#This Row],[Precio Clean]]-1),0),0)</f>
        <v>0</v>
      </c>
      <c r="AK355" s="605">
        <f>+IF(Tabla3[[#This Row],[Amortización k | cupón de intereses]]="Amortización de K",IF(Tabla3[[#This Row],[Precio Clean]]&lt;1,Tabla3[[#This Row],[Valor Nominal]]*(Tabla3[[#This Row],[Precio Clean]]-1),0),0)</f>
        <v>0</v>
      </c>
    </row>
    <row r="356" spans="1:37">
      <c r="A356" s="502"/>
      <c r="B356" s="437" t="str">
        <f t="shared" si="211"/>
        <v>Banco Nacional de Fomento</v>
      </c>
      <c r="C356" s="437" t="str">
        <f t="shared" si="211"/>
        <v>BNF_6,50%_05122028_BB3247-52_50K</v>
      </c>
      <c r="D356" s="437" t="s">
        <v>453</v>
      </c>
      <c r="E356" s="437" t="str">
        <f t="shared" si="212"/>
        <v>AA+py</v>
      </c>
      <c r="F356" s="437" t="s">
        <v>297</v>
      </c>
      <c r="G356" s="437" t="s">
        <v>298</v>
      </c>
      <c r="H356" s="437">
        <f t="shared" si="213"/>
        <v>2</v>
      </c>
      <c r="I356" s="445">
        <v>810.27</v>
      </c>
      <c r="J356" s="462"/>
      <c r="K356" s="450"/>
      <c r="L356" s="462"/>
      <c r="M356" s="493"/>
      <c r="N356" s="493"/>
      <c r="O356" s="516">
        <f t="shared" si="214"/>
        <v>6.6600474715232852E-2</v>
      </c>
      <c r="P356" s="516">
        <f t="shared" si="214"/>
        <v>6.4998760445679871E-2</v>
      </c>
      <c r="Q356" s="450">
        <f t="shared" si="214"/>
        <v>45996</v>
      </c>
      <c r="R356" s="450">
        <v>46363</v>
      </c>
      <c r="S356" s="509" t="s">
        <v>146</v>
      </c>
      <c r="T356" s="510">
        <f>Tabla3[[#This Row],[Cantidad]]*Tabla3[[#This Row],[Cortes]]</f>
        <v>1620.54</v>
      </c>
      <c r="U356" s="511">
        <f t="shared" si="202"/>
        <v>1550.257145303194</v>
      </c>
      <c r="V356" s="511">
        <f t="shared" si="203"/>
        <v>1549.9833199017899</v>
      </c>
      <c r="W356" s="497">
        <f>IF(Tabla3[[#This Row],[Fecha de operación]]=$C$1,0,U356-V356)</f>
        <v>0.27382540140411038</v>
      </c>
      <c r="X356" s="512" t="str">
        <f t="shared" si="178"/>
        <v>Vigente</v>
      </c>
      <c r="Y356" s="517" t="s">
        <v>450</v>
      </c>
      <c r="Z356" s="449">
        <f t="shared" si="179"/>
        <v>251</v>
      </c>
      <c r="AA356" s="518">
        <f t="shared" si="215"/>
        <v>2.4676132134475903</v>
      </c>
      <c r="AB356" s="518">
        <f t="shared" si="215"/>
        <v>2.4272000446470092</v>
      </c>
      <c r="AC356" s="449" t="s">
        <v>451</v>
      </c>
      <c r="AD356" s="449" t="s">
        <v>454</v>
      </c>
      <c r="AG356" s="605">
        <f>+IF(Tabla3[[#This Row],[Amortización k | cupón de intereses]]="Amortización de K",Tabla3[[#This Row],[Valor Nominal]],0)</f>
        <v>0</v>
      </c>
      <c r="AH356" s="605">
        <f>+IF(AND(Tabla3[[#This Row],[Amortización k | cupón de intereses]]="Cupón de interés",Tabla3[[#This Row],[Estado]]="Vigente"),Tabla3[[#This Row],[Valor Nominal]],0)</f>
        <v>1620.54</v>
      </c>
      <c r="AI356" s="618">
        <f>+IF(Tabla3[[#This Row],[Amortización k | cupón de intereses]]="Amortización de K",SUMIFS($AH$7:$AH$557,Tabla3[Código Emisión],Tabla3[[#This Row],[Código Emisión]],Tabla3[Fecha de operación],Tabla3[[#This Row],[Fecha de operación]]),0)-Tabla3[[#This Row],[Accrued]]*Tabla3[[#This Row],[Valor Nominal]]</f>
        <v>0</v>
      </c>
      <c r="AJ356" s="605">
        <f>+IF(Tabla3[[#This Row],[Amortización k | cupón de intereses]]="Amortización de K",IF(Tabla3[[#This Row],[Precio Clean]]&gt;1,Tabla3[[#This Row],[Valor Nominal]]*(Tabla3[[#This Row],[Precio Clean]]-1),0),0)</f>
        <v>0</v>
      </c>
      <c r="AK356" s="605">
        <f>+IF(Tabla3[[#This Row],[Amortización k | cupón de intereses]]="Amortización de K",IF(Tabla3[[#This Row],[Precio Clean]]&lt;1,Tabla3[[#This Row],[Valor Nominal]]*(Tabla3[[#This Row],[Precio Clean]]-1),0),0)</f>
        <v>0</v>
      </c>
    </row>
    <row r="357" spans="1:37">
      <c r="A357" s="502"/>
      <c r="B357" s="437" t="str">
        <f t="shared" si="211"/>
        <v>Banco Nacional de Fomento</v>
      </c>
      <c r="C357" s="437" t="str">
        <f t="shared" si="211"/>
        <v>BNF_6,50%_05122028_BB3247-52_50K</v>
      </c>
      <c r="D357" s="437" t="s">
        <v>453</v>
      </c>
      <c r="E357" s="437" t="str">
        <f t="shared" si="212"/>
        <v>AA+py</v>
      </c>
      <c r="F357" s="437" t="s">
        <v>297</v>
      </c>
      <c r="G357" s="437" t="s">
        <v>298</v>
      </c>
      <c r="H357" s="437">
        <f t="shared" si="213"/>
        <v>2</v>
      </c>
      <c r="I357" s="445">
        <v>836.98</v>
      </c>
      <c r="J357" s="462"/>
      <c r="K357" s="450"/>
      <c r="L357" s="462"/>
      <c r="M357" s="493"/>
      <c r="N357" s="493"/>
      <c r="O357" s="516">
        <f t="shared" si="214"/>
        <v>6.6600474715232852E-2</v>
      </c>
      <c r="P357" s="516">
        <f t="shared" si="214"/>
        <v>6.4998760445679871E-2</v>
      </c>
      <c r="Q357" s="450">
        <f t="shared" si="214"/>
        <v>45996</v>
      </c>
      <c r="R357" s="450">
        <v>46272</v>
      </c>
      <c r="S357" s="509" t="s">
        <v>146</v>
      </c>
      <c r="T357" s="510">
        <f>Tabla3[[#This Row],[Cantidad]]*Tabla3[[#This Row],[Cortes]]</f>
        <v>1673.96</v>
      </c>
      <c r="U357" s="511">
        <f t="shared" si="202"/>
        <v>1627.3101245547277</v>
      </c>
      <c r="V357" s="511">
        <f t="shared" si="203"/>
        <v>1627.0226891125399</v>
      </c>
      <c r="W357" s="497">
        <f>IF(Tabla3[[#This Row],[Fecha de operación]]=$C$1,0,U357-V357)</f>
        <v>0.28743544218787065</v>
      </c>
      <c r="X357" s="512" t="str">
        <f t="shared" ref="X357:X420" si="216">IF(R357&lt;=$U$5,"Vencido","Vigente")</f>
        <v>Vigente</v>
      </c>
      <c r="Y357" s="517" t="s">
        <v>450</v>
      </c>
      <c r="Z357" s="449">
        <f t="shared" ref="Z357:Z420" si="217">+R357-$U$5</f>
        <v>160</v>
      </c>
      <c r="AA357" s="518">
        <f t="shared" si="215"/>
        <v>2.4676132134475903</v>
      </c>
      <c r="AB357" s="518">
        <f t="shared" si="215"/>
        <v>2.4272000446470092</v>
      </c>
      <c r="AC357" s="449" t="s">
        <v>451</v>
      </c>
      <c r="AD357" s="449" t="s">
        <v>454</v>
      </c>
      <c r="AG357" s="605">
        <f>+IF(Tabla3[[#This Row],[Amortización k | cupón de intereses]]="Amortización de K",Tabla3[[#This Row],[Valor Nominal]],0)</f>
        <v>0</v>
      </c>
      <c r="AH357" s="605">
        <f>+IF(AND(Tabla3[[#This Row],[Amortización k | cupón de intereses]]="Cupón de interés",Tabla3[[#This Row],[Estado]]="Vigente"),Tabla3[[#This Row],[Valor Nominal]],0)</f>
        <v>1673.96</v>
      </c>
      <c r="AI357" s="618">
        <f>+IF(Tabla3[[#This Row],[Amortización k | cupón de intereses]]="Amortización de K",SUMIFS($AH$7:$AH$557,Tabla3[Código Emisión],Tabla3[[#This Row],[Código Emisión]],Tabla3[Fecha de operación],Tabla3[[#This Row],[Fecha de operación]]),0)-Tabla3[[#This Row],[Accrued]]*Tabla3[[#This Row],[Valor Nominal]]</f>
        <v>0</v>
      </c>
      <c r="AJ357" s="605">
        <f>+IF(Tabla3[[#This Row],[Amortización k | cupón de intereses]]="Amortización de K",IF(Tabla3[[#This Row],[Precio Clean]]&gt;1,Tabla3[[#This Row],[Valor Nominal]]*(Tabla3[[#This Row],[Precio Clean]]-1),0),0)</f>
        <v>0</v>
      </c>
      <c r="AK357" s="605">
        <f>+IF(Tabla3[[#This Row],[Amortización k | cupón de intereses]]="Amortización de K",IF(Tabla3[[#This Row],[Precio Clean]]&lt;1,Tabla3[[#This Row],[Valor Nominal]]*(Tabla3[[#This Row],[Precio Clean]]-1),0),0)</f>
        <v>0</v>
      </c>
    </row>
    <row r="358" spans="1:37">
      <c r="A358" s="502"/>
      <c r="B358" s="437" t="str">
        <f t="shared" si="211"/>
        <v>Banco Nacional de Fomento</v>
      </c>
      <c r="C358" s="437" t="str">
        <f t="shared" si="211"/>
        <v>BNF_6,50%_05122028_BB3247-52_50K</v>
      </c>
      <c r="D358" s="437" t="s">
        <v>453</v>
      </c>
      <c r="E358" s="437" t="str">
        <f t="shared" si="212"/>
        <v>AA+py</v>
      </c>
      <c r="F358" s="437" t="s">
        <v>297</v>
      </c>
      <c r="G358" s="437" t="s">
        <v>298</v>
      </c>
      <c r="H358" s="437">
        <f t="shared" si="213"/>
        <v>2</v>
      </c>
      <c r="I358" s="445">
        <v>819.17</v>
      </c>
      <c r="J358" s="462"/>
      <c r="K358" s="450"/>
      <c r="L358" s="462"/>
      <c r="M358" s="493"/>
      <c r="N358" s="493"/>
      <c r="O358" s="516">
        <f t="shared" si="214"/>
        <v>6.6600474715232852E-2</v>
      </c>
      <c r="P358" s="516">
        <f t="shared" si="214"/>
        <v>6.4998760445679871E-2</v>
      </c>
      <c r="Q358" s="450">
        <f t="shared" si="214"/>
        <v>45996</v>
      </c>
      <c r="R358" s="450">
        <v>46178</v>
      </c>
      <c r="S358" s="509" t="s">
        <v>146</v>
      </c>
      <c r="T358" s="510">
        <f>Tabla3[[#This Row],[Cantidad]]*Tabla3[[#This Row],[Cortes]]</f>
        <v>1638.34</v>
      </c>
      <c r="U358" s="511">
        <f t="shared" si="202"/>
        <v>1619.3499061067116</v>
      </c>
      <c r="V358" s="511">
        <f t="shared" si="203"/>
        <v>1619.0638766957866</v>
      </c>
      <c r="W358" s="497">
        <f>IF(Tabla3[[#This Row],[Fecha de operación]]=$C$1,0,U358-V358)</f>
        <v>0.28602941092503897</v>
      </c>
      <c r="X358" s="512" t="str">
        <f t="shared" si="216"/>
        <v>Vigente</v>
      </c>
      <c r="Y358" s="517" t="s">
        <v>450</v>
      </c>
      <c r="Z358" s="449">
        <f t="shared" si="217"/>
        <v>66</v>
      </c>
      <c r="AA358" s="518">
        <f t="shared" si="215"/>
        <v>2.4676132134475903</v>
      </c>
      <c r="AB358" s="518">
        <f t="shared" si="215"/>
        <v>2.4272000446470092</v>
      </c>
      <c r="AC358" s="449" t="s">
        <v>451</v>
      </c>
      <c r="AD358" s="449" t="s">
        <v>454</v>
      </c>
      <c r="AG358" s="605">
        <f>+IF(Tabla3[[#This Row],[Amortización k | cupón de intereses]]="Amortización de K",Tabla3[[#This Row],[Valor Nominal]],0)</f>
        <v>0</v>
      </c>
      <c r="AH358" s="605">
        <f>+IF(AND(Tabla3[[#This Row],[Amortización k | cupón de intereses]]="Cupón de interés",Tabla3[[#This Row],[Estado]]="Vigente"),Tabla3[[#This Row],[Valor Nominal]],0)</f>
        <v>1638.34</v>
      </c>
      <c r="AI358" s="618">
        <f>+IF(Tabla3[[#This Row],[Amortización k | cupón de intereses]]="Amortización de K",SUMIFS($AH$7:$AH$557,Tabla3[Código Emisión],Tabla3[[#This Row],[Código Emisión]],Tabla3[Fecha de operación],Tabla3[[#This Row],[Fecha de operación]]),0)-Tabla3[[#This Row],[Accrued]]*Tabla3[[#This Row],[Valor Nominal]]</f>
        <v>0</v>
      </c>
      <c r="AJ358" s="605">
        <f>+IF(Tabla3[[#This Row],[Amortización k | cupón de intereses]]="Amortización de K",IF(Tabla3[[#This Row],[Precio Clean]]&gt;1,Tabla3[[#This Row],[Valor Nominal]]*(Tabla3[[#This Row],[Precio Clean]]-1),0),0)</f>
        <v>0</v>
      </c>
      <c r="AK358" s="605">
        <f>+IF(Tabla3[[#This Row],[Amortización k | cupón de intereses]]="Amortización de K",IF(Tabla3[[#This Row],[Precio Clean]]&lt;1,Tabla3[[#This Row],[Valor Nominal]]*(Tabla3[[#This Row],[Precio Clean]]-1),0),0)</f>
        <v>0</v>
      </c>
    </row>
    <row r="359" spans="1:37">
      <c r="A359" s="502"/>
      <c r="B359" s="437" t="str">
        <f t="shared" si="211"/>
        <v>Banco Nacional de Fomento</v>
      </c>
      <c r="C359" s="437" t="str">
        <f t="shared" si="211"/>
        <v>BNF_6,50%_05122028_BB3247-52_50K</v>
      </c>
      <c r="D359" s="437" t="s">
        <v>453</v>
      </c>
      <c r="E359" s="437" t="str">
        <f t="shared" si="212"/>
        <v>AA+py</v>
      </c>
      <c r="F359" s="437" t="s">
        <v>297</v>
      </c>
      <c r="G359" s="437" t="s">
        <v>298</v>
      </c>
      <c r="H359" s="437">
        <f t="shared" si="213"/>
        <v>2</v>
      </c>
      <c r="I359" s="445">
        <v>801.36</v>
      </c>
      <c r="J359" s="462"/>
      <c r="K359" s="450"/>
      <c r="L359" s="462"/>
      <c r="M359" s="493"/>
      <c r="N359" s="493"/>
      <c r="O359" s="516">
        <f t="shared" si="214"/>
        <v>6.6600474715232852E-2</v>
      </c>
      <c r="P359" s="516">
        <f t="shared" si="214"/>
        <v>6.4998760445679871E-2</v>
      </c>
      <c r="Q359" s="450">
        <f t="shared" si="214"/>
        <v>45996</v>
      </c>
      <c r="R359" s="450">
        <v>46086</v>
      </c>
      <c r="S359" s="509" t="s">
        <v>146</v>
      </c>
      <c r="T359" s="510">
        <f>Tabla3[[#This Row],[Cantidad]]*Tabla3[[#This Row],[Cortes]]</f>
        <v>1602.72</v>
      </c>
      <c r="U359" s="511" t="b">
        <f t="shared" si="202"/>
        <v>0</v>
      </c>
      <c r="V359" s="511" t="b">
        <f t="shared" si="203"/>
        <v>0</v>
      </c>
      <c r="W359" s="497">
        <f>IF(Tabla3[[#This Row],[Fecha de operación]]=$C$1,0,U359-V359)</f>
        <v>0</v>
      </c>
      <c r="X359" s="512" t="str">
        <f t="shared" si="216"/>
        <v>Vencido</v>
      </c>
      <c r="Y359" s="517" t="s">
        <v>450</v>
      </c>
      <c r="Z359" s="449">
        <f t="shared" si="217"/>
        <v>-26</v>
      </c>
      <c r="AA359" s="518">
        <f t="shared" si="215"/>
        <v>2.4676132134475903</v>
      </c>
      <c r="AB359" s="518">
        <f t="shared" si="215"/>
        <v>2.4272000446470092</v>
      </c>
      <c r="AC359" s="449" t="s">
        <v>451</v>
      </c>
      <c r="AD359" s="449" t="s">
        <v>454</v>
      </c>
      <c r="AG359" s="605">
        <f>+IF(Tabla3[[#This Row],[Amortización k | cupón de intereses]]="Amortización de K",Tabla3[[#This Row],[Valor Nominal]],0)</f>
        <v>0</v>
      </c>
      <c r="AH359" s="605">
        <f>+IF(AND(Tabla3[[#This Row],[Amortización k | cupón de intereses]]="Cupón de interés",Tabla3[[#This Row],[Estado]]="Vigente"),Tabla3[[#This Row],[Valor Nominal]],0)</f>
        <v>0</v>
      </c>
      <c r="AI359" s="618">
        <f>+IF(Tabla3[[#This Row],[Amortización k | cupón de intereses]]="Amortización de K",SUMIFS($AH$7:$AH$557,Tabla3[Código Emisión],Tabla3[[#This Row],[Código Emisión]],Tabla3[Fecha de operación],Tabla3[[#This Row],[Fecha de operación]]),0)-Tabla3[[#This Row],[Accrued]]*Tabla3[[#This Row],[Valor Nominal]]</f>
        <v>0</v>
      </c>
      <c r="AJ359" s="605">
        <f>+IF(Tabla3[[#This Row],[Amortización k | cupón de intereses]]="Amortización de K",IF(Tabla3[[#This Row],[Precio Clean]]&gt;1,Tabla3[[#This Row],[Valor Nominal]]*(Tabla3[[#This Row],[Precio Clean]]-1),0),0)</f>
        <v>0</v>
      </c>
      <c r="AK359" s="605">
        <f>+IF(Tabla3[[#This Row],[Amortización k | cupón de intereses]]="Amortización de K",IF(Tabla3[[#This Row],[Precio Clean]]&lt;1,Tabla3[[#This Row],[Valor Nominal]]*(Tabla3[[#This Row],[Precio Clean]]-1),0),0)</f>
        <v>0</v>
      </c>
    </row>
    <row r="360" spans="1:37" ht="15">
      <c r="A360" s="500">
        <f>+A347+1</f>
        <v>35</v>
      </c>
      <c r="B360" s="475" t="s">
        <v>485</v>
      </c>
      <c r="C360" s="475" t="s">
        <v>575</v>
      </c>
      <c r="D360" s="475" t="s">
        <v>453</v>
      </c>
      <c r="E360" s="475" t="s">
        <v>487</v>
      </c>
      <c r="F360" s="475" t="s">
        <v>297</v>
      </c>
      <c r="G360" s="475" t="s">
        <v>298</v>
      </c>
      <c r="H360" s="475">
        <v>4</v>
      </c>
      <c r="I360" s="477">
        <v>250000</v>
      </c>
      <c r="J360" s="478">
        <v>6.5000000000000002E-2</v>
      </c>
      <c r="K360" s="479">
        <f>_xlfn.MAXIFS(R:R,C:C,C360,AD:AD,"Cupón de interés",X:X,"Vencido")</f>
        <v>46086</v>
      </c>
      <c r="L360" s="478">
        <f>+Tabla3[[#This Row],[Tasa de Interés]]*($U$5-Tabla3[[#This Row],[Last coupon]])/365</f>
        <v>4.6301369863013695E-3</v>
      </c>
      <c r="M360" s="480">
        <f>+Tabla3[[#This Row],[Precio Dirty]]-Tabla3[[#This Row],[Accrued]]</f>
        <v>0.99996988235569817</v>
      </c>
      <c r="N360" s="481">
        <f>SUMIFS(U:U,C:C,C360,Q:Q,Q360)/SUMIFS(T:T,C:C,C360,Q:Q,Q360,AD:AD,"Amortización de K")</f>
        <v>1.0046000193419995</v>
      </c>
      <c r="O360" s="482">
        <v>6.6596600413322452E-2</v>
      </c>
      <c r="P360" s="482">
        <v>6.4995228046491604E-2</v>
      </c>
      <c r="Q360" s="484">
        <v>46021</v>
      </c>
      <c r="R360" s="484">
        <v>47092</v>
      </c>
      <c r="S360" s="504" t="s">
        <v>146</v>
      </c>
      <c r="T360" s="510">
        <f>Tabla3[[#This Row],[Cantidad]]*Tabla3[[#This Row],[Cortes]]</f>
        <v>1000000</v>
      </c>
      <c r="U360" s="583">
        <f t="shared" si="202"/>
        <v>841049.18428897252</v>
      </c>
      <c r="V360" s="583">
        <f t="shared" si="203"/>
        <v>840900.63625101722</v>
      </c>
      <c r="W360" s="510">
        <f>IF(Tabla3[[#This Row],[Fecha de operación]]=$C$1,0,U360-V360)</f>
        <v>148.54803795530461</v>
      </c>
      <c r="X360" s="507" t="str">
        <f t="shared" si="216"/>
        <v>Vigente</v>
      </c>
      <c r="Y360" s="489" t="s">
        <v>450</v>
      </c>
      <c r="Z360" s="488">
        <f t="shared" si="217"/>
        <v>980</v>
      </c>
      <c r="AA360" s="508">
        <f>IF(Y360="Mensual",DURATION($C$1,$C$1+Z360*12,J360/12,O360/12,1)/12,DURATION($C$1,R360,J360,O360,IF(Y360="Cupón cero",1,IF(Y360="Al vencimiento",1,IF(Y360="Anual",1,IF(Y360="Semestral",2,IF(Y360="Trimestral",4,"")))))))</f>
        <v>2.4676144663129889</v>
      </c>
      <c r="AB360" s="508">
        <f>IF(Y360="Mensual",MDURATION($C$1,$C$1+Z360*12,J360/12,O360/12,1)/12,MDURATION($C$1,R360,J360,O360,IF(Y360="Cupón cero",1,IF(Y360="Al vencimiento",1,IF(Y360="Anual",1,IF(Y360="Semestral",2,IF(Y360="Trimestral",4,"")))))))</f>
        <v>2.4272035894213699</v>
      </c>
      <c r="AC360" s="488" t="s">
        <v>451</v>
      </c>
      <c r="AD360" s="488" t="s">
        <v>452</v>
      </c>
      <c r="AG360" s="605">
        <f>+IF(Tabla3[[#This Row],[Amortización k | cupón de intereses]]="Amortización de K",Tabla3[[#This Row],[Valor Nominal]],0)</f>
        <v>1000000</v>
      </c>
      <c r="AH360" s="605">
        <f>+IF(AND(Tabla3[[#This Row],[Amortización k | cupón de intereses]]="Cupón de interés",Tabla3[[#This Row],[Estado]]="Vigente"),Tabla3[[#This Row],[Valor Nominal]],0)</f>
        <v>0</v>
      </c>
      <c r="AI360" s="618">
        <f>+IF(Tabla3[[#This Row],[Amortización k | cupón de intereses]]="Amortización de K",SUMIFS($AH$7:$AH$557,Tabla3[Código Emisión],Tabla3[[#This Row],[Código Emisión]],Tabla3[Fecha de operación],Tabla3[[#This Row],[Fecha de operación]]),0)-Tabla3[[#This Row],[Accrued]]*Tabla3[[#This Row],[Valor Nominal]]</f>
        <v>174508.26301369863</v>
      </c>
      <c r="AJ360" s="605">
        <f>+IF(Tabla3[[#This Row],[Amortización k | cupón de intereses]]="Amortización de K",IF(Tabla3[[#This Row],[Precio Clean]]&gt;1,Tabla3[[#This Row],[Valor Nominal]]*(Tabla3[[#This Row],[Precio Clean]]-1),0),0)</f>
        <v>0</v>
      </c>
      <c r="AK360" s="605">
        <f>+IF(Tabla3[[#This Row],[Amortización k | cupón de intereses]]="Amortización de K",IF(Tabla3[[#This Row],[Precio Clean]]&lt;1,Tabla3[[#This Row],[Valor Nominal]]*(Tabla3[[#This Row],[Precio Clean]]-1),0),0)</f>
        <v>-30.117644301830282</v>
      </c>
    </row>
    <row r="361" spans="1:37">
      <c r="A361" s="502"/>
      <c r="B361" s="437" t="str">
        <f t="shared" ref="B361:C372" si="218">+B360</f>
        <v>Banco Nacional de Fomento</v>
      </c>
      <c r="C361" s="437" t="str">
        <f t="shared" si="218"/>
        <v>BNF_6,50%_05122028_BB3255-58_250K</v>
      </c>
      <c r="D361" s="437" t="s">
        <v>453</v>
      </c>
      <c r="E361" s="437" t="str">
        <f t="shared" ref="E361:E375" si="219">+E360</f>
        <v>AA+py</v>
      </c>
      <c r="F361" s="437" t="s">
        <v>297</v>
      </c>
      <c r="G361" s="437" t="s">
        <v>298</v>
      </c>
      <c r="H361" s="437">
        <f t="shared" ref="H361:H375" si="220">+H360</f>
        <v>4</v>
      </c>
      <c r="I361" s="445">
        <v>4051.36</v>
      </c>
      <c r="J361" s="462"/>
      <c r="K361" s="450"/>
      <c r="L361" s="462"/>
      <c r="M361" s="493"/>
      <c r="N361" s="493"/>
      <c r="O361" s="516">
        <f t="shared" ref="O361:Q372" si="221">+O360</f>
        <v>6.6596600413322452E-2</v>
      </c>
      <c r="P361" s="516">
        <f t="shared" si="221"/>
        <v>6.4995228046491604E-2</v>
      </c>
      <c r="Q361" s="450">
        <f t="shared" si="221"/>
        <v>46021</v>
      </c>
      <c r="R361" s="450">
        <v>47092</v>
      </c>
      <c r="S361" s="509" t="s">
        <v>146</v>
      </c>
      <c r="T361" s="510">
        <f>Tabla3[[#This Row],[Cantidad]]*Tabla3[[#This Row],[Cortes]]</f>
        <v>16205.44</v>
      </c>
      <c r="U361" s="511">
        <f t="shared" si="202"/>
        <v>13629.572093043887</v>
      </c>
      <c r="V361" s="511">
        <f t="shared" si="203"/>
        <v>13627.164806727686</v>
      </c>
      <c r="W361" s="497">
        <f>IF(Tabla3[[#This Row],[Fecha de operación]]=$C$1,0,U361-V361)</f>
        <v>2.4072863162018621</v>
      </c>
      <c r="X361" s="512" t="str">
        <f t="shared" si="216"/>
        <v>Vigente</v>
      </c>
      <c r="Y361" s="517" t="s">
        <v>450</v>
      </c>
      <c r="Z361" s="449">
        <f t="shared" si="217"/>
        <v>980</v>
      </c>
      <c r="AA361" s="518">
        <f t="shared" ref="AA361:AB372" si="222">+AA360</f>
        <v>2.4676144663129889</v>
      </c>
      <c r="AB361" s="518">
        <f t="shared" si="222"/>
        <v>2.4272035894213699</v>
      </c>
      <c r="AC361" s="449" t="s">
        <v>451</v>
      </c>
      <c r="AD361" s="449" t="s">
        <v>454</v>
      </c>
      <c r="AG361" s="605">
        <f>+IF(Tabla3[[#This Row],[Amortización k | cupón de intereses]]="Amortización de K",Tabla3[[#This Row],[Valor Nominal]],0)</f>
        <v>0</v>
      </c>
      <c r="AH361" s="605">
        <f>+IF(AND(Tabla3[[#This Row],[Amortización k | cupón de intereses]]="Cupón de interés",Tabla3[[#This Row],[Estado]]="Vigente"),Tabla3[[#This Row],[Valor Nominal]],0)</f>
        <v>16205.44</v>
      </c>
      <c r="AI361" s="618">
        <f>+IF(Tabla3[[#This Row],[Amortización k | cupón de intereses]]="Amortización de K",SUMIFS($AH$7:$AH$557,Tabla3[Código Emisión],Tabla3[[#This Row],[Código Emisión]],Tabla3[Fecha de operación],Tabla3[[#This Row],[Fecha de operación]]),0)-Tabla3[[#This Row],[Accrued]]*Tabla3[[#This Row],[Valor Nominal]]</f>
        <v>0</v>
      </c>
      <c r="AJ361" s="605">
        <f>+IF(Tabla3[[#This Row],[Amortización k | cupón de intereses]]="Amortización de K",IF(Tabla3[[#This Row],[Precio Clean]]&gt;1,Tabla3[[#This Row],[Valor Nominal]]*(Tabla3[[#This Row],[Precio Clean]]-1),0),0)</f>
        <v>0</v>
      </c>
      <c r="AK361" s="605">
        <f>+IF(Tabla3[[#This Row],[Amortización k | cupón de intereses]]="Amortización de K",IF(Tabla3[[#This Row],[Precio Clean]]&lt;1,Tabla3[[#This Row],[Valor Nominal]]*(Tabla3[[#This Row],[Precio Clean]]-1),0),0)</f>
        <v>0</v>
      </c>
    </row>
    <row r="362" spans="1:37">
      <c r="A362" s="502"/>
      <c r="B362" s="437" t="str">
        <f t="shared" si="218"/>
        <v>Banco Nacional de Fomento</v>
      </c>
      <c r="C362" s="437" t="str">
        <f t="shared" si="218"/>
        <v>BNF_6,50%_05122028_BB3255-58_250K</v>
      </c>
      <c r="D362" s="437" t="s">
        <v>453</v>
      </c>
      <c r="E362" s="437" t="str">
        <f t="shared" si="219"/>
        <v>AA+py</v>
      </c>
      <c r="F362" s="437" t="s">
        <v>297</v>
      </c>
      <c r="G362" s="437" t="s">
        <v>298</v>
      </c>
      <c r="H362" s="437">
        <f t="shared" si="220"/>
        <v>4</v>
      </c>
      <c r="I362" s="445">
        <v>4095.89</v>
      </c>
      <c r="J362" s="462"/>
      <c r="K362" s="450"/>
      <c r="L362" s="462"/>
      <c r="M362" s="493"/>
      <c r="N362" s="493"/>
      <c r="O362" s="516">
        <f t="shared" si="221"/>
        <v>6.6596600413322452E-2</v>
      </c>
      <c r="P362" s="516">
        <f t="shared" si="221"/>
        <v>6.4995228046491604E-2</v>
      </c>
      <c r="Q362" s="450">
        <f t="shared" si="221"/>
        <v>46021</v>
      </c>
      <c r="R362" s="450">
        <v>47001</v>
      </c>
      <c r="S362" s="509" t="s">
        <v>146</v>
      </c>
      <c r="T362" s="510">
        <f>Tabla3[[#This Row],[Cantidad]]*Tabla3[[#This Row],[Cortes]]</f>
        <v>16383.56</v>
      </c>
      <c r="U362" s="511">
        <f t="shared" si="202"/>
        <v>14002.659892685937</v>
      </c>
      <c r="V362" s="511">
        <f t="shared" si="203"/>
        <v>14000.18671074596</v>
      </c>
      <c r="W362" s="497">
        <f>IF(Tabla3[[#This Row],[Fecha de operación]]=$C$1,0,U362-V362)</f>
        <v>2.4731819399767119</v>
      </c>
      <c r="X362" s="512" t="str">
        <f t="shared" si="216"/>
        <v>Vigente</v>
      </c>
      <c r="Y362" s="517" t="s">
        <v>450</v>
      </c>
      <c r="Z362" s="449">
        <f t="shared" si="217"/>
        <v>889</v>
      </c>
      <c r="AA362" s="518">
        <f t="shared" si="222"/>
        <v>2.4676144663129889</v>
      </c>
      <c r="AB362" s="518">
        <f t="shared" si="222"/>
        <v>2.4272035894213699</v>
      </c>
      <c r="AC362" s="449" t="s">
        <v>451</v>
      </c>
      <c r="AD362" s="449" t="s">
        <v>454</v>
      </c>
      <c r="AG362" s="605">
        <f>+IF(Tabla3[[#This Row],[Amortización k | cupón de intereses]]="Amortización de K",Tabla3[[#This Row],[Valor Nominal]],0)</f>
        <v>0</v>
      </c>
      <c r="AH362" s="605">
        <f>+IF(AND(Tabla3[[#This Row],[Amortización k | cupón de intereses]]="Cupón de interés",Tabla3[[#This Row],[Estado]]="Vigente"),Tabla3[[#This Row],[Valor Nominal]],0)</f>
        <v>16383.56</v>
      </c>
      <c r="AI362" s="618">
        <f>+IF(Tabla3[[#This Row],[Amortización k | cupón de intereses]]="Amortización de K",SUMIFS($AH$7:$AH$557,Tabla3[Código Emisión],Tabla3[[#This Row],[Código Emisión]],Tabla3[Fecha de operación],Tabla3[[#This Row],[Fecha de operación]]),0)-Tabla3[[#This Row],[Accrued]]*Tabla3[[#This Row],[Valor Nominal]]</f>
        <v>0</v>
      </c>
      <c r="AJ362" s="605">
        <f>+IF(Tabla3[[#This Row],[Amortización k | cupón de intereses]]="Amortización de K",IF(Tabla3[[#This Row],[Precio Clean]]&gt;1,Tabla3[[#This Row],[Valor Nominal]]*(Tabla3[[#This Row],[Precio Clean]]-1),0),0)</f>
        <v>0</v>
      </c>
      <c r="AK362" s="605">
        <f>+IF(Tabla3[[#This Row],[Amortización k | cupón de intereses]]="Amortización de K",IF(Tabla3[[#This Row],[Precio Clean]]&lt;1,Tabla3[[#This Row],[Valor Nominal]]*(Tabla3[[#This Row],[Precio Clean]]-1),0),0)</f>
        <v>0</v>
      </c>
    </row>
    <row r="363" spans="1:37">
      <c r="A363" s="502"/>
      <c r="B363" s="437" t="str">
        <f t="shared" si="218"/>
        <v>Banco Nacional de Fomento</v>
      </c>
      <c r="C363" s="437" t="str">
        <f t="shared" si="218"/>
        <v>BNF_6,50%_05122028_BB3255-58_250K</v>
      </c>
      <c r="D363" s="437" t="s">
        <v>453</v>
      </c>
      <c r="E363" s="437" t="str">
        <f t="shared" si="219"/>
        <v>AA+py</v>
      </c>
      <c r="F363" s="437" t="s">
        <v>297</v>
      </c>
      <c r="G363" s="437" t="s">
        <v>298</v>
      </c>
      <c r="H363" s="437">
        <f t="shared" si="220"/>
        <v>4</v>
      </c>
      <c r="I363" s="445">
        <v>4051.36</v>
      </c>
      <c r="J363" s="462"/>
      <c r="K363" s="450"/>
      <c r="L363" s="462"/>
      <c r="M363" s="493"/>
      <c r="N363" s="493"/>
      <c r="O363" s="516">
        <f t="shared" si="221"/>
        <v>6.6596600413322452E-2</v>
      </c>
      <c r="P363" s="516">
        <f t="shared" si="221"/>
        <v>6.4995228046491604E-2</v>
      </c>
      <c r="Q363" s="450">
        <f t="shared" si="221"/>
        <v>46021</v>
      </c>
      <c r="R363" s="450">
        <v>46909</v>
      </c>
      <c r="S363" s="509" t="s">
        <v>146</v>
      </c>
      <c r="T363" s="510">
        <f>Tabla3[[#This Row],[Cantidad]]*Tabla3[[#This Row],[Cortes]]</f>
        <v>16205.44</v>
      </c>
      <c r="U363" s="511">
        <f t="shared" si="202"/>
        <v>14077.34243784815</v>
      </c>
      <c r="V363" s="511">
        <f t="shared" si="203"/>
        <v>14074.856065305577</v>
      </c>
      <c r="W363" s="497">
        <f>IF(Tabla3[[#This Row],[Fecha de operación]]=$C$1,0,U363-V363)</f>
        <v>2.4863725425730081</v>
      </c>
      <c r="X363" s="512" t="str">
        <f t="shared" si="216"/>
        <v>Vigente</v>
      </c>
      <c r="Y363" s="517" t="s">
        <v>450</v>
      </c>
      <c r="Z363" s="449">
        <f t="shared" si="217"/>
        <v>797</v>
      </c>
      <c r="AA363" s="518">
        <f t="shared" si="222"/>
        <v>2.4676144663129889</v>
      </c>
      <c r="AB363" s="518">
        <f t="shared" si="222"/>
        <v>2.4272035894213699</v>
      </c>
      <c r="AC363" s="449" t="s">
        <v>451</v>
      </c>
      <c r="AD363" s="449" t="s">
        <v>454</v>
      </c>
      <c r="AG363" s="605">
        <f>+IF(Tabla3[[#This Row],[Amortización k | cupón de intereses]]="Amortización de K",Tabla3[[#This Row],[Valor Nominal]],0)</f>
        <v>0</v>
      </c>
      <c r="AH363" s="605">
        <f>+IF(AND(Tabla3[[#This Row],[Amortización k | cupón de intereses]]="Cupón de interés",Tabla3[[#This Row],[Estado]]="Vigente"),Tabla3[[#This Row],[Valor Nominal]],0)</f>
        <v>16205.44</v>
      </c>
      <c r="AI363" s="618">
        <f>+IF(Tabla3[[#This Row],[Amortización k | cupón de intereses]]="Amortización de K",SUMIFS($AH$7:$AH$557,Tabla3[Código Emisión],Tabla3[[#This Row],[Código Emisión]],Tabla3[Fecha de operación],Tabla3[[#This Row],[Fecha de operación]]),0)-Tabla3[[#This Row],[Accrued]]*Tabla3[[#This Row],[Valor Nominal]]</f>
        <v>0</v>
      </c>
      <c r="AJ363" s="605">
        <f>+IF(Tabla3[[#This Row],[Amortización k | cupón de intereses]]="Amortización de K",IF(Tabla3[[#This Row],[Precio Clean]]&gt;1,Tabla3[[#This Row],[Valor Nominal]]*(Tabla3[[#This Row],[Precio Clean]]-1),0),0)</f>
        <v>0</v>
      </c>
      <c r="AK363" s="605">
        <f>+IF(Tabla3[[#This Row],[Amortización k | cupón de intereses]]="Amortización de K",IF(Tabla3[[#This Row],[Precio Clean]]&lt;1,Tabla3[[#This Row],[Valor Nominal]]*(Tabla3[[#This Row],[Precio Clean]]-1),0),0)</f>
        <v>0</v>
      </c>
    </row>
    <row r="364" spans="1:37">
      <c r="A364" s="502"/>
      <c r="B364" s="437" t="str">
        <f t="shared" si="218"/>
        <v>Banco Nacional de Fomento</v>
      </c>
      <c r="C364" s="437" t="str">
        <f t="shared" si="218"/>
        <v>BNF_6,50%_05122028_BB3255-58_250K</v>
      </c>
      <c r="D364" s="437" t="s">
        <v>453</v>
      </c>
      <c r="E364" s="437" t="str">
        <f t="shared" si="219"/>
        <v>AA+py</v>
      </c>
      <c r="F364" s="437" t="s">
        <v>297</v>
      </c>
      <c r="G364" s="437" t="s">
        <v>298</v>
      </c>
      <c r="H364" s="437">
        <f t="shared" si="220"/>
        <v>4</v>
      </c>
      <c r="I364" s="445">
        <v>4051.36</v>
      </c>
      <c r="J364" s="462"/>
      <c r="K364" s="450"/>
      <c r="L364" s="462"/>
      <c r="M364" s="493"/>
      <c r="N364" s="493"/>
      <c r="O364" s="516">
        <f t="shared" si="221"/>
        <v>6.6596600413322452E-2</v>
      </c>
      <c r="P364" s="516">
        <f t="shared" si="221"/>
        <v>6.4995228046491604E-2</v>
      </c>
      <c r="Q364" s="450">
        <f t="shared" si="221"/>
        <v>46021</v>
      </c>
      <c r="R364" s="450">
        <v>46818</v>
      </c>
      <c r="S364" s="509" t="s">
        <v>146</v>
      </c>
      <c r="T364" s="510">
        <f>Tabla3[[#This Row],[Cantidad]]*Tabla3[[#This Row],[Cortes]]</f>
        <v>16205.44</v>
      </c>
      <c r="U364" s="511">
        <f t="shared" si="202"/>
        <v>14305.450723231248</v>
      </c>
      <c r="V364" s="511">
        <f t="shared" si="203"/>
        <v>14302.924061679583</v>
      </c>
      <c r="W364" s="497">
        <f>IF(Tabla3[[#This Row],[Fecha de operación]]=$C$1,0,U364-V364)</f>
        <v>2.5266615516648017</v>
      </c>
      <c r="X364" s="512" t="str">
        <f t="shared" si="216"/>
        <v>Vigente</v>
      </c>
      <c r="Y364" s="517" t="s">
        <v>450</v>
      </c>
      <c r="Z364" s="449">
        <f t="shared" si="217"/>
        <v>706</v>
      </c>
      <c r="AA364" s="518">
        <f t="shared" si="222"/>
        <v>2.4676144663129889</v>
      </c>
      <c r="AB364" s="518">
        <f t="shared" si="222"/>
        <v>2.4272035894213699</v>
      </c>
      <c r="AC364" s="449" t="s">
        <v>451</v>
      </c>
      <c r="AD364" s="449" t="s">
        <v>454</v>
      </c>
      <c r="AG364" s="605">
        <f>+IF(Tabla3[[#This Row],[Amortización k | cupón de intereses]]="Amortización de K",Tabla3[[#This Row],[Valor Nominal]],0)</f>
        <v>0</v>
      </c>
      <c r="AH364" s="605">
        <f>+IF(AND(Tabla3[[#This Row],[Amortización k | cupón de intereses]]="Cupón de interés",Tabla3[[#This Row],[Estado]]="Vigente"),Tabla3[[#This Row],[Valor Nominal]],0)</f>
        <v>16205.44</v>
      </c>
      <c r="AI364" s="618">
        <f>+IF(Tabla3[[#This Row],[Amortización k | cupón de intereses]]="Amortización de K",SUMIFS($AH$7:$AH$557,Tabla3[Código Emisión],Tabla3[[#This Row],[Código Emisión]],Tabla3[Fecha de operación],Tabla3[[#This Row],[Fecha de operación]]),0)-Tabla3[[#This Row],[Accrued]]*Tabla3[[#This Row],[Valor Nominal]]</f>
        <v>0</v>
      </c>
      <c r="AJ364" s="605">
        <f>+IF(Tabla3[[#This Row],[Amortización k | cupón de intereses]]="Amortización de K",IF(Tabla3[[#This Row],[Precio Clean]]&gt;1,Tabla3[[#This Row],[Valor Nominal]]*(Tabla3[[#This Row],[Precio Clean]]-1),0),0)</f>
        <v>0</v>
      </c>
      <c r="AK364" s="605">
        <f>+IF(Tabla3[[#This Row],[Amortización k | cupón de intereses]]="Amortización de K",IF(Tabla3[[#This Row],[Precio Clean]]&lt;1,Tabla3[[#This Row],[Valor Nominal]]*(Tabla3[[#This Row],[Precio Clean]]-1),0),0)</f>
        <v>0</v>
      </c>
    </row>
    <row r="365" spans="1:37">
      <c r="A365" s="502"/>
      <c r="B365" s="437" t="str">
        <f t="shared" si="218"/>
        <v>Banco Nacional de Fomento</v>
      </c>
      <c r="C365" s="437" t="str">
        <f t="shared" si="218"/>
        <v>BNF_6,50%_05122028_BB3255-58_250K</v>
      </c>
      <c r="D365" s="437" t="s">
        <v>453</v>
      </c>
      <c r="E365" s="437" t="str">
        <f t="shared" si="219"/>
        <v>AA+py</v>
      </c>
      <c r="F365" s="437" t="s">
        <v>297</v>
      </c>
      <c r="G365" s="437" t="s">
        <v>298</v>
      </c>
      <c r="H365" s="437">
        <f t="shared" si="220"/>
        <v>4</v>
      </c>
      <c r="I365" s="445">
        <v>4051.36</v>
      </c>
      <c r="J365" s="462"/>
      <c r="K365" s="450"/>
      <c r="L365" s="462"/>
      <c r="M365" s="493"/>
      <c r="N365" s="493"/>
      <c r="O365" s="516">
        <f t="shared" si="221"/>
        <v>6.6596600413322452E-2</v>
      </c>
      <c r="P365" s="516">
        <f t="shared" si="221"/>
        <v>6.4995228046491604E-2</v>
      </c>
      <c r="Q365" s="450">
        <f t="shared" si="221"/>
        <v>46021</v>
      </c>
      <c r="R365" s="450">
        <v>46727</v>
      </c>
      <c r="S365" s="509" t="s">
        <v>146</v>
      </c>
      <c r="T365" s="510">
        <f>Tabla3[[#This Row],[Cantidad]]*Tabla3[[#This Row],[Cortes]]</f>
        <v>16205.44</v>
      </c>
      <c r="U365" s="511">
        <f t="shared" si="202"/>
        <v>14537.255259528903</v>
      </c>
      <c r="V365" s="511">
        <f t="shared" si="203"/>
        <v>14534.68765612782</v>
      </c>
      <c r="W365" s="497">
        <f>IF(Tabla3[[#This Row],[Fecha de operación]]=$C$1,0,U365-V365)</f>
        <v>2.5676034010830335</v>
      </c>
      <c r="X365" s="512" t="str">
        <f t="shared" si="216"/>
        <v>Vigente</v>
      </c>
      <c r="Y365" s="517" t="s">
        <v>450</v>
      </c>
      <c r="Z365" s="449">
        <f t="shared" si="217"/>
        <v>615</v>
      </c>
      <c r="AA365" s="518">
        <f t="shared" si="222"/>
        <v>2.4676144663129889</v>
      </c>
      <c r="AB365" s="518">
        <f t="shared" si="222"/>
        <v>2.4272035894213699</v>
      </c>
      <c r="AC365" s="449" t="s">
        <v>451</v>
      </c>
      <c r="AD365" s="449" t="s">
        <v>454</v>
      </c>
      <c r="AG365" s="605">
        <f>+IF(Tabla3[[#This Row],[Amortización k | cupón de intereses]]="Amortización de K",Tabla3[[#This Row],[Valor Nominal]],0)</f>
        <v>0</v>
      </c>
      <c r="AH365" s="605">
        <f>+IF(AND(Tabla3[[#This Row],[Amortización k | cupón de intereses]]="Cupón de interés",Tabla3[[#This Row],[Estado]]="Vigente"),Tabla3[[#This Row],[Valor Nominal]],0)</f>
        <v>16205.44</v>
      </c>
      <c r="AI365" s="618">
        <f>+IF(Tabla3[[#This Row],[Amortización k | cupón de intereses]]="Amortización de K",SUMIFS($AH$7:$AH$557,Tabla3[Código Emisión],Tabla3[[#This Row],[Código Emisión]],Tabla3[Fecha de operación],Tabla3[[#This Row],[Fecha de operación]]),0)-Tabla3[[#This Row],[Accrued]]*Tabla3[[#This Row],[Valor Nominal]]</f>
        <v>0</v>
      </c>
      <c r="AJ365" s="605">
        <f>+IF(Tabla3[[#This Row],[Amortización k | cupón de intereses]]="Amortización de K",IF(Tabla3[[#This Row],[Precio Clean]]&gt;1,Tabla3[[#This Row],[Valor Nominal]]*(Tabla3[[#This Row],[Precio Clean]]-1),0),0)</f>
        <v>0</v>
      </c>
      <c r="AK365" s="605">
        <f>+IF(Tabla3[[#This Row],[Amortización k | cupón de intereses]]="Amortización de K",IF(Tabla3[[#This Row],[Precio Clean]]&lt;1,Tabla3[[#This Row],[Valor Nominal]]*(Tabla3[[#This Row],[Precio Clean]]-1),0),0)</f>
        <v>0</v>
      </c>
    </row>
    <row r="366" spans="1:37">
      <c r="A366" s="502"/>
      <c r="B366" s="437" t="str">
        <f t="shared" si="218"/>
        <v>Banco Nacional de Fomento</v>
      </c>
      <c r="C366" s="437" t="str">
        <f t="shared" si="218"/>
        <v>BNF_6,50%_05122028_BB3255-58_250K</v>
      </c>
      <c r="D366" s="437" t="s">
        <v>453</v>
      </c>
      <c r="E366" s="437" t="str">
        <f t="shared" si="219"/>
        <v>AA+py</v>
      </c>
      <c r="F366" s="437" t="s">
        <v>297</v>
      </c>
      <c r="G366" s="437" t="s">
        <v>298</v>
      </c>
      <c r="H366" s="437">
        <f t="shared" si="220"/>
        <v>4</v>
      </c>
      <c r="I366" s="445">
        <v>4051.36</v>
      </c>
      <c r="J366" s="462"/>
      <c r="K366" s="450"/>
      <c r="L366" s="462"/>
      <c r="M366" s="493"/>
      <c r="N366" s="493"/>
      <c r="O366" s="516">
        <f t="shared" si="221"/>
        <v>6.6596600413322452E-2</v>
      </c>
      <c r="P366" s="516">
        <f t="shared" si="221"/>
        <v>6.4995228046491604E-2</v>
      </c>
      <c r="Q366" s="450">
        <f t="shared" si="221"/>
        <v>46021</v>
      </c>
      <c r="R366" s="450">
        <v>46636</v>
      </c>
      <c r="S366" s="509" t="s">
        <v>146</v>
      </c>
      <c r="T366" s="510">
        <f>Tabla3[[#This Row],[Cantidad]]*Tabla3[[#This Row],[Cortes]]</f>
        <v>16205.44</v>
      </c>
      <c r="U366" s="511">
        <f t="shared" si="202"/>
        <v>14772.815940535856</v>
      </c>
      <c r="V366" s="511">
        <f t="shared" si="203"/>
        <v>14770.20673186645</v>
      </c>
      <c r="W366" s="497">
        <f>IF(Tabla3[[#This Row],[Fecha de operación]]=$C$1,0,U366-V366)</f>
        <v>2.6092086694061436</v>
      </c>
      <c r="X366" s="512" t="str">
        <f t="shared" si="216"/>
        <v>Vigente</v>
      </c>
      <c r="Y366" s="517" t="s">
        <v>450</v>
      </c>
      <c r="Z366" s="449">
        <f t="shared" si="217"/>
        <v>524</v>
      </c>
      <c r="AA366" s="518">
        <f t="shared" si="222"/>
        <v>2.4676144663129889</v>
      </c>
      <c r="AB366" s="518">
        <f t="shared" si="222"/>
        <v>2.4272035894213699</v>
      </c>
      <c r="AC366" s="449" t="s">
        <v>451</v>
      </c>
      <c r="AD366" s="449" t="s">
        <v>454</v>
      </c>
      <c r="AG366" s="605">
        <f>+IF(Tabla3[[#This Row],[Amortización k | cupón de intereses]]="Amortización de K",Tabla3[[#This Row],[Valor Nominal]],0)</f>
        <v>0</v>
      </c>
      <c r="AH366" s="605">
        <f>+IF(AND(Tabla3[[#This Row],[Amortización k | cupón de intereses]]="Cupón de interés",Tabla3[[#This Row],[Estado]]="Vigente"),Tabla3[[#This Row],[Valor Nominal]],0)</f>
        <v>16205.44</v>
      </c>
      <c r="AI366" s="618">
        <f>+IF(Tabla3[[#This Row],[Amortización k | cupón de intereses]]="Amortización de K",SUMIFS($AH$7:$AH$557,Tabla3[Código Emisión],Tabla3[[#This Row],[Código Emisión]],Tabla3[Fecha de operación],Tabla3[[#This Row],[Fecha de operación]]),0)-Tabla3[[#This Row],[Accrued]]*Tabla3[[#This Row],[Valor Nominal]]</f>
        <v>0</v>
      </c>
      <c r="AJ366" s="605">
        <f>+IF(Tabla3[[#This Row],[Amortización k | cupón de intereses]]="Amortización de K",IF(Tabla3[[#This Row],[Precio Clean]]&gt;1,Tabla3[[#This Row],[Valor Nominal]]*(Tabla3[[#This Row],[Precio Clean]]-1),0),0)</f>
        <v>0</v>
      </c>
      <c r="AK366" s="605">
        <f>+IF(Tabla3[[#This Row],[Amortización k | cupón de intereses]]="Amortización de K",IF(Tabla3[[#This Row],[Precio Clean]]&lt;1,Tabla3[[#This Row],[Valor Nominal]]*(Tabla3[[#This Row],[Precio Clean]]-1),0),0)</f>
        <v>0</v>
      </c>
    </row>
    <row r="367" spans="1:37">
      <c r="A367" s="502"/>
      <c r="B367" s="437" t="str">
        <f t="shared" si="218"/>
        <v>Banco Nacional de Fomento</v>
      </c>
      <c r="C367" s="437" t="str">
        <f t="shared" si="218"/>
        <v>BNF_6,50%_05122028_BB3255-58_250K</v>
      </c>
      <c r="D367" s="437" t="s">
        <v>453</v>
      </c>
      <c r="E367" s="437" t="str">
        <f t="shared" si="219"/>
        <v>AA+py</v>
      </c>
      <c r="F367" s="437" t="s">
        <v>297</v>
      </c>
      <c r="G367" s="437" t="s">
        <v>298</v>
      </c>
      <c r="H367" s="437">
        <f t="shared" si="220"/>
        <v>4</v>
      </c>
      <c r="I367" s="445">
        <v>4184.93</v>
      </c>
      <c r="J367" s="462"/>
      <c r="K367" s="450"/>
      <c r="L367" s="462"/>
      <c r="M367" s="493"/>
      <c r="N367" s="493"/>
      <c r="O367" s="516">
        <f t="shared" si="221"/>
        <v>6.6596600413322452E-2</v>
      </c>
      <c r="P367" s="516">
        <f t="shared" si="221"/>
        <v>6.4995228046491604E-2</v>
      </c>
      <c r="Q367" s="450">
        <f t="shared" si="221"/>
        <v>46021</v>
      </c>
      <c r="R367" s="450">
        <v>46545</v>
      </c>
      <c r="S367" s="509" t="s">
        <v>146</v>
      </c>
      <c r="T367" s="510">
        <f>Tabla3[[#This Row],[Cantidad]]*Tabla3[[#This Row],[Cortes]]</f>
        <v>16739.72</v>
      </c>
      <c r="U367" s="511">
        <f t="shared" si="202"/>
        <v>15507.13328125539</v>
      </c>
      <c r="V367" s="511">
        <f t="shared" si="203"/>
        <v>15504.394375771297</v>
      </c>
      <c r="W367" s="497">
        <f>IF(Tabla3[[#This Row],[Fecha de operación]]=$C$1,0,U367-V367)</f>
        <v>2.7389054840932658</v>
      </c>
      <c r="X367" s="512" t="str">
        <f t="shared" si="216"/>
        <v>Vigente</v>
      </c>
      <c r="Y367" s="517" t="s">
        <v>450</v>
      </c>
      <c r="Z367" s="449">
        <f t="shared" si="217"/>
        <v>433</v>
      </c>
      <c r="AA367" s="518">
        <f t="shared" si="222"/>
        <v>2.4676144663129889</v>
      </c>
      <c r="AB367" s="518">
        <f t="shared" si="222"/>
        <v>2.4272035894213699</v>
      </c>
      <c r="AC367" s="449" t="s">
        <v>451</v>
      </c>
      <c r="AD367" s="449" t="s">
        <v>454</v>
      </c>
      <c r="AG367" s="605">
        <f>+IF(Tabla3[[#This Row],[Amortización k | cupón de intereses]]="Amortización de K",Tabla3[[#This Row],[Valor Nominal]],0)</f>
        <v>0</v>
      </c>
      <c r="AH367" s="605">
        <f>+IF(AND(Tabla3[[#This Row],[Amortización k | cupón de intereses]]="Cupón de interés",Tabla3[[#This Row],[Estado]]="Vigente"),Tabla3[[#This Row],[Valor Nominal]],0)</f>
        <v>16739.72</v>
      </c>
      <c r="AI367" s="618">
        <f>+IF(Tabla3[[#This Row],[Amortización k | cupón de intereses]]="Amortización de K",SUMIFS($AH$7:$AH$557,Tabla3[Código Emisión],Tabla3[[#This Row],[Código Emisión]],Tabla3[Fecha de operación],Tabla3[[#This Row],[Fecha de operación]]),0)-Tabla3[[#This Row],[Accrued]]*Tabla3[[#This Row],[Valor Nominal]]</f>
        <v>0</v>
      </c>
      <c r="AJ367" s="605">
        <f>+IF(Tabla3[[#This Row],[Amortización k | cupón de intereses]]="Amortización de K",IF(Tabla3[[#This Row],[Precio Clean]]&gt;1,Tabla3[[#This Row],[Valor Nominal]]*(Tabla3[[#This Row],[Precio Clean]]-1),0),0)</f>
        <v>0</v>
      </c>
      <c r="AK367" s="605">
        <f>+IF(Tabla3[[#This Row],[Amortización k | cupón de intereses]]="Amortización de K",IF(Tabla3[[#This Row],[Precio Clean]]&lt;1,Tabla3[[#This Row],[Valor Nominal]]*(Tabla3[[#This Row],[Precio Clean]]-1),0),0)</f>
        <v>0</v>
      </c>
    </row>
    <row r="368" spans="1:37">
      <c r="A368" s="502"/>
      <c r="B368" s="437" t="str">
        <f t="shared" si="218"/>
        <v>Banco Nacional de Fomento</v>
      </c>
      <c r="C368" s="437" t="str">
        <f t="shared" si="218"/>
        <v>BNF_6,50%_05122028_BB3255-58_250K</v>
      </c>
      <c r="D368" s="437" t="s">
        <v>453</v>
      </c>
      <c r="E368" s="437" t="str">
        <f t="shared" si="219"/>
        <v>AA+py</v>
      </c>
      <c r="F368" s="437" t="s">
        <v>297</v>
      </c>
      <c r="G368" s="437" t="s">
        <v>298</v>
      </c>
      <c r="H368" s="437">
        <f t="shared" si="220"/>
        <v>4</v>
      </c>
      <c r="I368" s="445">
        <v>3914.8</v>
      </c>
      <c r="J368" s="462"/>
      <c r="K368" s="450"/>
      <c r="L368" s="462"/>
      <c r="M368" s="493"/>
      <c r="N368" s="493"/>
      <c r="O368" s="516">
        <f t="shared" si="221"/>
        <v>6.6596600413322452E-2</v>
      </c>
      <c r="P368" s="516">
        <f t="shared" si="221"/>
        <v>6.4995228046491604E-2</v>
      </c>
      <c r="Q368" s="450">
        <f t="shared" si="221"/>
        <v>46021</v>
      </c>
      <c r="R368" s="450">
        <v>46451</v>
      </c>
      <c r="S368" s="509" t="s">
        <v>146</v>
      </c>
      <c r="T368" s="510">
        <f>Tabla3[[#This Row],[Cantidad]]*Tabla3[[#This Row],[Cortes]]</f>
        <v>15659.2</v>
      </c>
      <c r="U368" s="511">
        <f t="shared" si="202"/>
        <v>14749.045327112401</v>
      </c>
      <c r="V368" s="511">
        <f t="shared" si="203"/>
        <v>14746.440316863314</v>
      </c>
      <c r="W368" s="497">
        <f>IF(Tabla3[[#This Row],[Fecha de operación]]=$C$1,0,U368-V368)</f>
        <v>2.6050102490862628</v>
      </c>
      <c r="X368" s="512" t="str">
        <f t="shared" si="216"/>
        <v>Vigente</v>
      </c>
      <c r="Y368" s="517" t="s">
        <v>450</v>
      </c>
      <c r="Z368" s="449">
        <f t="shared" si="217"/>
        <v>339</v>
      </c>
      <c r="AA368" s="518">
        <f t="shared" si="222"/>
        <v>2.4676144663129889</v>
      </c>
      <c r="AB368" s="518">
        <f t="shared" si="222"/>
        <v>2.4272035894213699</v>
      </c>
      <c r="AC368" s="449" t="s">
        <v>451</v>
      </c>
      <c r="AD368" s="449" t="s">
        <v>454</v>
      </c>
      <c r="AG368" s="605">
        <f>+IF(Tabla3[[#This Row],[Amortización k | cupón de intereses]]="Amortización de K",Tabla3[[#This Row],[Valor Nominal]],0)</f>
        <v>0</v>
      </c>
      <c r="AH368" s="605">
        <f>+IF(AND(Tabla3[[#This Row],[Amortización k | cupón de intereses]]="Cupón de interés",Tabla3[[#This Row],[Estado]]="Vigente"),Tabla3[[#This Row],[Valor Nominal]],0)</f>
        <v>15659.2</v>
      </c>
      <c r="AI368" s="618">
        <f>+IF(Tabla3[[#This Row],[Amortización k | cupón de intereses]]="Amortización de K",SUMIFS($AH$7:$AH$557,Tabla3[Código Emisión],Tabla3[[#This Row],[Código Emisión]],Tabla3[Fecha de operación],Tabla3[[#This Row],[Fecha de operación]]),0)-Tabla3[[#This Row],[Accrued]]*Tabla3[[#This Row],[Valor Nominal]]</f>
        <v>0</v>
      </c>
      <c r="AJ368" s="605">
        <f>+IF(Tabla3[[#This Row],[Amortización k | cupón de intereses]]="Amortización de K",IF(Tabla3[[#This Row],[Precio Clean]]&gt;1,Tabla3[[#This Row],[Valor Nominal]]*(Tabla3[[#This Row],[Precio Clean]]-1),0),0)</f>
        <v>0</v>
      </c>
      <c r="AK368" s="605">
        <f>+IF(Tabla3[[#This Row],[Amortización k | cupón de intereses]]="Amortización de K",IF(Tabla3[[#This Row],[Precio Clean]]&lt;1,Tabla3[[#This Row],[Valor Nominal]]*(Tabla3[[#This Row],[Precio Clean]]-1),0),0)</f>
        <v>0</v>
      </c>
    </row>
    <row r="369" spans="1:37">
      <c r="A369" s="502"/>
      <c r="B369" s="437" t="str">
        <f t="shared" si="218"/>
        <v>Banco Nacional de Fomento</v>
      </c>
      <c r="C369" s="437" t="str">
        <f t="shared" si="218"/>
        <v>BNF_6,50%_05122028_BB3255-58_250K</v>
      </c>
      <c r="D369" s="437" t="s">
        <v>453</v>
      </c>
      <c r="E369" s="437" t="str">
        <f t="shared" si="219"/>
        <v>AA+py</v>
      </c>
      <c r="F369" s="437" t="s">
        <v>297</v>
      </c>
      <c r="G369" s="437" t="s">
        <v>298</v>
      </c>
      <c r="H369" s="437">
        <f t="shared" si="220"/>
        <v>4</v>
      </c>
      <c r="I369" s="445">
        <v>4051.36</v>
      </c>
      <c r="J369" s="462"/>
      <c r="K369" s="450"/>
      <c r="L369" s="462"/>
      <c r="M369" s="493"/>
      <c r="N369" s="493"/>
      <c r="O369" s="516">
        <f t="shared" si="221"/>
        <v>6.6596600413322452E-2</v>
      </c>
      <c r="P369" s="516">
        <f t="shared" si="221"/>
        <v>6.4995228046491604E-2</v>
      </c>
      <c r="Q369" s="450">
        <f t="shared" si="221"/>
        <v>46021</v>
      </c>
      <c r="R369" s="450">
        <v>46363</v>
      </c>
      <c r="S369" s="509" t="s">
        <v>146</v>
      </c>
      <c r="T369" s="510">
        <f>Tabla3[[#This Row],[Cantidad]]*Tabla3[[#This Row],[Cortes]]</f>
        <v>16205.44</v>
      </c>
      <c r="U369" s="511">
        <f t="shared" si="202"/>
        <v>15502.648442095415</v>
      </c>
      <c r="V369" s="511">
        <f t="shared" si="203"/>
        <v>15499.910328733911</v>
      </c>
      <c r="W369" s="497">
        <f>IF(Tabla3[[#This Row],[Fecha de operación]]=$C$1,0,U369-V369)</f>
        <v>2.7381133615035651</v>
      </c>
      <c r="X369" s="512" t="str">
        <f t="shared" si="216"/>
        <v>Vigente</v>
      </c>
      <c r="Y369" s="517" t="s">
        <v>450</v>
      </c>
      <c r="Z369" s="449">
        <f t="shared" si="217"/>
        <v>251</v>
      </c>
      <c r="AA369" s="518">
        <f t="shared" si="222"/>
        <v>2.4676144663129889</v>
      </c>
      <c r="AB369" s="518">
        <f t="shared" si="222"/>
        <v>2.4272035894213699</v>
      </c>
      <c r="AC369" s="449" t="s">
        <v>451</v>
      </c>
      <c r="AD369" s="449" t="s">
        <v>454</v>
      </c>
      <c r="AG369" s="605">
        <f>+IF(Tabla3[[#This Row],[Amortización k | cupón de intereses]]="Amortización de K",Tabla3[[#This Row],[Valor Nominal]],0)</f>
        <v>0</v>
      </c>
      <c r="AH369" s="605">
        <f>+IF(AND(Tabla3[[#This Row],[Amortización k | cupón de intereses]]="Cupón de interés",Tabla3[[#This Row],[Estado]]="Vigente"),Tabla3[[#This Row],[Valor Nominal]],0)</f>
        <v>16205.44</v>
      </c>
      <c r="AI369" s="618">
        <f>+IF(Tabla3[[#This Row],[Amortización k | cupón de intereses]]="Amortización de K",SUMIFS($AH$7:$AH$557,Tabla3[Código Emisión],Tabla3[[#This Row],[Código Emisión]],Tabla3[Fecha de operación],Tabla3[[#This Row],[Fecha de operación]]),0)-Tabla3[[#This Row],[Accrued]]*Tabla3[[#This Row],[Valor Nominal]]</f>
        <v>0</v>
      </c>
      <c r="AJ369" s="605">
        <f>+IF(Tabla3[[#This Row],[Amortización k | cupón de intereses]]="Amortización de K",IF(Tabla3[[#This Row],[Precio Clean]]&gt;1,Tabla3[[#This Row],[Valor Nominal]]*(Tabla3[[#This Row],[Precio Clean]]-1),0),0)</f>
        <v>0</v>
      </c>
      <c r="AK369" s="605">
        <f>+IF(Tabla3[[#This Row],[Amortización k | cupón de intereses]]="Amortización de K",IF(Tabla3[[#This Row],[Precio Clean]]&lt;1,Tabla3[[#This Row],[Valor Nominal]]*(Tabla3[[#This Row],[Precio Clean]]-1),0),0)</f>
        <v>0</v>
      </c>
    </row>
    <row r="370" spans="1:37">
      <c r="A370" s="502"/>
      <c r="B370" s="437" t="str">
        <f t="shared" si="218"/>
        <v>Banco Nacional de Fomento</v>
      </c>
      <c r="C370" s="437" t="str">
        <f t="shared" si="218"/>
        <v>BNF_6,50%_05122028_BB3255-58_250K</v>
      </c>
      <c r="D370" s="437" t="s">
        <v>453</v>
      </c>
      <c r="E370" s="437" t="str">
        <f t="shared" si="219"/>
        <v>AA+py</v>
      </c>
      <c r="F370" s="437" t="s">
        <v>297</v>
      </c>
      <c r="G370" s="437" t="s">
        <v>298</v>
      </c>
      <c r="H370" s="437">
        <f t="shared" si="220"/>
        <v>4</v>
      </c>
      <c r="I370" s="445">
        <v>4184.93</v>
      </c>
      <c r="J370" s="462"/>
      <c r="K370" s="450"/>
      <c r="L370" s="462"/>
      <c r="M370" s="493"/>
      <c r="N370" s="493"/>
      <c r="O370" s="516">
        <f t="shared" si="221"/>
        <v>6.6596600413322452E-2</v>
      </c>
      <c r="P370" s="516">
        <f t="shared" si="221"/>
        <v>6.4995228046491604E-2</v>
      </c>
      <c r="Q370" s="450">
        <f t="shared" si="221"/>
        <v>46021</v>
      </c>
      <c r="R370" s="450">
        <v>46272</v>
      </c>
      <c r="S370" s="509" t="s">
        <v>146</v>
      </c>
      <c r="T370" s="510">
        <f>Tabla3[[#This Row],[Cantidad]]*Tabla3[[#This Row],[Cortes]]</f>
        <v>16739.72</v>
      </c>
      <c r="U370" s="511">
        <f t="shared" si="202"/>
        <v>16273.243812939547</v>
      </c>
      <c r="V370" s="511">
        <f t="shared" si="203"/>
        <v>16270.369595254379</v>
      </c>
      <c r="W370" s="497">
        <f>IF(Tabla3[[#This Row],[Fecha de operación]]=$C$1,0,U370-V370)</f>
        <v>2.8742176851683325</v>
      </c>
      <c r="X370" s="512" t="str">
        <f t="shared" si="216"/>
        <v>Vigente</v>
      </c>
      <c r="Y370" s="517" t="s">
        <v>450</v>
      </c>
      <c r="Z370" s="449">
        <f t="shared" si="217"/>
        <v>160</v>
      </c>
      <c r="AA370" s="518">
        <f t="shared" si="222"/>
        <v>2.4676144663129889</v>
      </c>
      <c r="AB370" s="518">
        <f t="shared" si="222"/>
        <v>2.4272035894213699</v>
      </c>
      <c r="AC370" s="449" t="s">
        <v>451</v>
      </c>
      <c r="AD370" s="449" t="s">
        <v>454</v>
      </c>
      <c r="AG370" s="605">
        <f>+IF(Tabla3[[#This Row],[Amortización k | cupón de intereses]]="Amortización de K",Tabla3[[#This Row],[Valor Nominal]],0)</f>
        <v>0</v>
      </c>
      <c r="AH370" s="605">
        <f>+IF(AND(Tabla3[[#This Row],[Amortización k | cupón de intereses]]="Cupón de interés",Tabla3[[#This Row],[Estado]]="Vigente"),Tabla3[[#This Row],[Valor Nominal]],0)</f>
        <v>16739.72</v>
      </c>
      <c r="AI370" s="618">
        <f>+IF(Tabla3[[#This Row],[Amortización k | cupón de intereses]]="Amortización de K",SUMIFS($AH$7:$AH$557,Tabla3[Código Emisión],Tabla3[[#This Row],[Código Emisión]],Tabla3[Fecha de operación],Tabla3[[#This Row],[Fecha de operación]]),0)-Tabla3[[#This Row],[Accrued]]*Tabla3[[#This Row],[Valor Nominal]]</f>
        <v>0</v>
      </c>
      <c r="AJ370" s="605">
        <f>+IF(Tabla3[[#This Row],[Amortización k | cupón de intereses]]="Amortización de K",IF(Tabla3[[#This Row],[Precio Clean]]&gt;1,Tabla3[[#This Row],[Valor Nominal]]*(Tabla3[[#This Row],[Precio Clean]]-1),0),0)</f>
        <v>0</v>
      </c>
      <c r="AK370" s="605">
        <f>+IF(Tabla3[[#This Row],[Amortización k | cupón de intereses]]="Amortización de K",IF(Tabla3[[#This Row],[Precio Clean]]&lt;1,Tabla3[[#This Row],[Valor Nominal]]*(Tabla3[[#This Row],[Precio Clean]]-1),0),0)</f>
        <v>0</v>
      </c>
    </row>
    <row r="371" spans="1:37">
      <c r="A371" s="502"/>
      <c r="B371" s="437" t="str">
        <f t="shared" si="218"/>
        <v>Banco Nacional de Fomento</v>
      </c>
      <c r="C371" s="437" t="str">
        <f t="shared" si="218"/>
        <v>BNF_6,50%_05122028_BB3255-58_250K</v>
      </c>
      <c r="D371" s="437" t="s">
        <v>453</v>
      </c>
      <c r="E371" s="437" t="str">
        <f t="shared" si="219"/>
        <v>AA+py</v>
      </c>
      <c r="F371" s="437" t="s">
        <v>297</v>
      </c>
      <c r="G371" s="437" t="s">
        <v>298</v>
      </c>
      <c r="H371" s="437">
        <f t="shared" si="220"/>
        <v>4</v>
      </c>
      <c r="I371" s="445">
        <v>4095.89</v>
      </c>
      <c r="J371" s="462"/>
      <c r="K371" s="450"/>
      <c r="L371" s="462"/>
      <c r="M371" s="493"/>
      <c r="N371" s="493"/>
      <c r="O371" s="516">
        <f t="shared" si="221"/>
        <v>6.6596600413322452E-2</v>
      </c>
      <c r="P371" s="516">
        <f t="shared" si="221"/>
        <v>6.4995228046491604E-2</v>
      </c>
      <c r="Q371" s="450">
        <f t="shared" si="221"/>
        <v>46021</v>
      </c>
      <c r="R371" s="450">
        <v>46178</v>
      </c>
      <c r="S371" s="509" t="s">
        <v>146</v>
      </c>
      <c r="T371" s="510">
        <f>Tabla3[[#This Row],[Cantidad]]*Tabla3[[#This Row],[Cortes]]</f>
        <v>16383.56</v>
      </c>
      <c r="U371" s="511">
        <f t="shared" si="202"/>
        <v>16193.667842750185</v>
      </c>
      <c r="V371" s="511">
        <f t="shared" si="203"/>
        <v>16190.807679955573</v>
      </c>
      <c r="W371" s="497">
        <f>IF(Tabla3[[#This Row],[Fecha de operación]]=$C$1,0,U371-V371)</f>
        <v>2.8601627946118242</v>
      </c>
      <c r="X371" s="512" t="str">
        <f t="shared" si="216"/>
        <v>Vigente</v>
      </c>
      <c r="Y371" s="517" t="s">
        <v>450</v>
      </c>
      <c r="Z371" s="449">
        <f t="shared" si="217"/>
        <v>66</v>
      </c>
      <c r="AA371" s="518">
        <f t="shared" si="222"/>
        <v>2.4676144663129889</v>
      </c>
      <c r="AB371" s="518">
        <f t="shared" si="222"/>
        <v>2.4272035894213699</v>
      </c>
      <c r="AC371" s="449" t="s">
        <v>451</v>
      </c>
      <c r="AD371" s="449" t="s">
        <v>454</v>
      </c>
      <c r="AG371" s="605">
        <f>+IF(Tabla3[[#This Row],[Amortización k | cupón de intereses]]="Amortización de K",Tabla3[[#This Row],[Valor Nominal]],0)</f>
        <v>0</v>
      </c>
      <c r="AH371" s="605">
        <f>+IF(AND(Tabla3[[#This Row],[Amortización k | cupón de intereses]]="Cupón de interés",Tabla3[[#This Row],[Estado]]="Vigente"),Tabla3[[#This Row],[Valor Nominal]],0)</f>
        <v>16383.56</v>
      </c>
      <c r="AI371" s="618">
        <f>+IF(Tabla3[[#This Row],[Amortización k | cupón de intereses]]="Amortización de K",SUMIFS($AH$7:$AH$557,Tabla3[Código Emisión],Tabla3[[#This Row],[Código Emisión]],Tabla3[Fecha de operación],Tabla3[[#This Row],[Fecha de operación]]),0)-Tabla3[[#This Row],[Accrued]]*Tabla3[[#This Row],[Valor Nominal]]</f>
        <v>0</v>
      </c>
      <c r="AJ371" s="605">
        <f>+IF(Tabla3[[#This Row],[Amortización k | cupón de intereses]]="Amortización de K",IF(Tabla3[[#This Row],[Precio Clean]]&gt;1,Tabla3[[#This Row],[Valor Nominal]]*(Tabla3[[#This Row],[Precio Clean]]-1),0),0)</f>
        <v>0</v>
      </c>
      <c r="AK371" s="605">
        <f>+IF(Tabla3[[#This Row],[Amortización k | cupón de intereses]]="Amortización de K",IF(Tabla3[[#This Row],[Precio Clean]]&lt;1,Tabla3[[#This Row],[Valor Nominal]]*(Tabla3[[#This Row],[Precio Clean]]-1),0),0)</f>
        <v>0</v>
      </c>
    </row>
    <row r="372" spans="1:37">
      <c r="A372" s="502"/>
      <c r="B372" s="437" t="str">
        <f t="shared" si="218"/>
        <v>Banco Nacional de Fomento</v>
      </c>
      <c r="C372" s="437" t="str">
        <f t="shared" si="218"/>
        <v>BNF_6,50%_05122028_BB3255-58_250K</v>
      </c>
      <c r="D372" s="437" t="s">
        <v>453</v>
      </c>
      <c r="E372" s="437" t="str">
        <f t="shared" si="219"/>
        <v>AA+py</v>
      </c>
      <c r="F372" s="437" t="s">
        <v>297</v>
      </c>
      <c r="G372" s="437" t="s">
        <v>298</v>
      </c>
      <c r="H372" s="437">
        <f t="shared" si="220"/>
        <v>4</v>
      </c>
      <c r="I372" s="445">
        <v>4006.84</v>
      </c>
      <c r="J372" s="462"/>
      <c r="K372" s="450"/>
      <c r="L372" s="462"/>
      <c r="M372" s="493"/>
      <c r="N372" s="493"/>
      <c r="O372" s="516">
        <f t="shared" si="221"/>
        <v>6.6596600413322452E-2</v>
      </c>
      <c r="P372" s="516">
        <f t="shared" si="221"/>
        <v>6.4995228046491604E-2</v>
      </c>
      <c r="Q372" s="450">
        <f t="shared" si="221"/>
        <v>46021</v>
      </c>
      <c r="R372" s="450">
        <v>46086</v>
      </c>
      <c r="S372" s="509" t="s">
        <v>146</v>
      </c>
      <c r="T372" s="641">
        <f>Tabla3[[#This Row],[Cantidad]]*Tabla3[[#This Row],[Cortes]]</f>
        <v>16027.36</v>
      </c>
      <c r="U372" s="511" t="b">
        <f t="shared" si="202"/>
        <v>0</v>
      </c>
      <c r="V372" s="511" t="b">
        <f t="shared" si="203"/>
        <v>0</v>
      </c>
      <c r="W372" s="497">
        <f>IF(Tabla3[[#This Row],[Fecha de operación]]=$C$1,0,U372-V372)</f>
        <v>0</v>
      </c>
      <c r="X372" s="512" t="str">
        <f t="shared" si="216"/>
        <v>Vencido</v>
      </c>
      <c r="Y372" s="517" t="s">
        <v>450</v>
      </c>
      <c r="Z372" s="449">
        <f t="shared" si="217"/>
        <v>-26</v>
      </c>
      <c r="AA372" s="518">
        <f t="shared" si="222"/>
        <v>2.4676144663129889</v>
      </c>
      <c r="AB372" s="518">
        <f t="shared" si="222"/>
        <v>2.4272035894213699</v>
      </c>
      <c r="AC372" s="449" t="s">
        <v>451</v>
      </c>
      <c r="AD372" s="449" t="s">
        <v>454</v>
      </c>
      <c r="AG372" s="605">
        <f>+IF(Tabla3[[#This Row],[Amortización k | cupón de intereses]]="Amortización de K",Tabla3[[#This Row],[Valor Nominal]],0)</f>
        <v>0</v>
      </c>
      <c r="AH372" s="605">
        <f>+IF(AND(Tabla3[[#This Row],[Amortización k | cupón de intereses]]="Cupón de interés",Tabla3[[#This Row],[Estado]]="Vigente"),Tabla3[[#This Row],[Valor Nominal]],0)</f>
        <v>0</v>
      </c>
      <c r="AI372" s="618">
        <f>+IF(Tabla3[[#This Row],[Amortización k | cupón de intereses]]="Amortización de K",SUMIFS($AH$7:$AH$557,Tabla3[Código Emisión],Tabla3[[#This Row],[Código Emisión]],Tabla3[Fecha de operación],Tabla3[[#This Row],[Fecha de operación]]),0)-Tabla3[[#This Row],[Accrued]]*Tabla3[[#This Row],[Valor Nominal]]</f>
        <v>0</v>
      </c>
      <c r="AJ372" s="605">
        <f>+IF(Tabla3[[#This Row],[Amortización k | cupón de intereses]]="Amortización de K",IF(Tabla3[[#This Row],[Precio Clean]]&gt;1,Tabla3[[#This Row],[Valor Nominal]]*(Tabla3[[#This Row],[Precio Clean]]-1),0),0)</f>
        <v>0</v>
      </c>
      <c r="AK372" s="605">
        <f>+IF(Tabla3[[#This Row],[Amortización k | cupón de intereses]]="Amortización de K",IF(Tabla3[[#This Row],[Precio Clean]]&lt;1,Tabla3[[#This Row],[Valor Nominal]]*(Tabla3[[#This Row],[Precio Clean]]-1),0),0)</f>
        <v>0</v>
      </c>
    </row>
    <row r="373" spans="1:37" ht="15">
      <c r="A373" s="500">
        <f>+A360+1</f>
        <v>36</v>
      </c>
      <c r="B373" s="475" t="s">
        <v>485</v>
      </c>
      <c r="C373" s="475" t="s">
        <v>576</v>
      </c>
      <c r="D373" s="475" t="s">
        <v>453</v>
      </c>
      <c r="E373" s="475" t="s">
        <v>487</v>
      </c>
      <c r="F373" s="475" t="s">
        <v>297</v>
      </c>
      <c r="G373" s="475" t="s">
        <v>298</v>
      </c>
      <c r="H373" s="475">
        <v>3</v>
      </c>
      <c r="I373" s="477">
        <v>100000</v>
      </c>
      <c r="J373" s="478">
        <v>6.0999999999999999E-2</v>
      </c>
      <c r="K373" s="479">
        <v>45918</v>
      </c>
      <c r="L373" s="478">
        <f>+Tabla3[[#This Row],[Tasa de Interés]]*($U$5-Tabla3[[#This Row],[Last coupon]])/365</f>
        <v>3.2421917808219174E-2</v>
      </c>
      <c r="M373" s="480">
        <f>+Tabla3[[#This Row],[Precio Dirty]]-Tabla3[[#This Row],[Accrued]]</f>
        <v>0.99960702275833524</v>
      </c>
      <c r="N373" s="481">
        <f>SUMIFS(U:U,C:C,C373,Q:Q,Q373)/SUMIFS(T:T,C:C,C373,Q:Q,Q373,AD:AD,"Amortización de K")</f>
        <v>1.0320289405665544</v>
      </c>
      <c r="O373" s="482">
        <v>6.0951927304267878E-2</v>
      </c>
      <c r="P373" s="482">
        <v>6.0951927304267794E-2</v>
      </c>
      <c r="Q373" s="484">
        <v>46021</v>
      </c>
      <c r="R373" s="484">
        <v>46650</v>
      </c>
      <c r="S373" s="504" t="s">
        <v>146</v>
      </c>
      <c r="T373" s="505">
        <f>Tabla3[[#This Row],[Cantidad]]*Tabla3[[#This Row],[Cortes]]</f>
        <v>300000</v>
      </c>
      <c r="U373" s="576">
        <f t="shared" si="202"/>
        <v>274945.41892368271</v>
      </c>
      <c r="V373" s="576">
        <f t="shared" si="203"/>
        <v>274900.85384589998</v>
      </c>
      <c r="W373" s="505">
        <f>IF(Tabla3[[#This Row],[Fecha de operación]]=$C$1,0,U373-V373)</f>
        <v>44.565077782724984</v>
      </c>
      <c r="X373" s="507" t="str">
        <f t="shared" si="216"/>
        <v>Vigente</v>
      </c>
      <c r="Y373" s="489" t="s">
        <v>577</v>
      </c>
      <c r="Z373" s="488">
        <f t="shared" si="217"/>
        <v>538</v>
      </c>
      <c r="AA373" s="508">
        <f>IF(Y373="Mensual",DURATION($C$1,$C$1+Z373*12,J373/12,O373/12,1)/12,DURATION($C$1,R373,J373,O373,IF(Y373="Cupón cero",1,IF(Y373="Al vencimiento",1,IF(Y373="Anual",1,IF(Y373="Semestral",2,IF(Y373="Trimestral",4,"")))))))</f>
        <v>1.4119539684271969</v>
      </c>
      <c r="AB373" s="508">
        <f>IF(Y373="Mensual",MDURATION($C$1,$C$1+Z373*12,J373/12,O373/12,1)/12,MDURATION($C$1,R373,J373,O373,IF(Y373="Cupón cero",1,IF(Y373="Al vencimiento",1,IF(Y373="Anual",1,IF(Y373="Semestral",2,IF(Y373="Trimestral",4,"")))))))</f>
        <v>1.330836894763721</v>
      </c>
      <c r="AC373" s="488" t="s">
        <v>451</v>
      </c>
      <c r="AD373" s="488" t="s">
        <v>452</v>
      </c>
      <c r="AG373" s="605">
        <f>+IF(Tabla3[[#This Row],[Amortización k | cupón de intereses]]="Amortización de K",Tabla3[[#This Row],[Valor Nominal]],0)</f>
        <v>300000</v>
      </c>
      <c r="AH373" s="605">
        <f>+IF(AND(Tabla3[[#This Row],[Amortización k | cupón de intereses]]="Cupón de interés",Tabla3[[#This Row],[Estado]]="Vigente"),Tabla3[[#This Row],[Valor Nominal]],0)</f>
        <v>0</v>
      </c>
      <c r="AI373" s="618">
        <f>+IF(Tabla3[[#This Row],[Amortización k | cupón de intereses]]="Amortización de K",SUMIFS($AH$7:$AH$557,Tabla3[Código Emisión],Tabla3[[#This Row],[Código Emisión]],Tabla3[Fecha de operación],Tabla3[[#This Row],[Fecha de operación]]),0)-Tabla3[[#This Row],[Accrued]]*Tabla3[[#This Row],[Valor Nominal]]</f>
        <v>26973.68465753425</v>
      </c>
      <c r="AJ373" s="605">
        <f>+IF(Tabla3[[#This Row],[Amortización k | cupón de intereses]]="Amortización de K",IF(Tabla3[[#This Row],[Precio Clean]]&gt;1,Tabla3[[#This Row],[Valor Nominal]]*(Tabla3[[#This Row],[Precio Clean]]-1),0),0)</f>
        <v>0</v>
      </c>
      <c r="AK373" s="605">
        <f>+IF(Tabla3[[#This Row],[Amortización k | cupón de intereses]]="Amortización de K",IF(Tabla3[[#This Row],[Precio Clean]]&lt;1,Tabla3[[#This Row],[Valor Nominal]]*(Tabla3[[#This Row],[Precio Clean]]-1),0),0)</f>
        <v>-117.8931724994281</v>
      </c>
    </row>
    <row r="374" spans="1:37">
      <c r="A374" s="502"/>
      <c r="B374" s="437" t="str">
        <f t="shared" ref="B374:C375" si="223">+B373</f>
        <v>Banco Nacional de Fomento</v>
      </c>
      <c r="C374" s="437" t="str">
        <f t="shared" si="223"/>
        <v>BNF_6,10%_20092027_BB2646-50_100K</v>
      </c>
      <c r="D374" s="437" t="s">
        <v>453</v>
      </c>
      <c r="E374" s="437" t="str">
        <f t="shared" si="219"/>
        <v>AA+py</v>
      </c>
      <c r="F374" s="437" t="s">
        <v>297</v>
      </c>
      <c r="G374" s="437" t="s">
        <v>298</v>
      </c>
      <c r="H374" s="437">
        <f t="shared" si="220"/>
        <v>3</v>
      </c>
      <c r="I374" s="445">
        <v>6133.42</v>
      </c>
      <c r="J374" s="462"/>
      <c r="K374" s="450"/>
      <c r="L374" s="462"/>
      <c r="M374" s="493"/>
      <c r="N374" s="493"/>
      <c r="O374" s="516">
        <f t="shared" ref="O374:Q375" si="224">+O373</f>
        <v>6.0951927304267878E-2</v>
      </c>
      <c r="P374" s="516">
        <f t="shared" si="224"/>
        <v>6.0951927304267794E-2</v>
      </c>
      <c r="Q374" s="450">
        <f t="shared" si="224"/>
        <v>46021</v>
      </c>
      <c r="R374" s="450">
        <v>46650</v>
      </c>
      <c r="S374" s="509" t="s">
        <v>146</v>
      </c>
      <c r="T374" s="510">
        <f>Tabla3[[#This Row],[Cantidad]]*Tabla3[[#This Row],[Cortes]]</f>
        <v>18400.260000000002</v>
      </c>
      <c r="U374" s="511">
        <f t="shared" si="202"/>
        <v>16863.557313348942</v>
      </c>
      <c r="V374" s="511">
        <f t="shared" si="203"/>
        <v>16860.8239499552</v>
      </c>
      <c r="W374" s="497">
        <f>IF(Tabla3[[#This Row],[Fecha de operación]]=$C$1,0,U374-V374)</f>
        <v>2.7333633937414561</v>
      </c>
      <c r="X374" s="512" t="str">
        <f t="shared" si="216"/>
        <v>Vigente</v>
      </c>
      <c r="Y374" s="489" t="s">
        <v>577</v>
      </c>
      <c r="Z374" s="449">
        <f t="shared" si="217"/>
        <v>538</v>
      </c>
      <c r="AA374" s="518">
        <f t="shared" ref="AA374:AB375" si="225">+AA373</f>
        <v>1.4119539684271969</v>
      </c>
      <c r="AB374" s="518">
        <f t="shared" si="225"/>
        <v>1.330836894763721</v>
      </c>
      <c r="AC374" s="449" t="s">
        <v>451</v>
      </c>
      <c r="AD374" s="449" t="s">
        <v>454</v>
      </c>
      <c r="AG374" s="605">
        <f>+IF(Tabla3[[#This Row],[Amortización k | cupón de intereses]]="Amortización de K",Tabla3[[#This Row],[Valor Nominal]],0)</f>
        <v>0</v>
      </c>
      <c r="AH374" s="605">
        <f>+IF(AND(Tabla3[[#This Row],[Amortización k | cupón de intereses]]="Cupón de interés",Tabla3[[#This Row],[Estado]]="Vigente"),Tabla3[[#This Row],[Valor Nominal]],0)</f>
        <v>18400.260000000002</v>
      </c>
      <c r="AI374" s="618">
        <f>+IF(Tabla3[[#This Row],[Amortización k | cupón de intereses]]="Amortización de K",SUMIFS($AH$7:$AH$557,Tabla3[Código Emisión],Tabla3[[#This Row],[Código Emisión]],Tabla3[Fecha de operación],Tabla3[[#This Row],[Fecha de operación]]),0)-Tabla3[[#This Row],[Accrued]]*Tabla3[[#This Row],[Valor Nominal]]</f>
        <v>0</v>
      </c>
      <c r="AJ374" s="605">
        <f>+IF(Tabla3[[#This Row],[Amortización k | cupón de intereses]]="Amortización de K",IF(Tabla3[[#This Row],[Precio Clean]]&gt;1,Tabla3[[#This Row],[Valor Nominal]]*(Tabla3[[#This Row],[Precio Clean]]-1),0),0)</f>
        <v>0</v>
      </c>
      <c r="AK374" s="605">
        <f>+IF(Tabla3[[#This Row],[Amortización k | cupón de intereses]]="Amortización de K",IF(Tabla3[[#This Row],[Precio Clean]]&lt;1,Tabla3[[#This Row],[Valor Nominal]]*(Tabla3[[#This Row],[Precio Clean]]-1),0),0)</f>
        <v>0</v>
      </c>
    </row>
    <row r="375" spans="1:37">
      <c r="A375" s="502"/>
      <c r="B375" s="437" t="str">
        <f t="shared" si="223"/>
        <v>Banco Nacional de Fomento</v>
      </c>
      <c r="C375" s="437" t="str">
        <f t="shared" si="223"/>
        <v>BNF_6,10%_20092027_BB2646-50_100K</v>
      </c>
      <c r="D375" s="437" t="s">
        <v>453</v>
      </c>
      <c r="E375" s="520" t="str">
        <f t="shared" si="219"/>
        <v>AA+py</v>
      </c>
      <c r="F375" s="437" t="s">
        <v>297</v>
      </c>
      <c r="G375" s="437" t="s">
        <v>298</v>
      </c>
      <c r="H375" s="437">
        <f t="shared" si="220"/>
        <v>3</v>
      </c>
      <c r="I375" s="445">
        <v>6100</v>
      </c>
      <c r="J375" s="462"/>
      <c r="K375" s="450"/>
      <c r="L375" s="462"/>
      <c r="M375" s="493"/>
      <c r="N375" s="493"/>
      <c r="O375" s="516">
        <f t="shared" si="224"/>
        <v>6.0951927304267878E-2</v>
      </c>
      <c r="P375" s="516">
        <f t="shared" si="224"/>
        <v>6.0951927304267794E-2</v>
      </c>
      <c r="Q375" s="450">
        <f t="shared" si="224"/>
        <v>46021</v>
      </c>
      <c r="R375" s="450">
        <v>46283</v>
      </c>
      <c r="S375" s="509" t="s">
        <v>146</v>
      </c>
      <c r="T375" s="525">
        <f>Tabla3[[#This Row],[Cantidad]]*Tabla3[[#This Row],[Cortes]]</f>
        <v>18300</v>
      </c>
      <c r="U375" s="526">
        <f t="shared" si="202"/>
        <v>17799.705932934638</v>
      </c>
      <c r="V375" s="526">
        <f t="shared" si="203"/>
        <v>17796.820832020738</v>
      </c>
      <c r="W375" s="527">
        <f>IF(Tabla3[[#This Row],[Fecha de operación]]=$C$1,0,U375-V375)</f>
        <v>2.8851009138998052</v>
      </c>
      <c r="X375" s="512" t="str">
        <f t="shared" si="216"/>
        <v>Vigente</v>
      </c>
      <c r="Y375" s="489" t="s">
        <v>577</v>
      </c>
      <c r="Z375" s="449">
        <f t="shared" si="217"/>
        <v>171</v>
      </c>
      <c r="AA375" s="518">
        <f t="shared" si="225"/>
        <v>1.4119539684271969</v>
      </c>
      <c r="AB375" s="518">
        <f t="shared" si="225"/>
        <v>1.330836894763721</v>
      </c>
      <c r="AC375" s="449" t="s">
        <v>451</v>
      </c>
      <c r="AD375" s="449" t="s">
        <v>454</v>
      </c>
      <c r="AG375" s="605">
        <f>+IF(Tabla3[[#This Row],[Amortización k | cupón de intereses]]="Amortización de K",Tabla3[[#This Row],[Valor Nominal]],0)</f>
        <v>0</v>
      </c>
      <c r="AH375" s="605">
        <f>+IF(AND(Tabla3[[#This Row],[Amortización k | cupón de intereses]]="Cupón de interés",Tabla3[[#This Row],[Estado]]="Vigente"),Tabla3[[#This Row],[Valor Nominal]],0)</f>
        <v>18300</v>
      </c>
      <c r="AI375" s="618">
        <f>+IF(Tabla3[[#This Row],[Amortización k | cupón de intereses]]="Amortización de K",SUMIFS($AH$7:$AH$557,Tabla3[Código Emisión],Tabla3[[#This Row],[Código Emisión]],Tabla3[Fecha de operación],Tabla3[[#This Row],[Fecha de operación]]),0)-Tabla3[[#This Row],[Accrued]]*Tabla3[[#This Row],[Valor Nominal]]</f>
        <v>0</v>
      </c>
      <c r="AJ375" s="605">
        <f>+IF(Tabla3[[#This Row],[Amortización k | cupón de intereses]]="Amortización de K",IF(Tabla3[[#This Row],[Precio Clean]]&gt;1,Tabla3[[#This Row],[Valor Nominal]]*(Tabla3[[#This Row],[Precio Clean]]-1),0),0)</f>
        <v>0</v>
      </c>
      <c r="AK375" s="605">
        <f>+IF(Tabla3[[#This Row],[Amortización k | cupón de intereses]]="Amortización de K",IF(Tabla3[[#This Row],[Precio Clean]]&lt;1,Tabla3[[#This Row],[Valor Nominal]]*(Tabla3[[#This Row],[Precio Clean]]-1),0),0)</f>
        <v>0</v>
      </c>
    </row>
    <row r="376" spans="1:37" ht="15">
      <c r="A376" s="500">
        <f>+A373+1</f>
        <v>37</v>
      </c>
      <c r="B376" s="475" t="s">
        <v>494</v>
      </c>
      <c r="C376" s="475" t="s">
        <v>608</v>
      </c>
      <c r="D376" s="475" t="s">
        <v>453</v>
      </c>
      <c r="E376" s="475" t="s">
        <v>496</v>
      </c>
      <c r="F376" s="475" t="s">
        <v>297</v>
      </c>
      <c r="G376" s="475" t="s">
        <v>298</v>
      </c>
      <c r="H376" s="575">
        <v>6</v>
      </c>
      <c r="I376" s="477">
        <v>50000</v>
      </c>
      <c r="J376" s="478">
        <v>6.3E-2</v>
      </c>
      <c r="K376" s="479">
        <v>46030</v>
      </c>
      <c r="L376" s="478">
        <f>+Tabla3[[#This Row],[Tasa de Interés]]*($U$5-Tabla3[[#This Row],[Last coupon]])/365</f>
        <v>1.4153424657534247E-2</v>
      </c>
      <c r="M376" s="480">
        <f>+Tabla3[[#This Row],[Precio Dirty]]-Tabla3[[#This Row],[Accrued]]</f>
        <v>1.0012306750930742</v>
      </c>
      <c r="N376" s="481">
        <f>SUMIFS(U:U,C:C,C376,Q:Q,Q376)/SUMIFS(T:T,C:C,C376,Q:Q,Q376,AD:AD,"Amortización de K")</f>
        <v>1.0153840997506085</v>
      </c>
      <c r="O376" s="482">
        <v>6.3437947630882258E-2</v>
      </c>
      <c r="P376" s="482">
        <v>6.196552095428487E-2</v>
      </c>
      <c r="Q376" s="484">
        <v>46030</v>
      </c>
      <c r="R376" s="484">
        <v>46580</v>
      </c>
      <c r="S376" s="504" t="s">
        <v>146</v>
      </c>
      <c r="T376" s="510">
        <f>Tabla3[[#This Row],[Cantidad]]*Tabla3[[#This Row],[Cortes]]</f>
        <v>300000</v>
      </c>
      <c r="U376" s="511">
        <f t="shared" si="202"/>
        <v>277249.74217075051</v>
      </c>
      <c r="V376" s="511">
        <f t="shared" si="203"/>
        <v>277203.02610223036</v>
      </c>
      <c r="W376" s="497">
        <f>IF(Tabla3[[#This Row],[Fecha de operación]]=$C$1,0,U376-V376)</f>
        <v>46.716068520152476</v>
      </c>
      <c r="X376" s="507" t="str">
        <f t="shared" si="216"/>
        <v>Vigente</v>
      </c>
      <c r="Y376" s="489" t="s">
        <v>450</v>
      </c>
      <c r="Z376" s="488">
        <f t="shared" si="217"/>
        <v>468</v>
      </c>
      <c r="AA376" s="508">
        <f>IF(Y376="Mensual",DURATION($C$1,$C$1+Z376*12,J376/12,O376/12,1)/12,DURATION($C$1,R376,J376,O376,IF(Y376="Cupón cero",1,IF(Y376="Al vencimiento",1,IF(Y376="Anual",1,IF(Y376="Semestral",2,IF(Y376="Trimestral",4,"")))))))</f>
        <v>1.2235758547163498</v>
      </c>
      <c r="AB376" s="508">
        <f>IF(Y376="Mensual",MDURATION($C$1,$C$1+Z376*12,J376/12,O376/12,1)/12,MDURATION($C$1,R376,J376,O376,IF(Y376="Cupón cero",1,IF(Y376="Al vencimiento",1,IF(Y376="Anual",1,IF(Y376="Semestral",2,IF(Y376="Trimestral",4,"")))))))</f>
        <v>1.2044735226531362</v>
      </c>
      <c r="AC376" s="488" t="s">
        <v>451</v>
      </c>
      <c r="AD376" s="488" t="s">
        <v>452</v>
      </c>
      <c r="AG376" s="605">
        <f>+IF(Tabla3[[#This Row],[Amortización k | cupón de intereses]]="Amortización de K",Tabla3[[#This Row],[Valor Nominal]],0)</f>
        <v>300000</v>
      </c>
      <c r="AH376" s="605">
        <f>+IF(AND(Tabla3[[#This Row],[Amortización k | cupón de intereses]]="Cupón de interés",Tabla3[[#This Row],[Estado]]="Vigente"),Tabla3[[#This Row],[Valor Nominal]],0)</f>
        <v>0</v>
      </c>
      <c r="AI376" s="618">
        <f>+IF(Tabla3[[#This Row],[Amortización k | cupón de intereses]]="Amortización de K",SUMIFS($AH$7:$AH$557,Tabla3[Código Emisión],Tabla3[[#This Row],[Código Emisión]],Tabla3[Fecha de operación],Tabla3[[#This Row],[Fecha de operación]]),0)-Tabla3[[#This Row],[Accrued]]*Tabla3[[#This Row],[Valor Nominal]]</f>
        <v>24233.45260273973</v>
      </c>
      <c r="AJ376" s="605">
        <f>+IF(Tabla3[[#This Row],[Amortización k | cupón de intereses]]="Amortización de K",IF(Tabla3[[#This Row],[Precio Clean]]&gt;1,Tabla3[[#This Row],[Valor Nominal]]*(Tabla3[[#This Row],[Precio Clean]]-1),0),0)</f>
        <v>369.20252792225216</v>
      </c>
      <c r="AK376" s="605">
        <f>+IF(Tabla3[[#This Row],[Amortización k | cupón de intereses]]="Amortización de K",IF(Tabla3[[#This Row],[Precio Clean]]&lt;1,Tabla3[[#This Row],[Valor Nominal]]*(Tabla3[[#This Row],[Precio Clean]]-1),0),0)</f>
        <v>0</v>
      </c>
    </row>
    <row r="377" spans="1:37">
      <c r="A377" s="502"/>
      <c r="B377" s="437" t="str">
        <f t="shared" ref="B377:H382" si="226">+B376</f>
        <v>Solar Banco SAECA</v>
      </c>
      <c r="C377" s="437" t="str">
        <f t="shared" si="226"/>
        <v>SAF_6,30%_12072027_AA3505-10_50K</v>
      </c>
      <c r="D377" s="437" t="str">
        <f t="shared" si="226"/>
        <v>CDA</v>
      </c>
      <c r="E377" s="437" t="str">
        <f t="shared" si="226"/>
        <v>Apy</v>
      </c>
      <c r="F377" s="437" t="str">
        <f t="shared" si="226"/>
        <v>Financiero</v>
      </c>
      <c r="G377" s="437" t="str">
        <f t="shared" si="226"/>
        <v>Paraguay</v>
      </c>
      <c r="H377" s="437">
        <f t="shared" si="226"/>
        <v>6</v>
      </c>
      <c r="I377" s="492">
        <v>845.77</v>
      </c>
      <c r="J377" s="451"/>
      <c r="L377" s="442"/>
      <c r="M377" s="493"/>
      <c r="N377" s="493"/>
      <c r="O377" s="494">
        <f t="shared" ref="O377:Q382" si="227">+O376</f>
        <v>6.3437947630882258E-2</v>
      </c>
      <c r="P377" s="494">
        <f t="shared" si="227"/>
        <v>6.196552095428487E-2</v>
      </c>
      <c r="Q377" s="450">
        <f t="shared" si="227"/>
        <v>46030</v>
      </c>
      <c r="R377" s="450">
        <v>46580</v>
      </c>
      <c r="S377" s="509" t="s">
        <v>146</v>
      </c>
      <c r="T377" s="510">
        <f>Tabla3[[#This Row],[Cantidad]]*Tabla3[[#This Row],[Cortes]]</f>
        <v>5074.62</v>
      </c>
      <c r="U377" s="511">
        <f t="shared" si="202"/>
        <v>4689.7902887151131</v>
      </c>
      <c r="V377" s="511">
        <f t="shared" si="203"/>
        <v>4689.0000677296666</v>
      </c>
      <c r="W377" s="497">
        <f>IF(Tabla3[[#This Row],[Fecha de operación]]=$C$1,0,U377-V377)</f>
        <v>0.79022098544646724</v>
      </c>
      <c r="X377" s="512" t="str">
        <f t="shared" si="216"/>
        <v>Vigente</v>
      </c>
      <c r="Y377" s="498" t="str">
        <f>+Y376</f>
        <v>Trimestral</v>
      </c>
      <c r="Z377" s="469">
        <f t="shared" si="217"/>
        <v>468</v>
      </c>
      <c r="AA377" s="499">
        <f t="shared" ref="AA377:AB382" si="228">AA376</f>
        <v>1.2235758547163498</v>
      </c>
      <c r="AB377" s="499">
        <f t="shared" si="228"/>
        <v>1.2044735226531362</v>
      </c>
      <c r="AC377" s="469" t="str">
        <f t="shared" ref="AC377:AC382" si="229">+AC376</f>
        <v>Familiar CB</v>
      </c>
      <c r="AD377" s="469" t="s">
        <v>454</v>
      </c>
      <c r="AG377" s="605">
        <f>+IF(Tabla3[[#This Row],[Amortización k | cupón de intereses]]="Amortización de K",Tabla3[[#This Row],[Valor Nominal]],0)</f>
        <v>0</v>
      </c>
      <c r="AH377" s="605">
        <f>+IF(AND(Tabla3[[#This Row],[Amortización k | cupón de intereses]]="Cupón de interés",Tabla3[[#This Row],[Estado]]="Vigente"),Tabla3[[#This Row],[Valor Nominal]],0)</f>
        <v>5074.62</v>
      </c>
      <c r="AI377" s="618">
        <f>+IF(Tabla3[[#This Row],[Amortización k | cupón de intereses]]="Amortización de K",SUMIFS($AH$7:$AH$557,Tabla3[Código Emisión],Tabla3[[#This Row],[Código Emisión]],Tabla3[Fecha de operación],Tabla3[[#This Row],[Fecha de operación]]),0)-Tabla3[[#This Row],[Accrued]]*Tabla3[[#This Row],[Valor Nominal]]</f>
        <v>0</v>
      </c>
      <c r="AJ377" s="605">
        <f>+IF(Tabla3[[#This Row],[Amortización k | cupón de intereses]]="Amortización de K",IF(Tabla3[[#This Row],[Precio Clean]]&gt;1,Tabla3[[#This Row],[Valor Nominal]]*(Tabla3[[#This Row],[Precio Clean]]-1),0),0)</f>
        <v>0</v>
      </c>
      <c r="AK377" s="605">
        <f>+IF(Tabla3[[#This Row],[Amortización k | cupón de intereses]]="Amortización de K",IF(Tabla3[[#This Row],[Precio Clean]]&lt;1,Tabla3[[#This Row],[Valor Nominal]]*(Tabla3[[#This Row],[Precio Clean]]-1),0),0)</f>
        <v>0</v>
      </c>
    </row>
    <row r="378" spans="1:37">
      <c r="A378" s="502"/>
      <c r="B378" s="437" t="str">
        <f t="shared" si="226"/>
        <v>Solar Banco SAECA</v>
      </c>
      <c r="C378" s="437" t="str">
        <f t="shared" si="226"/>
        <v>SAF_6,30%_12072027_AA3505-10_50K</v>
      </c>
      <c r="D378" s="437" t="str">
        <f t="shared" si="226"/>
        <v>CDA</v>
      </c>
      <c r="E378" s="437" t="str">
        <f t="shared" si="226"/>
        <v>Apy</v>
      </c>
      <c r="F378" s="437" t="str">
        <f t="shared" si="226"/>
        <v>Financiero</v>
      </c>
      <c r="G378" s="437" t="str">
        <f t="shared" si="226"/>
        <v>Paraguay</v>
      </c>
      <c r="H378" s="437">
        <f t="shared" si="226"/>
        <v>6</v>
      </c>
      <c r="I378" s="492">
        <v>785.34</v>
      </c>
      <c r="J378" s="451"/>
      <c r="L378" s="442"/>
      <c r="M378" s="493"/>
      <c r="N378" s="493"/>
      <c r="O378" s="494">
        <f t="shared" si="227"/>
        <v>6.3437947630882258E-2</v>
      </c>
      <c r="P378" s="494">
        <f t="shared" si="227"/>
        <v>6.196552095428487E-2</v>
      </c>
      <c r="Q378" s="450">
        <f t="shared" si="227"/>
        <v>46030</v>
      </c>
      <c r="R378" s="450">
        <v>46482</v>
      </c>
      <c r="S378" s="509" t="s">
        <v>146</v>
      </c>
      <c r="T378" s="510">
        <f>Tabla3[[#This Row],[Cantidad]]*Tabla3[[#This Row],[Cortes]]</f>
        <v>4712.04</v>
      </c>
      <c r="U378" s="511">
        <f t="shared" si="202"/>
        <v>4427.2178719829053</v>
      </c>
      <c r="V378" s="511">
        <f t="shared" si="203"/>
        <v>4426.4718939638033</v>
      </c>
      <c r="W378" s="497">
        <f>IF(Tabla3[[#This Row],[Fecha de operación]]=$C$1,0,U378-V378)</f>
        <v>0.74597801910203998</v>
      </c>
      <c r="X378" s="512" t="str">
        <f t="shared" si="216"/>
        <v>Vigente</v>
      </c>
      <c r="Y378" s="498" t="str">
        <f t="shared" ref="Y378:Y382" si="230">+Y377</f>
        <v>Trimestral</v>
      </c>
      <c r="Z378" s="469">
        <f t="shared" si="217"/>
        <v>370</v>
      </c>
      <c r="AA378" s="499">
        <f t="shared" si="228"/>
        <v>1.2235758547163498</v>
      </c>
      <c r="AB378" s="499">
        <f t="shared" si="228"/>
        <v>1.2044735226531362</v>
      </c>
      <c r="AC378" s="469" t="str">
        <f t="shared" si="229"/>
        <v>Familiar CB</v>
      </c>
      <c r="AD378" s="469" t="s">
        <v>454</v>
      </c>
      <c r="AG378" s="605">
        <f>+IF(Tabla3[[#This Row],[Amortización k | cupón de intereses]]="Amortización de K",Tabla3[[#This Row],[Valor Nominal]],0)</f>
        <v>0</v>
      </c>
      <c r="AH378" s="605">
        <f>+IF(AND(Tabla3[[#This Row],[Amortización k | cupón de intereses]]="Cupón de interés",Tabla3[[#This Row],[Estado]]="Vigente"),Tabla3[[#This Row],[Valor Nominal]],0)</f>
        <v>4712.04</v>
      </c>
      <c r="AI378" s="618">
        <f>+IF(Tabla3[[#This Row],[Amortización k | cupón de intereses]]="Amortización de K",SUMIFS($AH$7:$AH$557,Tabla3[Código Emisión],Tabla3[[#This Row],[Código Emisión]],Tabla3[Fecha de operación],Tabla3[[#This Row],[Fecha de operación]]),0)-Tabla3[[#This Row],[Accrued]]*Tabla3[[#This Row],[Valor Nominal]]</f>
        <v>0</v>
      </c>
      <c r="AJ378" s="605">
        <f>+IF(Tabla3[[#This Row],[Amortización k | cupón de intereses]]="Amortización de K",IF(Tabla3[[#This Row],[Precio Clean]]&gt;1,Tabla3[[#This Row],[Valor Nominal]]*(Tabla3[[#This Row],[Precio Clean]]-1),0),0)</f>
        <v>0</v>
      </c>
      <c r="AK378" s="605">
        <f>+IF(Tabla3[[#This Row],[Amortización k | cupón de intereses]]="Amortización de K",IF(Tabla3[[#This Row],[Precio Clean]]&lt;1,Tabla3[[#This Row],[Valor Nominal]]*(Tabla3[[#This Row],[Precio Clean]]-1),0),0)</f>
        <v>0</v>
      </c>
    </row>
    <row r="379" spans="1:37">
      <c r="A379" s="502"/>
      <c r="B379" s="437" t="str">
        <f t="shared" si="226"/>
        <v>Solar Banco SAECA</v>
      </c>
      <c r="C379" s="437" t="str">
        <f t="shared" si="226"/>
        <v>SAF_6,30%_12072027_AA3505-10_50K</v>
      </c>
      <c r="D379" s="437" t="str">
        <f t="shared" si="226"/>
        <v>CDA</v>
      </c>
      <c r="E379" s="437" t="str">
        <f t="shared" si="226"/>
        <v>Apy</v>
      </c>
      <c r="F379" s="437" t="str">
        <f t="shared" si="226"/>
        <v>Financiero</v>
      </c>
      <c r="G379" s="437" t="str">
        <f t="shared" si="226"/>
        <v>Paraguay</v>
      </c>
      <c r="H379" s="437">
        <f t="shared" si="226"/>
        <v>6</v>
      </c>
      <c r="I379" s="492">
        <v>785.34</v>
      </c>
      <c r="J379" s="451"/>
      <c r="L379" s="442"/>
      <c r="M379" s="493"/>
      <c r="N379" s="493"/>
      <c r="O379" s="494">
        <f t="shared" si="227"/>
        <v>6.3437947630882258E-2</v>
      </c>
      <c r="P379" s="494">
        <f t="shared" si="227"/>
        <v>6.196552095428487E-2</v>
      </c>
      <c r="Q379" s="450">
        <f t="shared" si="227"/>
        <v>46030</v>
      </c>
      <c r="R379" s="450">
        <v>46391</v>
      </c>
      <c r="S379" s="509" t="s">
        <v>146</v>
      </c>
      <c r="T379" s="510">
        <f>Tabla3[[#This Row],[Cantidad]]*Tabla3[[#This Row],[Cortes]]</f>
        <v>4712.04</v>
      </c>
      <c r="U379" s="511">
        <f t="shared" si="202"/>
        <v>4495.6307941254163</v>
      </c>
      <c r="V379" s="511">
        <f t="shared" si="203"/>
        <v>4494.8732886555272</v>
      </c>
      <c r="W379" s="497">
        <f>IF(Tabla3[[#This Row],[Fecha de operación]]=$C$1,0,U379-V379)</f>
        <v>0.75750546988911083</v>
      </c>
      <c r="X379" s="512" t="str">
        <f t="shared" si="216"/>
        <v>Vigente</v>
      </c>
      <c r="Y379" s="498" t="str">
        <f t="shared" si="230"/>
        <v>Trimestral</v>
      </c>
      <c r="Z379" s="469">
        <f t="shared" si="217"/>
        <v>279</v>
      </c>
      <c r="AA379" s="499">
        <f t="shared" si="228"/>
        <v>1.2235758547163498</v>
      </c>
      <c r="AB379" s="499">
        <f t="shared" si="228"/>
        <v>1.2044735226531362</v>
      </c>
      <c r="AC379" s="469" t="str">
        <f t="shared" si="229"/>
        <v>Familiar CB</v>
      </c>
      <c r="AD379" s="469" t="s">
        <v>454</v>
      </c>
      <c r="AG379" s="605">
        <f>+IF(Tabla3[[#This Row],[Amortización k | cupón de intereses]]="Amortización de K",Tabla3[[#This Row],[Valor Nominal]],0)</f>
        <v>0</v>
      </c>
      <c r="AH379" s="605">
        <f>+IF(AND(Tabla3[[#This Row],[Amortización k | cupón de intereses]]="Cupón de interés",Tabla3[[#This Row],[Estado]]="Vigente"),Tabla3[[#This Row],[Valor Nominal]],0)</f>
        <v>4712.04</v>
      </c>
      <c r="AI379" s="618">
        <f>+IF(Tabla3[[#This Row],[Amortización k | cupón de intereses]]="Amortización de K",SUMIFS($AH$7:$AH$557,Tabla3[Código Emisión],Tabla3[[#This Row],[Código Emisión]],Tabla3[Fecha de operación],Tabla3[[#This Row],[Fecha de operación]]),0)-Tabla3[[#This Row],[Accrued]]*Tabla3[[#This Row],[Valor Nominal]]</f>
        <v>0</v>
      </c>
      <c r="AJ379" s="605">
        <f>+IF(Tabla3[[#This Row],[Amortización k | cupón de intereses]]="Amortización de K",IF(Tabla3[[#This Row],[Precio Clean]]&gt;1,Tabla3[[#This Row],[Valor Nominal]]*(Tabla3[[#This Row],[Precio Clean]]-1),0),0)</f>
        <v>0</v>
      </c>
      <c r="AK379" s="605">
        <f>+IF(Tabla3[[#This Row],[Amortización k | cupón de intereses]]="Amortización de K",IF(Tabla3[[#This Row],[Precio Clean]]&lt;1,Tabla3[[#This Row],[Valor Nominal]]*(Tabla3[[#This Row],[Precio Clean]]-1),0),0)</f>
        <v>0</v>
      </c>
    </row>
    <row r="380" spans="1:37">
      <c r="A380" s="502"/>
      <c r="B380" s="437" t="str">
        <f t="shared" si="226"/>
        <v>Solar Banco SAECA</v>
      </c>
      <c r="C380" s="437" t="str">
        <f t="shared" si="226"/>
        <v>SAF_6,30%_12072027_AA3505-10_50K</v>
      </c>
      <c r="D380" s="437" t="str">
        <f t="shared" si="226"/>
        <v>CDA</v>
      </c>
      <c r="E380" s="437" t="str">
        <f t="shared" si="226"/>
        <v>Apy</v>
      </c>
      <c r="F380" s="437" t="str">
        <f t="shared" si="226"/>
        <v>Financiero</v>
      </c>
      <c r="G380" s="437" t="str">
        <f t="shared" si="226"/>
        <v>Paraguay</v>
      </c>
      <c r="H380" s="437">
        <f t="shared" si="226"/>
        <v>6</v>
      </c>
      <c r="I380" s="492">
        <v>776.71</v>
      </c>
      <c r="J380" s="451"/>
      <c r="L380" s="442"/>
      <c r="M380" s="493"/>
      <c r="N380" s="493"/>
      <c r="O380" s="494">
        <f t="shared" si="227"/>
        <v>6.3437947630882258E-2</v>
      </c>
      <c r="P380" s="494">
        <f t="shared" si="227"/>
        <v>6.196552095428487E-2</v>
      </c>
      <c r="Q380" s="450">
        <f t="shared" si="227"/>
        <v>46030</v>
      </c>
      <c r="R380" s="450">
        <v>46300</v>
      </c>
      <c r="S380" s="509" t="s">
        <v>146</v>
      </c>
      <c r="T380" s="510">
        <f>Tabla3[[#This Row],[Cantidad]]*Tabla3[[#This Row],[Cortes]]</f>
        <v>4660.26</v>
      </c>
      <c r="U380" s="511">
        <f t="shared" si="202"/>
        <v>4514.9355825827179</v>
      </c>
      <c r="V380" s="511">
        <f t="shared" si="203"/>
        <v>4514.1748242916965</v>
      </c>
      <c r="W380" s="497">
        <f>IF(Tabla3[[#This Row],[Fecha de operación]]=$C$1,0,U380-V380)</f>
        <v>0.76075829102137504</v>
      </c>
      <c r="X380" s="512" t="str">
        <f t="shared" si="216"/>
        <v>Vigente</v>
      </c>
      <c r="Y380" s="498" t="str">
        <f t="shared" si="230"/>
        <v>Trimestral</v>
      </c>
      <c r="Z380" s="469">
        <f t="shared" si="217"/>
        <v>188</v>
      </c>
      <c r="AA380" s="499">
        <f t="shared" si="228"/>
        <v>1.2235758547163498</v>
      </c>
      <c r="AB380" s="499">
        <f t="shared" si="228"/>
        <v>1.2044735226531362</v>
      </c>
      <c r="AC380" s="469" t="str">
        <f t="shared" si="229"/>
        <v>Familiar CB</v>
      </c>
      <c r="AD380" s="469" t="s">
        <v>454</v>
      </c>
      <c r="AG380" s="605">
        <f>+IF(Tabla3[[#This Row],[Amortización k | cupón de intereses]]="Amortización de K",Tabla3[[#This Row],[Valor Nominal]],0)</f>
        <v>0</v>
      </c>
      <c r="AH380" s="605">
        <f>+IF(AND(Tabla3[[#This Row],[Amortización k | cupón de intereses]]="Cupón de interés",Tabla3[[#This Row],[Estado]]="Vigente"),Tabla3[[#This Row],[Valor Nominal]],0)</f>
        <v>4660.26</v>
      </c>
      <c r="AI380" s="618">
        <f>+IF(Tabla3[[#This Row],[Amortización k | cupón de intereses]]="Amortización de K",SUMIFS($AH$7:$AH$557,Tabla3[Código Emisión],Tabla3[[#This Row],[Código Emisión]],Tabla3[Fecha de operación],Tabla3[[#This Row],[Fecha de operación]]),0)-Tabla3[[#This Row],[Accrued]]*Tabla3[[#This Row],[Valor Nominal]]</f>
        <v>0</v>
      </c>
      <c r="AJ380" s="605">
        <f>+IF(Tabla3[[#This Row],[Amortización k | cupón de intereses]]="Amortización de K",IF(Tabla3[[#This Row],[Precio Clean]]&gt;1,Tabla3[[#This Row],[Valor Nominal]]*(Tabla3[[#This Row],[Precio Clean]]-1),0),0)</f>
        <v>0</v>
      </c>
      <c r="AK380" s="605">
        <f>+IF(Tabla3[[#This Row],[Amortización k | cupón de intereses]]="Amortización de K",IF(Tabla3[[#This Row],[Precio Clean]]&lt;1,Tabla3[[#This Row],[Valor Nominal]]*(Tabla3[[#This Row],[Precio Clean]]-1),0),0)</f>
        <v>0</v>
      </c>
    </row>
    <row r="381" spans="1:37">
      <c r="A381" s="502"/>
      <c r="B381" s="437" t="str">
        <f t="shared" si="226"/>
        <v>Solar Banco SAECA</v>
      </c>
      <c r="C381" s="437" t="str">
        <f t="shared" si="226"/>
        <v>SAF_6,30%_12072027_AA3505-10_50K</v>
      </c>
      <c r="D381" s="437" t="str">
        <f t="shared" si="226"/>
        <v>CDA</v>
      </c>
      <c r="E381" s="437" t="str">
        <f t="shared" si="226"/>
        <v>Apy</v>
      </c>
      <c r="F381" s="437" t="str">
        <f t="shared" si="226"/>
        <v>Financiero</v>
      </c>
      <c r="G381" s="437" t="str">
        <f t="shared" si="226"/>
        <v>Paraguay</v>
      </c>
      <c r="H381" s="437">
        <f t="shared" si="226"/>
        <v>6</v>
      </c>
      <c r="I381" s="492">
        <v>776.71</v>
      </c>
      <c r="J381" s="451"/>
      <c r="L381" s="442"/>
      <c r="M381" s="493"/>
      <c r="N381" s="493"/>
      <c r="O381" s="494">
        <f t="shared" si="227"/>
        <v>6.3437947630882258E-2</v>
      </c>
      <c r="P381" s="494">
        <f t="shared" si="227"/>
        <v>6.196552095428487E-2</v>
      </c>
      <c r="Q381" s="450">
        <f t="shared" si="227"/>
        <v>46030</v>
      </c>
      <c r="R381" s="450">
        <v>46210</v>
      </c>
      <c r="S381" s="509" t="s">
        <v>146</v>
      </c>
      <c r="T381" s="510">
        <f>Tabla3[[#This Row],[Cantidad]]*Tabla3[[#This Row],[Cortes]]</f>
        <v>4660.26</v>
      </c>
      <c r="U381" s="511">
        <f t="shared" si="202"/>
        <v>4583.9314750195344</v>
      </c>
      <c r="V381" s="511">
        <f t="shared" si="203"/>
        <v>4583.1590910483101</v>
      </c>
      <c r="W381" s="497">
        <f>IF(Tabla3[[#This Row],[Fecha de operación]]=$C$1,0,U381-V381)</f>
        <v>0.77238397122437163</v>
      </c>
      <c r="X381" s="512" t="str">
        <f t="shared" si="216"/>
        <v>Vigente</v>
      </c>
      <c r="Y381" s="498" t="str">
        <f t="shared" si="230"/>
        <v>Trimestral</v>
      </c>
      <c r="Z381" s="469">
        <f t="shared" si="217"/>
        <v>98</v>
      </c>
      <c r="AA381" s="499">
        <f t="shared" si="228"/>
        <v>1.2235758547163498</v>
      </c>
      <c r="AB381" s="499">
        <f t="shared" si="228"/>
        <v>1.2044735226531362</v>
      </c>
      <c r="AC381" s="469" t="str">
        <f t="shared" si="229"/>
        <v>Familiar CB</v>
      </c>
      <c r="AD381" s="469" t="s">
        <v>454</v>
      </c>
      <c r="AG381" s="605">
        <f>+IF(Tabla3[[#This Row],[Amortización k | cupón de intereses]]="Amortización de K",Tabla3[[#This Row],[Valor Nominal]],0)</f>
        <v>0</v>
      </c>
      <c r="AH381" s="605">
        <f>+IF(AND(Tabla3[[#This Row],[Amortización k | cupón de intereses]]="Cupón de interés",Tabla3[[#This Row],[Estado]]="Vigente"),Tabla3[[#This Row],[Valor Nominal]],0)</f>
        <v>4660.26</v>
      </c>
      <c r="AI381" s="618">
        <f>+IF(Tabla3[[#This Row],[Amortización k | cupón de intereses]]="Amortización de K",SUMIFS($AH$7:$AH$557,Tabla3[Código Emisión],Tabla3[[#This Row],[Código Emisión]],Tabla3[Fecha de operación],Tabla3[[#This Row],[Fecha de operación]]),0)-Tabla3[[#This Row],[Accrued]]*Tabla3[[#This Row],[Valor Nominal]]</f>
        <v>0</v>
      </c>
      <c r="AJ381" s="605">
        <f>+IF(Tabla3[[#This Row],[Amortización k | cupón de intereses]]="Amortización de K",IF(Tabla3[[#This Row],[Precio Clean]]&gt;1,Tabla3[[#This Row],[Valor Nominal]]*(Tabla3[[#This Row],[Precio Clean]]-1),0),0)</f>
        <v>0</v>
      </c>
      <c r="AK381" s="605">
        <f>+IF(Tabla3[[#This Row],[Amortización k | cupón de intereses]]="Amortización de K",IF(Tabla3[[#This Row],[Precio Clean]]&lt;1,Tabla3[[#This Row],[Valor Nominal]]*(Tabla3[[#This Row],[Precio Clean]]-1),0),0)</f>
        <v>0</v>
      </c>
    </row>
    <row r="382" spans="1:37">
      <c r="A382" s="502"/>
      <c r="B382" s="437" t="str">
        <f t="shared" si="226"/>
        <v>Solar Banco SAECA</v>
      </c>
      <c r="C382" s="437" t="str">
        <f t="shared" si="226"/>
        <v>SAF_6,30%_12072027_AA3505-10_50K</v>
      </c>
      <c r="D382" s="437" t="str">
        <f t="shared" si="226"/>
        <v>CDA</v>
      </c>
      <c r="E382" s="437" t="str">
        <f t="shared" si="226"/>
        <v>Apy</v>
      </c>
      <c r="F382" s="437" t="str">
        <f t="shared" si="226"/>
        <v>Financiero</v>
      </c>
      <c r="G382" s="437" t="str">
        <f t="shared" si="226"/>
        <v>Paraguay</v>
      </c>
      <c r="H382" s="437">
        <f t="shared" si="226"/>
        <v>6</v>
      </c>
      <c r="I382" s="492">
        <v>776.71</v>
      </c>
      <c r="J382" s="451"/>
      <c r="L382" s="442"/>
      <c r="M382" s="493"/>
      <c r="N382" s="493"/>
      <c r="O382" s="494">
        <f t="shared" si="227"/>
        <v>6.3437947630882258E-2</v>
      </c>
      <c r="P382" s="494">
        <f t="shared" si="227"/>
        <v>6.196552095428487E-2</v>
      </c>
      <c r="Q382" s="450">
        <f t="shared" si="227"/>
        <v>46030</v>
      </c>
      <c r="R382" s="450">
        <v>46120</v>
      </c>
      <c r="S382" s="509" t="s">
        <v>146</v>
      </c>
      <c r="T382" s="510">
        <f>Tabla3[[#This Row],[Cantidad]]*Tabla3[[#This Row],[Cortes]]</f>
        <v>4660.26</v>
      </c>
      <c r="U382" s="511">
        <f t="shared" si="202"/>
        <v>4653.9817420063473</v>
      </c>
      <c r="V382" s="511">
        <f t="shared" si="203"/>
        <v>4653.1975546947597</v>
      </c>
      <c r="W382" s="497">
        <f>IF(Tabla3[[#This Row],[Fecha de operación]]=$C$1,0,U382-V382)</f>
        <v>0.78418731158762967</v>
      </c>
      <c r="X382" s="512" t="str">
        <f t="shared" si="216"/>
        <v>Vigente</v>
      </c>
      <c r="Y382" s="498" t="str">
        <f t="shared" si="230"/>
        <v>Trimestral</v>
      </c>
      <c r="Z382" s="469">
        <f t="shared" si="217"/>
        <v>8</v>
      </c>
      <c r="AA382" s="499">
        <f t="shared" si="228"/>
        <v>1.2235758547163498</v>
      </c>
      <c r="AB382" s="499">
        <f t="shared" si="228"/>
        <v>1.2044735226531362</v>
      </c>
      <c r="AC382" s="469" t="str">
        <f t="shared" si="229"/>
        <v>Familiar CB</v>
      </c>
      <c r="AD382" s="469" t="s">
        <v>454</v>
      </c>
      <c r="AG382" s="605">
        <f>+IF(Tabla3[[#This Row],[Amortización k | cupón de intereses]]="Amortización de K",Tabla3[[#This Row],[Valor Nominal]],0)</f>
        <v>0</v>
      </c>
      <c r="AH382" s="605">
        <f>+IF(AND(Tabla3[[#This Row],[Amortización k | cupón de intereses]]="Cupón de interés",Tabla3[[#This Row],[Estado]]="Vigente"),Tabla3[[#This Row],[Valor Nominal]],0)</f>
        <v>4660.26</v>
      </c>
      <c r="AI382" s="618">
        <f>+IF(Tabla3[[#This Row],[Amortización k | cupón de intereses]]="Amortización de K",SUMIFS($AH$7:$AH$557,Tabla3[Código Emisión],Tabla3[[#This Row],[Código Emisión]],Tabla3[Fecha de operación],Tabla3[[#This Row],[Fecha de operación]]),0)-Tabla3[[#This Row],[Accrued]]*Tabla3[[#This Row],[Valor Nominal]]</f>
        <v>0</v>
      </c>
      <c r="AJ382" s="605">
        <f>+IF(Tabla3[[#This Row],[Amortización k | cupón de intereses]]="Amortización de K",IF(Tabla3[[#This Row],[Precio Clean]]&gt;1,Tabla3[[#This Row],[Valor Nominal]]*(Tabla3[[#This Row],[Precio Clean]]-1),0),0)</f>
        <v>0</v>
      </c>
      <c r="AK382" s="605">
        <f>+IF(Tabla3[[#This Row],[Amortización k | cupón de intereses]]="Amortización de K",IF(Tabla3[[#This Row],[Precio Clean]]&lt;1,Tabla3[[#This Row],[Valor Nominal]]*(Tabla3[[#This Row],[Precio Clean]]-1),0),0)</f>
        <v>0</v>
      </c>
    </row>
    <row r="383" spans="1:37" ht="15">
      <c r="A383" s="500">
        <f>+A376+1</f>
        <v>38</v>
      </c>
      <c r="B383" s="475" t="s">
        <v>489</v>
      </c>
      <c r="C383" s="475" t="s">
        <v>609</v>
      </c>
      <c r="D383" s="475" t="s">
        <v>453</v>
      </c>
      <c r="E383" s="475" t="s">
        <v>491</v>
      </c>
      <c r="F383" s="475" t="s">
        <v>297</v>
      </c>
      <c r="G383" s="475" t="s">
        <v>298</v>
      </c>
      <c r="H383" s="475">
        <v>5</v>
      </c>
      <c r="I383" s="477">
        <v>50000</v>
      </c>
      <c r="J383" s="478">
        <v>6.5000000000000002E-2</v>
      </c>
      <c r="K383" s="479">
        <v>46042</v>
      </c>
      <c r="L383" s="478">
        <f>+Tabla3[[#This Row],[Tasa de Interés]]*($U$5-Tabla3[[#This Row],[Last coupon]])/365</f>
        <v>1.2465753424657534E-2</v>
      </c>
      <c r="M383" s="480">
        <f>+Tabla3[[#This Row],[Precio Dirty]]-Tabla3[[#This Row],[Accrued]]</f>
        <v>1.0012138512322988</v>
      </c>
      <c r="N383" s="481">
        <f>SUMIFS(U:U,C:C,C383,Q:Q,Q383)/SUMIFS(T:T,C:C,C383,Q:Q,Q383,AD:AD,"Amortización de K")</f>
        <v>1.0136796046569563</v>
      </c>
      <c r="O383" s="482">
        <v>6.5562775731086737E-2</v>
      </c>
      <c r="P383" s="482">
        <v>6.40098459499443E-2</v>
      </c>
      <c r="Q383" s="484">
        <v>46042</v>
      </c>
      <c r="R383" s="484">
        <v>46594</v>
      </c>
      <c r="S383" s="504" t="s">
        <v>146</v>
      </c>
      <c r="T383" s="505">
        <f>Tabla3[[#This Row],[Cantidad]]*Tabla3[[#This Row],[Cortes]]</f>
        <v>250000</v>
      </c>
      <c r="U383" s="576">
        <f t="shared" si="202"/>
        <v>229890.25574990793</v>
      </c>
      <c r="V383" s="576">
        <f t="shared" si="203"/>
        <v>229850.26267826473</v>
      </c>
      <c r="W383" s="505">
        <f>IF(Tabla3[[#This Row],[Fecha de operación]]=$C$1,0,U383-V383)</f>
        <v>39.993071643199073</v>
      </c>
      <c r="X383" s="507" t="str">
        <f t="shared" si="216"/>
        <v>Vigente</v>
      </c>
      <c r="Y383" s="489" t="s">
        <v>450</v>
      </c>
      <c r="Z383" s="488">
        <f t="shared" si="217"/>
        <v>482</v>
      </c>
      <c r="AA383" s="508">
        <f>IF(Y383="Mensual",DURATION($C$1,$C$1+Z383*12,J383/12,O383/12,1)/12,DURATION($C$1,R383,J383,O383,IF(Y383="Cupón cero",1,IF(Y383="Al vencimiento",1,IF(Y383="Anual",1,IF(Y383="Semestral",2,IF(Y383="Trimestral",4,"")))))))</f>
        <v>1.26071643963517</v>
      </c>
      <c r="AB383" s="508">
        <f>IF(Y383="Mensual",MDURATION($C$1,$C$1+Z383*12,J383/12,O383/12,1)/12,MDURATION($C$1,R383,J383,O383,IF(Y383="Cupón cero",1,IF(Y383="Al vencimiento",1,IF(Y383="Anual",1,IF(Y383="Semestral",2,IF(Y383="Trimestral",4,"")))))))</f>
        <v>1.2403856579569974</v>
      </c>
      <c r="AC383" s="488" t="s">
        <v>451</v>
      </c>
      <c r="AD383" s="488" t="s">
        <v>452</v>
      </c>
      <c r="AG383" s="605">
        <f>+IF(Tabla3[[#This Row],[Amortización k | cupón de intereses]]="Amortización de K",Tabla3[[#This Row],[Valor Nominal]],0)</f>
        <v>250000</v>
      </c>
      <c r="AH383" s="605">
        <f>+IF(AND(Tabla3[[#This Row],[Amortización k | cupón de intereses]]="Cupón de interés",Tabla3[[#This Row],[Estado]]="Vigente"),Tabla3[[#This Row],[Valor Nominal]],0)</f>
        <v>0</v>
      </c>
      <c r="AI383" s="618">
        <f>+IF(Tabla3[[#This Row],[Amortización k | cupón de intereses]]="Amortización de K",SUMIFS($AH$7:$AH$557,Tabla3[Código Emisión],Tabla3[[#This Row],[Código Emisión]],Tabla3[Fecha de operación],Tabla3[[#This Row],[Fecha de operación]]),0)-Tabla3[[#This Row],[Accrued]]*Tabla3[[#This Row],[Valor Nominal]]</f>
        <v>21458.91164383561</v>
      </c>
      <c r="AJ383" s="605">
        <f>+IF(Tabla3[[#This Row],[Amortización k | cupón de intereses]]="Amortización de K",IF(Tabla3[[#This Row],[Precio Clean]]&gt;1,Tabla3[[#This Row],[Valor Nominal]]*(Tabla3[[#This Row],[Precio Clean]]-1),0),0)</f>
        <v>303.46280807469486</v>
      </c>
      <c r="AK383" s="605">
        <f>+IF(Tabla3[[#This Row],[Amortización k | cupón de intereses]]="Amortización de K",IF(Tabla3[[#This Row],[Precio Clean]]&lt;1,Tabla3[[#This Row],[Valor Nominal]]*(Tabla3[[#This Row],[Precio Clean]]-1),0),0)</f>
        <v>0</v>
      </c>
    </row>
    <row r="384" spans="1:37">
      <c r="A384" s="502"/>
      <c r="B384" s="437" t="str">
        <f t="shared" ref="B384:C389" si="231">+B383</f>
        <v>Financiera FIC SAECA</v>
      </c>
      <c r="C384" s="437" t="str">
        <f t="shared" si="231"/>
        <v>FIC_6,50%_26072027_AA1946-55_50K</v>
      </c>
      <c r="D384" s="437" t="s">
        <v>453</v>
      </c>
      <c r="E384" s="437" t="s">
        <v>491</v>
      </c>
      <c r="F384" s="437" t="s">
        <v>297</v>
      </c>
      <c r="G384" s="437" t="s">
        <v>298</v>
      </c>
      <c r="H384" s="437">
        <f t="shared" ref="H384:H389" si="232">+H383</f>
        <v>5</v>
      </c>
      <c r="I384" s="445">
        <v>908.23</v>
      </c>
      <c r="J384" s="462"/>
      <c r="K384" s="450"/>
      <c r="L384" s="462"/>
      <c r="M384" s="493"/>
      <c r="N384" s="493"/>
      <c r="O384" s="516">
        <f t="shared" ref="O384:Q389" si="233">+O383</f>
        <v>6.5562775731086737E-2</v>
      </c>
      <c r="P384" s="516">
        <f t="shared" si="233"/>
        <v>6.40098459499443E-2</v>
      </c>
      <c r="Q384" s="450">
        <f t="shared" si="233"/>
        <v>46042</v>
      </c>
      <c r="R384" s="450">
        <v>46594</v>
      </c>
      <c r="S384" s="509" t="s">
        <v>146</v>
      </c>
      <c r="T384" s="510">
        <f>Tabla3[[#This Row],[Cantidad]]*Tabla3[[#This Row],[Cortes]]</f>
        <v>4541.1499999999996</v>
      </c>
      <c r="U384" s="511">
        <f t="shared" si="202"/>
        <v>4175.8645395947769</v>
      </c>
      <c r="V384" s="511">
        <f t="shared" si="203"/>
        <v>4175.138081445607</v>
      </c>
      <c r="W384" s="497">
        <f>IF(Tabla3[[#This Row],[Fecha de operación]]=$C$1,0,U384-V384)</f>
        <v>0.72645814916995732</v>
      </c>
      <c r="X384" s="512" t="str">
        <f t="shared" si="216"/>
        <v>Vigente</v>
      </c>
      <c r="Y384" s="517" t="s">
        <v>450</v>
      </c>
      <c r="Z384" s="449">
        <f t="shared" si="217"/>
        <v>482</v>
      </c>
      <c r="AA384" s="518">
        <f t="shared" ref="AA384:AB389" si="234">+AA383</f>
        <v>1.26071643963517</v>
      </c>
      <c r="AB384" s="518">
        <f t="shared" si="234"/>
        <v>1.2403856579569974</v>
      </c>
      <c r="AC384" s="449" t="s">
        <v>451</v>
      </c>
      <c r="AD384" s="449" t="s">
        <v>454</v>
      </c>
      <c r="AG384" s="605">
        <f>+IF(Tabla3[[#This Row],[Amortización k | cupón de intereses]]="Amortización de K",Tabla3[[#This Row],[Valor Nominal]],0)</f>
        <v>0</v>
      </c>
      <c r="AH384" s="605">
        <f>+IF(AND(Tabla3[[#This Row],[Amortización k | cupón de intereses]]="Cupón de interés",Tabla3[[#This Row],[Estado]]="Vigente"),Tabla3[[#This Row],[Valor Nominal]],0)</f>
        <v>4541.1499999999996</v>
      </c>
      <c r="AI384" s="618">
        <f>+IF(Tabla3[[#This Row],[Amortización k | cupón de intereses]]="Amortización de K",SUMIFS($AH$7:$AH$557,Tabla3[Código Emisión],Tabla3[[#This Row],[Código Emisión]],Tabla3[Fecha de operación],Tabla3[[#This Row],[Fecha de operación]]),0)-Tabla3[[#This Row],[Accrued]]*Tabla3[[#This Row],[Valor Nominal]]</f>
        <v>0</v>
      </c>
      <c r="AJ384" s="605">
        <f>+IF(Tabla3[[#This Row],[Amortización k | cupón de intereses]]="Amortización de K",IF(Tabla3[[#This Row],[Precio Clean]]&gt;1,Tabla3[[#This Row],[Valor Nominal]]*(Tabla3[[#This Row],[Precio Clean]]-1),0),0)</f>
        <v>0</v>
      </c>
      <c r="AK384" s="605">
        <f>+IF(Tabla3[[#This Row],[Amortización k | cupón de intereses]]="Amortización de K",IF(Tabla3[[#This Row],[Precio Clean]]&lt;1,Tabla3[[#This Row],[Valor Nominal]]*(Tabla3[[#This Row],[Precio Clean]]-1),0),0)</f>
        <v>0</v>
      </c>
    </row>
    <row r="385" spans="1:37">
      <c r="A385" s="502"/>
      <c r="B385" s="437" t="str">
        <f t="shared" si="231"/>
        <v>Financiera FIC SAECA</v>
      </c>
      <c r="C385" s="437" t="str">
        <f t="shared" si="231"/>
        <v>FIC_6,50%_26072027_AA1946-55_50K</v>
      </c>
      <c r="D385" s="437" t="s">
        <v>453</v>
      </c>
      <c r="E385" s="437" t="s">
        <v>491</v>
      </c>
      <c r="F385" s="437" t="s">
        <v>297</v>
      </c>
      <c r="G385" s="437" t="s">
        <v>298</v>
      </c>
      <c r="H385" s="437">
        <f t="shared" si="232"/>
        <v>5</v>
      </c>
      <c r="I385" s="445">
        <v>801.37</v>
      </c>
      <c r="J385" s="462"/>
      <c r="K385" s="450"/>
      <c r="L385" s="462"/>
      <c r="M385" s="493"/>
      <c r="N385" s="493"/>
      <c r="O385" s="516">
        <f t="shared" si="233"/>
        <v>6.5562775731086737E-2</v>
      </c>
      <c r="P385" s="516">
        <f t="shared" si="233"/>
        <v>6.40098459499443E-2</v>
      </c>
      <c r="Q385" s="450">
        <f t="shared" si="233"/>
        <v>46042</v>
      </c>
      <c r="R385" s="450">
        <v>46492</v>
      </c>
      <c r="S385" s="509" t="s">
        <v>146</v>
      </c>
      <c r="T385" s="510">
        <f>Tabla3[[#This Row],[Cantidad]]*Tabla3[[#This Row],[Cortes]]</f>
        <v>4006.85</v>
      </c>
      <c r="U385" s="511">
        <f t="shared" si="202"/>
        <v>3750.51285899406</v>
      </c>
      <c r="V385" s="511">
        <f t="shared" si="203"/>
        <v>3749.8603975446645</v>
      </c>
      <c r="W385" s="497">
        <f>IF(Tabla3[[#This Row],[Fecha de operación]]=$C$1,0,U385-V385)</f>
        <v>0.65246144939555961</v>
      </c>
      <c r="X385" s="512" t="str">
        <f t="shared" si="216"/>
        <v>Vigente</v>
      </c>
      <c r="Y385" s="517" t="s">
        <v>450</v>
      </c>
      <c r="Z385" s="449">
        <f t="shared" si="217"/>
        <v>380</v>
      </c>
      <c r="AA385" s="518">
        <f t="shared" si="234"/>
        <v>1.26071643963517</v>
      </c>
      <c r="AB385" s="518">
        <f t="shared" si="234"/>
        <v>1.2403856579569974</v>
      </c>
      <c r="AC385" s="449" t="s">
        <v>451</v>
      </c>
      <c r="AD385" s="449" t="s">
        <v>454</v>
      </c>
      <c r="AG385" s="605">
        <f>+IF(Tabla3[[#This Row],[Amortización k | cupón de intereses]]="Amortización de K",Tabla3[[#This Row],[Valor Nominal]],0)</f>
        <v>0</v>
      </c>
      <c r="AH385" s="605">
        <f>+IF(AND(Tabla3[[#This Row],[Amortización k | cupón de intereses]]="Cupón de interés",Tabla3[[#This Row],[Estado]]="Vigente"),Tabla3[[#This Row],[Valor Nominal]],0)</f>
        <v>4006.85</v>
      </c>
      <c r="AI385" s="618">
        <f>+IF(Tabla3[[#This Row],[Amortización k | cupón de intereses]]="Amortización de K",SUMIFS($AH$7:$AH$557,Tabla3[Código Emisión],Tabla3[[#This Row],[Código Emisión]],Tabla3[Fecha de operación],Tabla3[[#This Row],[Fecha de operación]]),0)-Tabla3[[#This Row],[Accrued]]*Tabla3[[#This Row],[Valor Nominal]]</f>
        <v>0</v>
      </c>
      <c r="AJ385" s="605">
        <f>+IF(Tabla3[[#This Row],[Amortización k | cupón de intereses]]="Amortización de K",IF(Tabla3[[#This Row],[Precio Clean]]&gt;1,Tabla3[[#This Row],[Valor Nominal]]*(Tabla3[[#This Row],[Precio Clean]]-1),0),0)</f>
        <v>0</v>
      </c>
      <c r="AK385" s="605">
        <f>+IF(Tabla3[[#This Row],[Amortización k | cupón de intereses]]="Amortización de K",IF(Tabla3[[#This Row],[Precio Clean]]&lt;1,Tabla3[[#This Row],[Valor Nominal]]*(Tabla3[[#This Row],[Precio Clean]]-1),0),0)</f>
        <v>0</v>
      </c>
    </row>
    <row r="386" spans="1:37">
      <c r="A386" s="502"/>
      <c r="B386" s="437" t="str">
        <f t="shared" si="231"/>
        <v>Financiera FIC SAECA</v>
      </c>
      <c r="C386" s="437" t="str">
        <f t="shared" si="231"/>
        <v>FIC_6,50%_26072027_AA1946-55_50K</v>
      </c>
      <c r="D386" s="437" t="s">
        <v>453</v>
      </c>
      <c r="E386" s="437" t="s">
        <v>491</v>
      </c>
      <c r="F386" s="437" t="s">
        <v>297</v>
      </c>
      <c r="G386" s="437" t="s">
        <v>298</v>
      </c>
      <c r="H386" s="437">
        <f t="shared" si="232"/>
        <v>5</v>
      </c>
      <c r="I386" s="445">
        <v>783.56</v>
      </c>
      <c r="J386" s="462"/>
      <c r="K386" s="450"/>
      <c r="L386" s="462"/>
      <c r="M386" s="493"/>
      <c r="N386" s="493"/>
      <c r="O386" s="516">
        <f t="shared" si="233"/>
        <v>6.5562775731086737E-2</v>
      </c>
      <c r="P386" s="516">
        <f t="shared" si="233"/>
        <v>6.40098459499443E-2</v>
      </c>
      <c r="Q386" s="450">
        <f t="shared" si="233"/>
        <v>46042</v>
      </c>
      <c r="R386" s="450">
        <v>46402</v>
      </c>
      <c r="S386" s="509" t="s">
        <v>146</v>
      </c>
      <c r="T386" s="510">
        <f>Tabla3[[#This Row],[Cantidad]]*Tabla3[[#This Row],[Cortes]]</f>
        <v>3917.7999999999997</v>
      </c>
      <c r="U386" s="511">
        <f t="shared" si="202"/>
        <v>3725.0331975406907</v>
      </c>
      <c r="V386" s="511">
        <f t="shared" si="203"/>
        <v>3724.3851686842409</v>
      </c>
      <c r="W386" s="497">
        <f>IF(Tabla3[[#This Row],[Fecha de operación]]=$C$1,0,U386-V386)</f>
        <v>0.64802885644985508</v>
      </c>
      <c r="X386" s="512" t="str">
        <f t="shared" si="216"/>
        <v>Vigente</v>
      </c>
      <c r="Y386" s="517" t="s">
        <v>450</v>
      </c>
      <c r="Z386" s="449">
        <f t="shared" si="217"/>
        <v>290</v>
      </c>
      <c r="AA386" s="518">
        <f t="shared" si="234"/>
        <v>1.26071643963517</v>
      </c>
      <c r="AB386" s="518">
        <f t="shared" si="234"/>
        <v>1.2403856579569974</v>
      </c>
      <c r="AC386" s="449" t="s">
        <v>451</v>
      </c>
      <c r="AD386" s="449" t="s">
        <v>454</v>
      </c>
      <c r="AG386" s="605">
        <f>+IF(Tabla3[[#This Row],[Amortización k | cupón de intereses]]="Amortización de K",Tabla3[[#This Row],[Valor Nominal]],0)</f>
        <v>0</v>
      </c>
      <c r="AH386" s="605">
        <f>+IF(AND(Tabla3[[#This Row],[Amortización k | cupón de intereses]]="Cupón de interés",Tabla3[[#This Row],[Estado]]="Vigente"),Tabla3[[#This Row],[Valor Nominal]],0)</f>
        <v>3917.7999999999997</v>
      </c>
      <c r="AI386" s="618">
        <f>+IF(Tabla3[[#This Row],[Amortización k | cupón de intereses]]="Amortización de K",SUMIFS($AH$7:$AH$557,Tabla3[Código Emisión],Tabla3[[#This Row],[Código Emisión]],Tabla3[Fecha de operación],Tabla3[[#This Row],[Fecha de operación]]),0)-Tabla3[[#This Row],[Accrued]]*Tabla3[[#This Row],[Valor Nominal]]</f>
        <v>0</v>
      </c>
      <c r="AJ386" s="605">
        <f>+IF(Tabla3[[#This Row],[Amortización k | cupón de intereses]]="Amortización de K",IF(Tabla3[[#This Row],[Precio Clean]]&gt;1,Tabla3[[#This Row],[Valor Nominal]]*(Tabla3[[#This Row],[Precio Clean]]-1),0),0)</f>
        <v>0</v>
      </c>
      <c r="AK386" s="605">
        <f>+IF(Tabla3[[#This Row],[Amortización k | cupón de intereses]]="Amortización de K",IF(Tabla3[[#This Row],[Precio Clean]]&lt;1,Tabla3[[#This Row],[Valor Nominal]]*(Tabla3[[#This Row],[Precio Clean]]-1),0),0)</f>
        <v>0</v>
      </c>
    </row>
    <row r="387" spans="1:37">
      <c r="A387" s="502"/>
      <c r="B387" s="437" t="str">
        <f t="shared" si="231"/>
        <v>Financiera FIC SAECA</v>
      </c>
      <c r="C387" s="437" t="str">
        <f t="shared" si="231"/>
        <v>FIC_6,50%_26072027_AA1946-55_50K</v>
      </c>
      <c r="D387" s="437" t="s">
        <v>453</v>
      </c>
      <c r="E387" s="437" t="s">
        <v>491</v>
      </c>
      <c r="F387" s="437" t="s">
        <v>297</v>
      </c>
      <c r="G387" s="437" t="s">
        <v>298</v>
      </c>
      <c r="H387" s="437">
        <f t="shared" si="232"/>
        <v>5</v>
      </c>
      <c r="I387" s="445">
        <v>810.27</v>
      </c>
      <c r="J387" s="462"/>
      <c r="K387" s="450"/>
      <c r="L387" s="462"/>
      <c r="M387" s="493"/>
      <c r="N387" s="493"/>
      <c r="O387" s="516">
        <f t="shared" si="233"/>
        <v>6.5562775731086737E-2</v>
      </c>
      <c r="P387" s="516">
        <f t="shared" si="233"/>
        <v>6.40098459499443E-2</v>
      </c>
      <c r="Q387" s="450">
        <f t="shared" si="233"/>
        <v>46042</v>
      </c>
      <c r="R387" s="450">
        <v>46314</v>
      </c>
      <c r="S387" s="509" t="s">
        <v>146</v>
      </c>
      <c r="T387" s="510">
        <f>Tabla3[[#This Row],[Cantidad]]*Tabla3[[#This Row],[Cortes]]</f>
        <v>4051.35</v>
      </c>
      <c r="U387" s="511">
        <f t="shared" si="202"/>
        <v>3911.4415325417312</v>
      </c>
      <c r="V387" s="511">
        <f t="shared" si="203"/>
        <v>3910.7610749863252</v>
      </c>
      <c r="W387" s="497">
        <f>IF(Tabla3[[#This Row],[Fecha de operación]]=$C$1,0,U387-V387)</f>
        <v>0.68045755540606478</v>
      </c>
      <c r="X387" s="512" t="str">
        <f t="shared" si="216"/>
        <v>Vigente</v>
      </c>
      <c r="Y387" s="517" t="s">
        <v>450</v>
      </c>
      <c r="Z387" s="449">
        <f t="shared" si="217"/>
        <v>202</v>
      </c>
      <c r="AA387" s="518">
        <f t="shared" si="234"/>
        <v>1.26071643963517</v>
      </c>
      <c r="AB387" s="518">
        <f t="shared" si="234"/>
        <v>1.2403856579569974</v>
      </c>
      <c r="AC387" s="449" t="s">
        <v>451</v>
      </c>
      <c r="AD387" s="449" t="s">
        <v>454</v>
      </c>
      <c r="AG387" s="605">
        <f>+IF(Tabla3[[#This Row],[Amortización k | cupón de intereses]]="Amortización de K",Tabla3[[#This Row],[Valor Nominal]],0)</f>
        <v>0</v>
      </c>
      <c r="AH387" s="605">
        <f>+IF(AND(Tabla3[[#This Row],[Amortización k | cupón de intereses]]="Cupón de interés",Tabla3[[#This Row],[Estado]]="Vigente"),Tabla3[[#This Row],[Valor Nominal]],0)</f>
        <v>4051.35</v>
      </c>
      <c r="AI387" s="618">
        <f>+IF(Tabla3[[#This Row],[Amortización k | cupón de intereses]]="Amortización de K",SUMIFS($AH$7:$AH$557,Tabla3[Código Emisión],Tabla3[[#This Row],[Código Emisión]],Tabla3[Fecha de operación],Tabla3[[#This Row],[Fecha de operación]]),0)-Tabla3[[#This Row],[Accrued]]*Tabla3[[#This Row],[Valor Nominal]]</f>
        <v>0</v>
      </c>
      <c r="AJ387" s="605">
        <f>+IF(Tabla3[[#This Row],[Amortización k | cupón de intereses]]="Amortización de K",IF(Tabla3[[#This Row],[Precio Clean]]&gt;1,Tabla3[[#This Row],[Valor Nominal]]*(Tabla3[[#This Row],[Precio Clean]]-1),0),0)</f>
        <v>0</v>
      </c>
      <c r="AK387" s="605">
        <f>+IF(Tabla3[[#This Row],[Amortización k | cupón de intereses]]="Amortización de K",IF(Tabla3[[#This Row],[Precio Clean]]&lt;1,Tabla3[[#This Row],[Valor Nominal]]*(Tabla3[[#This Row],[Precio Clean]]-1),0),0)</f>
        <v>0</v>
      </c>
    </row>
    <row r="388" spans="1:37">
      <c r="A388" s="502"/>
      <c r="B388" s="437" t="str">
        <f t="shared" si="231"/>
        <v>Financiera FIC SAECA</v>
      </c>
      <c r="C388" s="437" t="str">
        <f t="shared" si="231"/>
        <v>FIC_6,50%_26072027_AA1946-55_50K</v>
      </c>
      <c r="D388" s="437" t="s">
        <v>453</v>
      </c>
      <c r="E388" s="437" t="s">
        <v>491</v>
      </c>
      <c r="F388" s="437" t="s">
        <v>297</v>
      </c>
      <c r="G388" s="437" t="s">
        <v>298</v>
      </c>
      <c r="H388" s="437">
        <f t="shared" si="232"/>
        <v>5</v>
      </c>
      <c r="I388" s="445">
        <v>810.27</v>
      </c>
      <c r="J388" s="462"/>
      <c r="K388" s="450"/>
      <c r="L388" s="462"/>
      <c r="M388" s="493"/>
      <c r="N388" s="493"/>
      <c r="O388" s="516">
        <f t="shared" si="233"/>
        <v>6.5562775731086737E-2</v>
      </c>
      <c r="P388" s="516">
        <f t="shared" si="233"/>
        <v>6.40098459499443E-2</v>
      </c>
      <c r="Q388" s="450">
        <f t="shared" si="233"/>
        <v>46042</v>
      </c>
      <c r="R388" s="450">
        <v>46223</v>
      </c>
      <c r="S388" s="509" t="s">
        <v>146</v>
      </c>
      <c r="T388" s="510">
        <f>Tabla3[[#This Row],[Cantidad]]*Tabla3[[#This Row],[Cortes]]</f>
        <v>4051.35</v>
      </c>
      <c r="U388" s="511">
        <f t="shared" si="202"/>
        <v>3973.8613771124501</v>
      </c>
      <c r="V388" s="511">
        <f t="shared" si="203"/>
        <v>3973.1700606308668</v>
      </c>
      <c r="W388" s="497">
        <f>IF(Tabla3[[#This Row],[Fecha de operación]]=$C$1,0,U388-V388)</f>
        <v>0.69131648158327152</v>
      </c>
      <c r="X388" s="512" t="str">
        <f t="shared" si="216"/>
        <v>Vigente</v>
      </c>
      <c r="Y388" s="517" t="s">
        <v>450</v>
      </c>
      <c r="Z388" s="449">
        <f t="shared" si="217"/>
        <v>111</v>
      </c>
      <c r="AA388" s="518">
        <f t="shared" si="234"/>
        <v>1.26071643963517</v>
      </c>
      <c r="AB388" s="518">
        <f t="shared" si="234"/>
        <v>1.2403856579569974</v>
      </c>
      <c r="AC388" s="449" t="s">
        <v>451</v>
      </c>
      <c r="AD388" s="449" t="s">
        <v>454</v>
      </c>
      <c r="AG388" s="605">
        <f>+IF(Tabla3[[#This Row],[Amortización k | cupón de intereses]]="Amortización de K",Tabla3[[#This Row],[Valor Nominal]],0)</f>
        <v>0</v>
      </c>
      <c r="AH388" s="605">
        <f>+IF(AND(Tabla3[[#This Row],[Amortización k | cupón de intereses]]="Cupón de interés",Tabla3[[#This Row],[Estado]]="Vigente"),Tabla3[[#This Row],[Valor Nominal]],0)</f>
        <v>4051.35</v>
      </c>
      <c r="AI388" s="618">
        <f>+IF(Tabla3[[#This Row],[Amortización k | cupón de intereses]]="Amortización de K",SUMIFS($AH$7:$AH$557,Tabla3[Código Emisión],Tabla3[[#This Row],[Código Emisión]],Tabla3[Fecha de operación],Tabla3[[#This Row],[Fecha de operación]]),0)-Tabla3[[#This Row],[Accrued]]*Tabla3[[#This Row],[Valor Nominal]]</f>
        <v>0</v>
      </c>
      <c r="AJ388" s="605">
        <f>+IF(Tabla3[[#This Row],[Amortización k | cupón de intereses]]="Amortización de K",IF(Tabla3[[#This Row],[Precio Clean]]&gt;1,Tabla3[[#This Row],[Valor Nominal]]*(Tabla3[[#This Row],[Precio Clean]]-1),0),0)</f>
        <v>0</v>
      </c>
      <c r="AK388" s="605">
        <f>+IF(Tabla3[[#This Row],[Amortización k | cupón de intereses]]="Amortización de K",IF(Tabla3[[#This Row],[Precio Clean]]&lt;1,Tabla3[[#This Row],[Valor Nominal]]*(Tabla3[[#This Row],[Precio Clean]]-1),0),0)</f>
        <v>0</v>
      </c>
    </row>
    <row r="389" spans="1:37">
      <c r="A389" s="502"/>
      <c r="B389" s="437" t="str">
        <f t="shared" si="231"/>
        <v>Financiera FIC SAECA</v>
      </c>
      <c r="C389" s="437" t="str">
        <f t="shared" si="231"/>
        <v>FIC_6,50%_26072027_AA1946-55_50K</v>
      </c>
      <c r="D389" s="437" t="s">
        <v>453</v>
      </c>
      <c r="E389" s="437" t="s">
        <v>491</v>
      </c>
      <c r="F389" s="437" t="s">
        <v>297</v>
      </c>
      <c r="G389" s="437" t="s">
        <v>298</v>
      </c>
      <c r="H389" s="437">
        <f t="shared" si="232"/>
        <v>5</v>
      </c>
      <c r="I389" s="445">
        <v>801.37</v>
      </c>
      <c r="J389" s="462"/>
      <c r="K389" s="450"/>
      <c r="L389" s="462"/>
      <c r="M389" s="493"/>
      <c r="N389" s="493"/>
      <c r="O389" s="516">
        <f t="shared" si="233"/>
        <v>6.5562775731086737E-2</v>
      </c>
      <c r="P389" s="516">
        <f t="shared" si="233"/>
        <v>6.40098459499443E-2</v>
      </c>
      <c r="Q389" s="450">
        <f t="shared" si="233"/>
        <v>46042</v>
      </c>
      <c r="R389" s="450">
        <v>46132</v>
      </c>
      <c r="S389" s="509" t="s">
        <v>146</v>
      </c>
      <c r="T389" s="510">
        <f>Tabla3[[#This Row],[Cantidad]]*Tabla3[[#This Row],[Cortes]]</f>
        <v>4006.85</v>
      </c>
      <c r="U389" s="511">
        <f t="shared" si="202"/>
        <v>3992.9319085474144</v>
      </c>
      <c r="V389" s="511">
        <f t="shared" si="203"/>
        <v>3992.2372744431368</v>
      </c>
      <c r="W389" s="497">
        <f>IF(Tabla3[[#This Row],[Fecha de operación]]=$C$1,0,U389-V389)</f>
        <v>0.69463410427761119</v>
      </c>
      <c r="X389" s="512" t="str">
        <f t="shared" si="216"/>
        <v>Vigente</v>
      </c>
      <c r="Y389" s="517" t="s">
        <v>450</v>
      </c>
      <c r="Z389" s="449">
        <f t="shared" si="217"/>
        <v>20</v>
      </c>
      <c r="AA389" s="518">
        <f t="shared" si="234"/>
        <v>1.26071643963517</v>
      </c>
      <c r="AB389" s="518">
        <f t="shared" si="234"/>
        <v>1.2403856579569974</v>
      </c>
      <c r="AC389" s="449" t="s">
        <v>451</v>
      </c>
      <c r="AD389" s="449" t="s">
        <v>454</v>
      </c>
      <c r="AG389" s="605">
        <f>+IF(Tabla3[[#This Row],[Amortización k | cupón de intereses]]="Amortización de K",Tabla3[[#This Row],[Valor Nominal]],0)</f>
        <v>0</v>
      </c>
      <c r="AH389" s="605">
        <f>+IF(AND(Tabla3[[#This Row],[Amortización k | cupón de intereses]]="Cupón de interés",Tabla3[[#This Row],[Estado]]="Vigente"),Tabla3[[#This Row],[Valor Nominal]],0)</f>
        <v>4006.85</v>
      </c>
      <c r="AI389" s="618">
        <f>+IF(Tabla3[[#This Row],[Amortización k | cupón de intereses]]="Amortización de K",SUMIFS($AH$7:$AH$557,Tabla3[Código Emisión],Tabla3[[#This Row],[Código Emisión]],Tabla3[Fecha de operación],Tabla3[[#This Row],[Fecha de operación]]),0)-Tabla3[[#This Row],[Accrued]]*Tabla3[[#This Row],[Valor Nominal]]</f>
        <v>0</v>
      </c>
      <c r="AJ389" s="605">
        <f>+IF(Tabla3[[#This Row],[Amortización k | cupón de intereses]]="Amortización de K",IF(Tabla3[[#This Row],[Precio Clean]]&gt;1,Tabla3[[#This Row],[Valor Nominal]]*(Tabla3[[#This Row],[Precio Clean]]-1),0),0)</f>
        <v>0</v>
      </c>
      <c r="AK389" s="605">
        <f>+IF(Tabla3[[#This Row],[Amortización k | cupón de intereses]]="Amortización de K",IF(Tabla3[[#This Row],[Precio Clean]]&lt;1,Tabla3[[#This Row],[Valor Nominal]]*(Tabla3[[#This Row],[Precio Clean]]-1),0),0)</f>
        <v>0</v>
      </c>
    </row>
    <row r="390" spans="1:37" ht="15">
      <c r="A390" s="500">
        <f>+A383+1</f>
        <v>39</v>
      </c>
      <c r="B390" s="475" t="s">
        <v>489</v>
      </c>
      <c r="C390" s="475" t="s">
        <v>609</v>
      </c>
      <c r="D390" s="475" t="s">
        <v>453</v>
      </c>
      <c r="E390" s="475" t="s">
        <v>491</v>
      </c>
      <c r="F390" s="475" t="s">
        <v>297</v>
      </c>
      <c r="G390" s="475" t="s">
        <v>298</v>
      </c>
      <c r="H390" s="475">
        <v>5</v>
      </c>
      <c r="I390" s="477">
        <v>50000</v>
      </c>
      <c r="J390" s="478">
        <v>6.5000000000000002E-2</v>
      </c>
      <c r="K390" s="479">
        <v>46042</v>
      </c>
      <c r="L390" s="478">
        <f>+Tabla3[[#This Row],[Tasa de Interés]]*($U$5-Tabla3[[#This Row],[Last coupon]])/365</f>
        <v>1.2465753424657534E-2</v>
      </c>
      <c r="M390" s="480">
        <f>+Tabla3[[#This Row],[Precio Dirty]]-Tabla3[[#This Row],[Accrued]]</f>
        <v>1.0011736342882409</v>
      </c>
      <c r="N390" s="481">
        <f>SUMIFS(U:U,C:C,C390,Q:Q,Q390)/SUMIFS(T:T,C:C,C390,Q:Q,Q390,AD:AD,"Amortización de K")</f>
        <v>1.0136393877128984</v>
      </c>
      <c r="O390" s="482">
        <v>6.5596303343772894E-2</v>
      </c>
      <c r="P390" s="482">
        <v>6.4041813785034485E-2</v>
      </c>
      <c r="Q390" s="484">
        <v>46048</v>
      </c>
      <c r="R390" s="484">
        <v>46594</v>
      </c>
      <c r="S390" s="504" t="s">
        <v>146</v>
      </c>
      <c r="T390" s="505">
        <f>Tabla3[[#This Row],[Cantidad]]*Tabla3[[#This Row],[Cortes]]</f>
        <v>250000</v>
      </c>
      <c r="U390" s="576">
        <f t="shared" si="202"/>
        <v>229880.70401033966</v>
      </c>
      <c r="V390" s="576">
        <f t="shared" si="203"/>
        <v>229840.69278734652</v>
      </c>
      <c r="W390" s="505">
        <f>IF(Tabla3[[#This Row],[Fecha de operación]]=$C$1,0,U390-V390)</f>
        <v>40.011222993140109</v>
      </c>
      <c r="X390" s="507" t="str">
        <f t="shared" si="216"/>
        <v>Vigente</v>
      </c>
      <c r="Y390" s="489" t="s">
        <v>450</v>
      </c>
      <c r="Z390" s="488">
        <f t="shared" si="217"/>
        <v>482</v>
      </c>
      <c r="AA390" s="508">
        <f>IF(Y390="Mensual",DURATION($C$1,$C$1+Z390*12,J390/12,O390/12,1)/12,DURATION($C$1,R390,J390,O390,IF(Y390="Cupón cero",1,IF(Y390="Al vencimiento",1,IF(Y390="Anual",1,IF(Y390="Semestral",2,IF(Y390="Trimestral",4,"")))))))</f>
        <v>1.2607147653945803</v>
      </c>
      <c r="AB390" s="508">
        <f>IF(Y390="Mensual",MDURATION($C$1,$C$1+Z390*12,J390/12,O390/12,1)/12,MDURATION($C$1,R390,J390,O390,IF(Y390="Cupón cero",1,IF(Y390="Al vencimiento",1,IF(Y390="Anual",1,IF(Y390="Semestral",2,IF(Y390="Trimestral",4,"")))))))</f>
        <v>1.2403737816838316</v>
      </c>
      <c r="AC390" s="488" t="s">
        <v>451</v>
      </c>
      <c r="AD390" s="488" t="s">
        <v>452</v>
      </c>
      <c r="AG390" s="605">
        <f>+IF(Tabla3[[#This Row],[Amortización k | cupón de intereses]]="Amortización de K",Tabla3[[#This Row],[Valor Nominal]],0)</f>
        <v>250000</v>
      </c>
      <c r="AH390" s="605">
        <f>+IF(AND(Tabla3[[#This Row],[Amortización k | cupón de intereses]]="Cupón de interés",Tabla3[[#This Row],[Estado]]="Vigente"),Tabla3[[#This Row],[Valor Nominal]],0)</f>
        <v>0</v>
      </c>
      <c r="AI390" s="618">
        <f>+IF(Tabla3[[#This Row],[Amortización k | cupón de intereses]]="Amortización de K",SUMIFS($AH$7:$AH$557,Tabla3[Código Emisión],Tabla3[[#This Row],[Código Emisión]],Tabla3[Fecha de operación],Tabla3[[#This Row],[Fecha de operación]]),0)-Tabla3[[#This Row],[Accrued]]*Tabla3[[#This Row],[Valor Nominal]]</f>
        <v>21458.91164383561</v>
      </c>
      <c r="AJ390" s="605">
        <f>+IF(Tabla3[[#This Row],[Amortización k | cupón de intereses]]="Amortización de K",IF(Tabla3[[#This Row],[Precio Clean]]&gt;1,Tabla3[[#This Row],[Valor Nominal]]*(Tabla3[[#This Row],[Precio Clean]]-1),0),0)</f>
        <v>293.40857206022753</v>
      </c>
      <c r="AK390" s="605">
        <f>+IF(Tabla3[[#This Row],[Amortización k | cupón de intereses]]="Amortización de K",IF(Tabla3[[#This Row],[Precio Clean]]&lt;1,Tabla3[[#This Row],[Valor Nominal]]*(Tabla3[[#This Row],[Precio Clean]]-1),0),0)</f>
        <v>0</v>
      </c>
    </row>
    <row r="391" spans="1:37">
      <c r="A391" s="502"/>
      <c r="B391" s="437" t="str">
        <f t="shared" ref="B391:C396" si="235">+B390</f>
        <v>Financiera FIC SAECA</v>
      </c>
      <c r="C391" s="437" t="str">
        <f t="shared" si="235"/>
        <v>FIC_6,50%_26072027_AA1946-55_50K</v>
      </c>
      <c r="D391" s="437" t="s">
        <v>453</v>
      </c>
      <c r="E391" s="437" t="s">
        <v>491</v>
      </c>
      <c r="F391" s="437" t="s">
        <v>297</v>
      </c>
      <c r="G391" s="437" t="s">
        <v>298</v>
      </c>
      <c r="H391" s="437">
        <f t="shared" ref="H391:H409" si="236">+H390</f>
        <v>5</v>
      </c>
      <c r="I391" s="445">
        <v>908.23</v>
      </c>
      <c r="J391" s="462"/>
      <c r="K391" s="450"/>
      <c r="L391" s="462"/>
      <c r="M391" s="493"/>
      <c r="N391" s="493"/>
      <c r="O391" s="516">
        <f t="shared" ref="O391:Q396" si="237">+O390</f>
        <v>6.5596303343772894E-2</v>
      </c>
      <c r="P391" s="516">
        <f t="shared" si="237"/>
        <v>6.4041813785034485E-2</v>
      </c>
      <c r="Q391" s="450">
        <f t="shared" si="237"/>
        <v>46048</v>
      </c>
      <c r="R391" s="450">
        <v>46594</v>
      </c>
      <c r="S391" s="509" t="s">
        <v>146</v>
      </c>
      <c r="T391" s="510">
        <f>Tabla3[[#This Row],[Cantidad]]*Tabla3[[#This Row],[Cortes]]</f>
        <v>4541.1499999999996</v>
      </c>
      <c r="U391" s="511">
        <f t="shared" si="202"/>
        <v>4175.691036066215</v>
      </c>
      <c r="V391" s="511">
        <f t="shared" si="203"/>
        <v>4174.9642482050349</v>
      </c>
      <c r="W391" s="497">
        <f>IF(Tabla3[[#This Row],[Fecha de operación]]=$C$1,0,U391-V391)</f>
        <v>0.72678786118012795</v>
      </c>
      <c r="X391" s="512" t="str">
        <f t="shared" si="216"/>
        <v>Vigente</v>
      </c>
      <c r="Y391" s="517" t="s">
        <v>450</v>
      </c>
      <c r="Z391" s="449">
        <f t="shared" si="217"/>
        <v>482</v>
      </c>
      <c r="AA391" s="518">
        <f t="shared" ref="AA391:AB396" si="238">+AA390</f>
        <v>1.2607147653945803</v>
      </c>
      <c r="AB391" s="518">
        <f t="shared" si="238"/>
        <v>1.2403737816838316</v>
      </c>
      <c r="AC391" s="449" t="s">
        <v>451</v>
      </c>
      <c r="AD391" s="449" t="s">
        <v>454</v>
      </c>
      <c r="AG391" s="605">
        <f>+IF(Tabla3[[#This Row],[Amortización k | cupón de intereses]]="Amortización de K",Tabla3[[#This Row],[Valor Nominal]],0)</f>
        <v>0</v>
      </c>
      <c r="AH391" s="605">
        <f>+IF(AND(Tabla3[[#This Row],[Amortización k | cupón de intereses]]="Cupón de interés",Tabla3[[#This Row],[Estado]]="Vigente"),Tabla3[[#This Row],[Valor Nominal]],0)</f>
        <v>4541.1499999999996</v>
      </c>
      <c r="AI391" s="618">
        <f>+IF(Tabla3[[#This Row],[Amortización k | cupón de intereses]]="Amortización de K",SUMIFS($AH$7:$AH$557,Tabla3[Código Emisión],Tabla3[[#This Row],[Código Emisión]],Tabla3[Fecha de operación],Tabla3[[#This Row],[Fecha de operación]]),0)-Tabla3[[#This Row],[Accrued]]*Tabla3[[#This Row],[Valor Nominal]]</f>
        <v>0</v>
      </c>
      <c r="AJ391" s="605">
        <f>+IF(Tabla3[[#This Row],[Amortización k | cupón de intereses]]="Amortización de K",IF(Tabla3[[#This Row],[Precio Clean]]&gt;1,Tabla3[[#This Row],[Valor Nominal]]*(Tabla3[[#This Row],[Precio Clean]]-1),0),0)</f>
        <v>0</v>
      </c>
      <c r="AK391" s="605">
        <f>+IF(Tabla3[[#This Row],[Amortización k | cupón de intereses]]="Amortización de K",IF(Tabla3[[#This Row],[Precio Clean]]&lt;1,Tabla3[[#This Row],[Valor Nominal]]*(Tabla3[[#This Row],[Precio Clean]]-1),0),0)</f>
        <v>0</v>
      </c>
    </row>
    <row r="392" spans="1:37">
      <c r="A392" s="502"/>
      <c r="B392" s="437" t="str">
        <f t="shared" si="235"/>
        <v>Financiera FIC SAECA</v>
      </c>
      <c r="C392" s="437" t="str">
        <f t="shared" si="235"/>
        <v>FIC_6,50%_26072027_AA1946-55_50K</v>
      </c>
      <c r="D392" s="437" t="s">
        <v>453</v>
      </c>
      <c r="E392" s="437" t="s">
        <v>491</v>
      </c>
      <c r="F392" s="437" t="s">
        <v>297</v>
      </c>
      <c r="G392" s="437" t="s">
        <v>298</v>
      </c>
      <c r="H392" s="437">
        <f t="shared" si="236"/>
        <v>5</v>
      </c>
      <c r="I392" s="445">
        <v>801.37</v>
      </c>
      <c r="J392" s="462"/>
      <c r="K392" s="450"/>
      <c r="L392" s="462"/>
      <c r="M392" s="493"/>
      <c r="N392" s="493"/>
      <c r="O392" s="516">
        <f t="shared" si="237"/>
        <v>6.5596303343772894E-2</v>
      </c>
      <c r="P392" s="516">
        <f t="shared" si="237"/>
        <v>6.4041813785034485E-2</v>
      </c>
      <c r="Q392" s="450">
        <f t="shared" si="237"/>
        <v>46048</v>
      </c>
      <c r="R392" s="450">
        <v>46492</v>
      </c>
      <c r="S392" s="509" t="s">
        <v>146</v>
      </c>
      <c r="T392" s="510">
        <f>Tabla3[[#This Row],[Cantidad]]*Tabla3[[#This Row],[Cortes]]</f>
        <v>4006.85</v>
      </c>
      <c r="U392" s="511">
        <f t="shared" si="202"/>
        <v>3750.390004503372</v>
      </c>
      <c r="V392" s="511">
        <f t="shared" si="203"/>
        <v>3749.7372411867318</v>
      </c>
      <c r="W392" s="497">
        <f>IF(Tabla3[[#This Row],[Fecha de operación]]=$C$1,0,U392-V392)</f>
        <v>0.65276331664017562</v>
      </c>
      <c r="X392" s="512" t="str">
        <f t="shared" si="216"/>
        <v>Vigente</v>
      </c>
      <c r="Y392" s="517" t="s">
        <v>450</v>
      </c>
      <c r="Z392" s="449">
        <f t="shared" si="217"/>
        <v>380</v>
      </c>
      <c r="AA392" s="518">
        <f t="shared" si="238"/>
        <v>1.2607147653945803</v>
      </c>
      <c r="AB392" s="518">
        <f t="shared" si="238"/>
        <v>1.2403737816838316</v>
      </c>
      <c r="AC392" s="449" t="s">
        <v>451</v>
      </c>
      <c r="AD392" s="449" t="s">
        <v>454</v>
      </c>
      <c r="AG392" s="605">
        <f>+IF(Tabla3[[#This Row],[Amortización k | cupón de intereses]]="Amortización de K",Tabla3[[#This Row],[Valor Nominal]],0)</f>
        <v>0</v>
      </c>
      <c r="AH392" s="605">
        <f>+IF(AND(Tabla3[[#This Row],[Amortización k | cupón de intereses]]="Cupón de interés",Tabla3[[#This Row],[Estado]]="Vigente"),Tabla3[[#This Row],[Valor Nominal]],0)</f>
        <v>4006.85</v>
      </c>
      <c r="AI392" s="618">
        <f>+IF(Tabla3[[#This Row],[Amortización k | cupón de intereses]]="Amortización de K",SUMIFS($AH$7:$AH$557,Tabla3[Código Emisión],Tabla3[[#This Row],[Código Emisión]],Tabla3[Fecha de operación],Tabla3[[#This Row],[Fecha de operación]]),0)-Tabla3[[#This Row],[Accrued]]*Tabla3[[#This Row],[Valor Nominal]]</f>
        <v>0</v>
      </c>
      <c r="AJ392" s="605">
        <f>+IF(Tabla3[[#This Row],[Amortización k | cupón de intereses]]="Amortización de K",IF(Tabla3[[#This Row],[Precio Clean]]&gt;1,Tabla3[[#This Row],[Valor Nominal]]*(Tabla3[[#This Row],[Precio Clean]]-1),0),0)</f>
        <v>0</v>
      </c>
      <c r="AK392" s="605">
        <f>+IF(Tabla3[[#This Row],[Amortización k | cupón de intereses]]="Amortización de K",IF(Tabla3[[#This Row],[Precio Clean]]&lt;1,Tabla3[[#This Row],[Valor Nominal]]*(Tabla3[[#This Row],[Precio Clean]]-1),0),0)</f>
        <v>0</v>
      </c>
    </row>
    <row r="393" spans="1:37">
      <c r="A393" s="502"/>
      <c r="B393" s="437" t="str">
        <f t="shared" si="235"/>
        <v>Financiera FIC SAECA</v>
      </c>
      <c r="C393" s="437" t="str">
        <f t="shared" si="235"/>
        <v>FIC_6,50%_26072027_AA1946-55_50K</v>
      </c>
      <c r="D393" s="437" t="s">
        <v>453</v>
      </c>
      <c r="E393" s="437" t="s">
        <v>491</v>
      </c>
      <c r="F393" s="437" t="s">
        <v>297</v>
      </c>
      <c r="G393" s="437" t="s">
        <v>298</v>
      </c>
      <c r="H393" s="437">
        <f t="shared" si="236"/>
        <v>5</v>
      </c>
      <c r="I393" s="445">
        <v>783.56</v>
      </c>
      <c r="J393" s="462"/>
      <c r="K393" s="450"/>
      <c r="L393" s="462"/>
      <c r="M393" s="493"/>
      <c r="N393" s="493"/>
      <c r="O393" s="516">
        <f t="shared" si="237"/>
        <v>6.5596303343772894E-2</v>
      </c>
      <c r="P393" s="516">
        <f t="shared" si="237"/>
        <v>6.4041813785034485E-2</v>
      </c>
      <c r="Q393" s="450">
        <f t="shared" si="237"/>
        <v>46048</v>
      </c>
      <c r="R393" s="450">
        <v>46402</v>
      </c>
      <c r="S393" s="509" t="s">
        <v>146</v>
      </c>
      <c r="T393" s="510">
        <f>Tabla3[[#This Row],[Cantidad]]*Tabla3[[#This Row],[Cortes]]</f>
        <v>3917.7999999999997</v>
      </c>
      <c r="U393" s="511">
        <f t="shared" si="202"/>
        <v>3724.940076759523</v>
      </c>
      <c r="V393" s="511">
        <f t="shared" si="203"/>
        <v>3724.2917430566627</v>
      </c>
      <c r="W393" s="497">
        <f>IF(Tabla3[[#This Row],[Fecha de operación]]=$C$1,0,U393-V393)</f>
        <v>0.64833370286032732</v>
      </c>
      <c r="X393" s="512" t="str">
        <f t="shared" si="216"/>
        <v>Vigente</v>
      </c>
      <c r="Y393" s="517" t="s">
        <v>450</v>
      </c>
      <c r="Z393" s="449">
        <f t="shared" si="217"/>
        <v>290</v>
      </c>
      <c r="AA393" s="518">
        <f t="shared" si="238"/>
        <v>1.2607147653945803</v>
      </c>
      <c r="AB393" s="518">
        <f t="shared" si="238"/>
        <v>1.2403737816838316</v>
      </c>
      <c r="AC393" s="449" t="s">
        <v>451</v>
      </c>
      <c r="AD393" s="449" t="s">
        <v>454</v>
      </c>
      <c r="AG393" s="605">
        <f>+IF(Tabla3[[#This Row],[Amortización k | cupón de intereses]]="Amortización de K",Tabla3[[#This Row],[Valor Nominal]],0)</f>
        <v>0</v>
      </c>
      <c r="AH393" s="605">
        <f>+IF(AND(Tabla3[[#This Row],[Amortización k | cupón de intereses]]="Cupón de interés",Tabla3[[#This Row],[Estado]]="Vigente"),Tabla3[[#This Row],[Valor Nominal]],0)</f>
        <v>3917.7999999999997</v>
      </c>
      <c r="AI393" s="618">
        <f>+IF(Tabla3[[#This Row],[Amortización k | cupón de intereses]]="Amortización de K",SUMIFS($AH$7:$AH$557,Tabla3[Código Emisión],Tabla3[[#This Row],[Código Emisión]],Tabla3[Fecha de operación],Tabla3[[#This Row],[Fecha de operación]]),0)-Tabla3[[#This Row],[Accrued]]*Tabla3[[#This Row],[Valor Nominal]]</f>
        <v>0</v>
      </c>
      <c r="AJ393" s="605">
        <f>+IF(Tabla3[[#This Row],[Amortización k | cupón de intereses]]="Amortización de K",IF(Tabla3[[#This Row],[Precio Clean]]&gt;1,Tabla3[[#This Row],[Valor Nominal]]*(Tabla3[[#This Row],[Precio Clean]]-1),0),0)</f>
        <v>0</v>
      </c>
      <c r="AK393" s="605">
        <f>+IF(Tabla3[[#This Row],[Amortización k | cupón de intereses]]="Amortización de K",IF(Tabla3[[#This Row],[Precio Clean]]&lt;1,Tabla3[[#This Row],[Valor Nominal]]*(Tabla3[[#This Row],[Precio Clean]]-1),0),0)</f>
        <v>0</v>
      </c>
    </row>
    <row r="394" spans="1:37">
      <c r="A394" s="502"/>
      <c r="B394" s="437" t="str">
        <f t="shared" si="235"/>
        <v>Financiera FIC SAECA</v>
      </c>
      <c r="C394" s="437" t="str">
        <f t="shared" si="235"/>
        <v>FIC_6,50%_26072027_AA1946-55_50K</v>
      </c>
      <c r="D394" s="437" t="s">
        <v>453</v>
      </c>
      <c r="E394" s="437" t="s">
        <v>491</v>
      </c>
      <c r="F394" s="437" t="s">
        <v>297</v>
      </c>
      <c r="G394" s="437" t="s">
        <v>298</v>
      </c>
      <c r="H394" s="437">
        <f t="shared" si="236"/>
        <v>5</v>
      </c>
      <c r="I394" s="445">
        <v>810.27</v>
      </c>
      <c r="J394" s="462"/>
      <c r="K394" s="450"/>
      <c r="L394" s="462"/>
      <c r="M394" s="493"/>
      <c r="N394" s="493"/>
      <c r="O394" s="516">
        <f t="shared" si="237"/>
        <v>6.5596303343772894E-2</v>
      </c>
      <c r="P394" s="516">
        <f t="shared" si="237"/>
        <v>6.4041813785034485E-2</v>
      </c>
      <c r="Q394" s="450">
        <f t="shared" si="237"/>
        <v>46048</v>
      </c>
      <c r="R394" s="450">
        <v>46314</v>
      </c>
      <c r="S394" s="509" t="s">
        <v>146</v>
      </c>
      <c r="T394" s="510">
        <f>Tabla3[[#This Row],[Cantidad]]*Tabla3[[#This Row],[Cortes]]</f>
        <v>4051.35</v>
      </c>
      <c r="U394" s="511">
        <f t="shared" ref="U394:U396" si="239">IF(X394="VIgente",(T394/(1+O394)^((R394-$U$5)/365)))</f>
        <v>3911.3734229425263</v>
      </c>
      <c r="V394" s="511">
        <f t="shared" ref="V394:V396" si="240">IF(X394="VIgente",(T394/(1+O394)^((R394-$V$5)/365)))</f>
        <v>3910.6926401212436</v>
      </c>
      <c r="W394" s="497">
        <f>IF(Tabla3[[#This Row],[Fecha de operación]]=$C$1,0,U394-V394)</f>
        <v>0.68078282128271894</v>
      </c>
      <c r="X394" s="512" t="str">
        <f t="shared" si="216"/>
        <v>Vigente</v>
      </c>
      <c r="Y394" s="517" t="s">
        <v>450</v>
      </c>
      <c r="Z394" s="449">
        <f t="shared" si="217"/>
        <v>202</v>
      </c>
      <c r="AA394" s="518">
        <f t="shared" si="238"/>
        <v>1.2607147653945803</v>
      </c>
      <c r="AB394" s="518">
        <f t="shared" si="238"/>
        <v>1.2403737816838316</v>
      </c>
      <c r="AC394" s="449" t="s">
        <v>451</v>
      </c>
      <c r="AD394" s="449" t="s">
        <v>454</v>
      </c>
      <c r="AG394" s="605">
        <f>+IF(Tabla3[[#This Row],[Amortización k | cupón de intereses]]="Amortización de K",Tabla3[[#This Row],[Valor Nominal]],0)</f>
        <v>0</v>
      </c>
      <c r="AH394" s="605">
        <f>+IF(AND(Tabla3[[#This Row],[Amortización k | cupón de intereses]]="Cupón de interés",Tabla3[[#This Row],[Estado]]="Vigente"),Tabla3[[#This Row],[Valor Nominal]],0)</f>
        <v>4051.35</v>
      </c>
      <c r="AI394" s="618">
        <f>+IF(Tabla3[[#This Row],[Amortización k | cupón de intereses]]="Amortización de K",SUMIFS($AH$7:$AH$557,Tabla3[Código Emisión],Tabla3[[#This Row],[Código Emisión]],Tabla3[Fecha de operación],Tabla3[[#This Row],[Fecha de operación]]),0)-Tabla3[[#This Row],[Accrued]]*Tabla3[[#This Row],[Valor Nominal]]</f>
        <v>0</v>
      </c>
      <c r="AJ394" s="605">
        <f>+IF(Tabla3[[#This Row],[Amortización k | cupón de intereses]]="Amortización de K",IF(Tabla3[[#This Row],[Precio Clean]]&gt;1,Tabla3[[#This Row],[Valor Nominal]]*(Tabla3[[#This Row],[Precio Clean]]-1),0),0)</f>
        <v>0</v>
      </c>
      <c r="AK394" s="605">
        <f>+IF(Tabla3[[#This Row],[Amortización k | cupón de intereses]]="Amortización de K",IF(Tabla3[[#This Row],[Precio Clean]]&lt;1,Tabla3[[#This Row],[Valor Nominal]]*(Tabla3[[#This Row],[Precio Clean]]-1),0),0)</f>
        <v>0</v>
      </c>
    </row>
    <row r="395" spans="1:37">
      <c r="A395" s="502"/>
      <c r="B395" s="437" t="str">
        <f t="shared" si="235"/>
        <v>Financiera FIC SAECA</v>
      </c>
      <c r="C395" s="437" t="str">
        <f t="shared" si="235"/>
        <v>FIC_6,50%_26072027_AA1946-55_50K</v>
      </c>
      <c r="D395" s="437" t="s">
        <v>453</v>
      </c>
      <c r="E395" s="437" t="s">
        <v>491</v>
      </c>
      <c r="F395" s="437" t="s">
        <v>297</v>
      </c>
      <c r="G395" s="437" t="s">
        <v>298</v>
      </c>
      <c r="H395" s="437">
        <f t="shared" si="236"/>
        <v>5</v>
      </c>
      <c r="I395" s="445">
        <v>810.27</v>
      </c>
      <c r="J395" s="462"/>
      <c r="K395" s="450"/>
      <c r="L395" s="462"/>
      <c r="M395" s="493"/>
      <c r="N395" s="493"/>
      <c r="O395" s="516">
        <f t="shared" si="237"/>
        <v>6.5596303343772894E-2</v>
      </c>
      <c r="P395" s="516">
        <f t="shared" si="237"/>
        <v>6.4041813785034485E-2</v>
      </c>
      <c r="Q395" s="450">
        <f t="shared" si="237"/>
        <v>46048</v>
      </c>
      <c r="R395" s="450">
        <v>46223</v>
      </c>
      <c r="S395" s="509" t="s">
        <v>146</v>
      </c>
      <c r="T395" s="510">
        <f>Tabla3[[#This Row],[Cantidad]]*Tabla3[[#This Row],[Cortes]]</f>
        <v>4051.35</v>
      </c>
      <c r="U395" s="511">
        <f t="shared" si="239"/>
        <v>3973.8233531381484</v>
      </c>
      <c r="V395" s="511">
        <f t="shared" si="240"/>
        <v>3973.1317007743619</v>
      </c>
      <c r="W395" s="497">
        <f>IF(Tabla3[[#This Row],[Fecha de operación]]=$C$1,0,U395-V395)</f>
        <v>0.69165236378648842</v>
      </c>
      <c r="X395" s="512" t="str">
        <f t="shared" si="216"/>
        <v>Vigente</v>
      </c>
      <c r="Y395" s="517" t="s">
        <v>450</v>
      </c>
      <c r="Z395" s="449">
        <f t="shared" si="217"/>
        <v>111</v>
      </c>
      <c r="AA395" s="518">
        <f t="shared" si="238"/>
        <v>1.2607147653945803</v>
      </c>
      <c r="AB395" s="518">
        <f t="shared" si="238"/>
        <v>1.2403737816838316</v>
      </c>
      <c r="AC395" s="449" t="s">
        <v>451</v>
      </c>
      <c r="AD395" s="449" t="s">
        <v>454</v>
      </c>
      <c r="AG395" s="605">
        <f>+IF(Tabla3[[#This Row],[Amortización k | cupón de intereses]]="Amortización de K",Tabla3[[#This Row],[Valor Nominal]],0)</f>
        <v>0</v>
      </c>
      <c r="AH395" s="605">
        <f>+IF(AND(Tabla3[[#This Row],[Amortización k | cupón de intereses]]="Cupón de interés",Tabla3[[#This Row],[Estado]]="Vigente"),Tabla3[[#This Row],[Valor Nominal]],0)</f>
        <v>4051.35</v>
      </c>
      <c r="AI395" s="618">
        <f>+IF(Tabla3[[#This Row],[Amortización k | cupón de intereses]]="Amortización de K",SUMIFS($AH$7:$AH$557,Tabla3[Código Emisión],Tabla3[[#This Row],[Código Emisión]],Tabla3[Fecha de operación],Tabla3[[#This Row],[Fecha de operación]]),0)-Tabla3[[#This Row],[Accrued]]*Tabla3[[#This Row],[Valor Nominal]]</f>
        <v>0</v>
      </c>
      <c r="AJ395" s="605">
        <f>+IF(Tabla3[[#This Row],[Amortización k | cupón de intereses]]="Amortización de K",IF(Tabla3[[#This Row],[Precio Clean]]&gt;1,Tabla3[[#This Row],[Valor Nominal]]*(Tabla3[[#This Row],[Precio Clean]]-1),0),0)</f>
        <v>0</v>
      </c>
      <c r="AK395" s="605">
        <f>+IF(Tabla3[[#This Row],[Amortización k | cupón de intereses]]="Amortización de K",IF(Tabla3[[#This Row],[Precio Clean]]&lt;1,Tabla3[[#This Row],[Valor Nominal]]*(Tabla3[[#This Row],[Precio Clean]]-1),0),0)</f>
        <v>0</v>
      </c>
    </row>
    <row r="396" spans="1:37">
      <c r="A396" s="502"/>
      <c r="B396" s="437" t="str">
        <f t="shared" si="235"/>
        <v>Financiera FIC SAECA</v>
      </c>
      <c r="C396" s="437" t="str">
        <f t="shared" si="235"/>
        <v>FIC_6,50%_26072027_AA1946-55_50K</v>
      </c>
      <c r="D396" s="437" t="s">
        <v>453</v>
      </c>
      <c r="E396" s="437" t="s">
        <v>491</v>
      </c>
      <c r="F396" s="437" t="s">
        <v>297</v>
      </c>
      <c r="G396" s="437" t="s">
        <v>298</v>
      </c>
      <c r="H396" s="437">
        <f t="shared" si="236"/>
        <v>5</v>
      </c>
      <c r="I396" s="445">
        <v>801.37</v>
      </c>
      <c r="J396" s="462"/>
      <c r="K396" s="450"/>
      <c r="L396" s="462"/>
      <c r="M396" s="493"/>
      <c r="N396" s="493"/>
      <c r="O396" s="516">
        <f t="shared" si="237"/>
        <v>6.5596303343772894E-2</v>
      </c>
      <c r="P396" s="516">
        <f t="shared" si="237"/>
        <v>6.4041813785034485E-2</v>
      </c>
      <c r="Q396" s="450">
        <f t="shared" si="237"/>
        <v>46048</v>
      </c>
      <c r="R396" s="450">
        <v>46132</v>
      </c>
      <c r="S396" s="509" t="s">
        <v>146</v>
      </c>
      <c r="T396" s="510">
        <f>Tabla3[[#This Row],[Cantidad]]*Tabla3[[#This Row],[Cortes]]</f>
        <v>4006.85</v>
      </c>
      <c r="U396" s="511">
        <f t="shared" si="239"/>
        <v>3992.9250244751752</v>
      </c>
      <c r="V396" s="511">
        <f t="shared" si="240"/>
        <v>3992.2300474250706</v>
      </c>
      <c r="W396" s="497">
        <f>IF(Tabla3[[#This Row],[Fecha de operación]]=$C$1,0,U396-V396)</f>
        <v>0.69497705010462596</v>
      </c>
      <c r="X396" s="512" t="str">
        <f t="shared" si="216"/>
        <v>Vigente</v>
      </c>
      <c r="Y396" s="517" t="s">
        <v>450</v>
      </c>
      <c r="Z396" s="449">
        <f t="shared" si="217"/>
        <v>20</v>
      </c>
      <c r="AA396" s="518">
        <f t="shared" si="238"/>
        <v>1.2607147653945803</v>
      </c>
      <c r="AB396" s="518">
        <f t="shared" si="238"/>
        <v>1.2403737816838316</v>
      </c>
      <c r="AC396" s="449" t="s">
        <v>451</v>
      </c>
      <c r="AD396" s="449" t="s">
        <v>454</v>
      </c>
      <c r="AG396" s="605">
        <f>+IF(Tabla3[[#This Row],[Amortización k | cupón de intereses]]="Amortización de K",Tabla3[[#This Row],[Valor Nominal]],0)</f>
        <v>0</v>
      </c>
      <c r="AH396" s="605">
        <f>+IF(AND(Tabla3[[#This Row],[Amortización k | cupón de intereses]]="Cupón de interés",Tabla3[[#This Row],[Estado]]="Vigente"),Tabla3[[#This Row],[Valor Nominal]],0)</f>
        <v>4006.85</v>
      </c>
      <c r="AI396" s="618">
        <f>+IF(Tabla3[[#This Row],[Amortización k | cupón de intereses]]="Amortización de K",SUMIFS($AH$7:$AH$557,Tabla3[Código Emisión],Tabla3[[#This Row],[Código Emisión]],Tabla3[Fecha de operación],Tabla3[[#This Row],[Fecha de operación]]),0)-Tabla3[[#This Row],[Accrued]]*Tabla3[[#This Row],[Valor Nominal]]</f>
        <v>0</v>
      </c>
      <c r="AJ396" s="605">
        <f>+IF(Tabla3[[#This Row],[Amortización k | cupón de intereses]]="Amortización de K",IF(Tabla3[[#This Row],[Precio Clean]]&gt;1,Tabla3[[#This Row],[Valor Nominal]]*(Tabla3[[#This Row],[Precio Clean]]-1),0),0)</f>
        <v>0</v>
      </c>
      <c r="AK396" s="605">
        <f>+IF(Tabla3[[#This Row],[Amortización k | cupón de intereses]]="Amortización de K",IF(Tabla3[[#This Row],[Precio Clean]]&lt;1,Tabla3[[#This Row],[Valor Nominal]]*(Tabla3[[#This Row],[Precio Clean]]-1),0),0)</f>
        <v>0</v>
      </c>
    </row>
    <row r="397" spans="1:37" ht="15">
      <c r="A397" s="500">
        <f>+A390+1</f>
        <v>40</v>
      </c>
      <c r="B397" s="475" t="s">
        <v>610</v>
      </c>
      <c r="C397" s="475" t="s">
        <v>611</v>
      </c>
      <c r="D397" s="475" t="s">
        <v>466</v>
      </c>
      <c r="E397" s="475" t="s">
        <v>612</v>
      </c>
      <c r="F397" s="475" t="s">
        <v>513</v>
      </c>
      <c r="G397" s="475" t="s">
        <v>613</v>
      </c>
      <c r="H397" s="475">
        <v>800</v>
      </c>
      <c r="I397" s="477">
        <v>1000</v>
      </c>
      <c r="J397" s="478">
        <v>4.6249999999999999E-2</v>
      </c>
      <c r="K397" s="479">
        <v>45963</v>
      </c>
      <c r="L397" s="478">
        <f>+Tabla3[[#This Row],[Tasa de Interés]]*($U$5-Tabla3[[#This Row],[Last coupon]])/365</f>
        <v>1.8880136986301369E-2</v>
      </c>
      <c r="M397" s="480">
        <f>+Tabla3[[#This Row],[Precio Dirty]]-Tabla3[[#This Row],[Accrued]]</f>
        <v>0.90450880731789318</v>
      </c>
      <c r="N397" s="481">
        <f>SUMIFS(U:U,C:C,C397,Q:Q,Q397)/SUMIFS(T:T,C:C,C397,Q:Q,Q397,AD:AD,"Amortización de K")</f>
        <v>0.9233889443041946</v>
      </c>
      <c r="O397" s="482">
        <v>6.7124060037483502E-2</v>
      </c>
      <c r="P397" s="482">
        <v>6.4041813785034485E-2</v>
      </c>
      <c r="Q397" s="484">
        <v>46050</v>
      </c>
      <c r="R397" s="484">
        <v>48154</v>
      </c>
      <c r="S397" s="504" t="s">
        <v>146</v>
      </c>
      <c r="T397" s="485">
        <f>Tabla3[[#This Row],[Cantidad]]*Tabla3[[#This Row],[Cortes]]</f>
        <v>800000</v>
      </c>
      <c r="U397" s="505">
        <f>IF(X397="VIgente",(T397/(1+O397)^((R397-$U$5)/360)))</f>
        <v>553412.20998153207</v>
      </c>
      <c r="V397" s="576">
        <f>IF(X397="VIgente",(T397/(1+O397)^((R397-$V$5)/360)))</f>
        <v>553312.34771098918</v>
      </c>
      <c r="W397" s="505">
        <f>IF(Tabla3[[#This Row],[Fecha de operación]]=$C$1,0,U397-V397)</f>
        <v>99.862270542886108</v>
      </c>
      <c r="X397" s="507" t="str">
        <f t="shared" si="216"/>
        <v>Vigente</v>
      </c>
      <c r="Y397" s="489" t="s">
        <v>488</v>
      </c>
      <c r="Z397" s="488">
        <f t="shared" si="217"/>
        <v>2042</v>
      </c>
      <c r="AA397" s="508">
        <f>IF(Y397="Mensual",DURATION($C$1,$C$1+Z397*12,J397/12,O397/12,1)/12,DURATION($C$1,R397,J397,O397,IF(Y397="Cupón cero",1,IF(Y397="Al vencimiento",1,IF(Y397="Anual",1,IF(Y397="Semestral",2,IF(Y397="Trimestral",4,"")))))))</f>
        <v>4.8469549046792846</v>
      </c>
      <c r="AB397" s="508">
        <f>IF(Y397="Mensual",MDURATION($C$1,$C$1+Z397*12,J397/12,O397/12,1)/12,MDURATION($C$1,R397,J397,O397,IF(Y397="Cupón cero",1,IF(Y397="Al vencimiento",1,IF(Y397="Anual",1,IF(Y397="Semestral",2,IF(Y397="Trimestral",4,"")))))))</f>
        <v>4.689563629375388</v>
      </c>
      <c r="AC397" s="488" t="s">
        <v>451</v>
      </c>
      <c r="AD397" s="488" t="s">
        <v>452</v>
      </c>
      <c r="AG397" s="605">
        <f>+IF(Tabla3[[#This Row],[Amortización k | cupón de intereses]]="Amortización de K",Tabla3[[#This Row],[Valor Nominal]],0)</f>
        <v>800000</v>
      </c>
      <c r="AH397" s="605">
        <f>+IF(AND(Tabla3[[#This Row],[Amortización k | cupón de intereses]]="Cupón de interés",Tabla3[[#This Row],[Estado]]="Vigente"),Tabla3[[#This Row],[Valor Nominal]],0)</f>
        <v>0</v>
      </c>
      <c r="AI397" s="618">
        <f>+IF(Tabla3[[#This Row],[Amortización k | cupón de intereses]]="Amortización de K",SUMIFS($AH$7:$AH$557,Tabla3[Código Emisión],Tabla3[[#This Row],[Código Emisión]],Tabla3[Fecha de operación],Tabla3[[#This Row],[Fecha de operación]]),0)-Tabla3[[#This Row],[Accrued]]*Tabla3[[#This Row],[Valor Nominal]]</f>
        <v>206895.89041095891</v>
      </c>
      <c r="AJ397" s="605">
        <f>+IF(Tabla3[[#This Row],[Amortización k | cupón de intereses]]="Amortización de K",IF(Tabla3[[#This Row],[Precio Clean]]&gt;1,Tabla3[[#This Row],[Valor Nominal]]*(Tabla3[[#This Row],[Precio Clean]]-1),0),0)</f>
        <v>0</v>
      </c>
      <c r="AK397" s="605">
        <f>+IF(Tabla3[[#This Row],[Amortización k | cupón de intereses]]="Amortización de K",IF(Tabla3[[#This Row],[Precio Clean]]&lt;1,Tabla3[[#This Row],[Valor Nominal]]*(Tabla3[[#This Row],[Precio Clean]]-1),0),0)</f>
        <v>-76392.954145685449</v>
      </c>
    </row>
    <row r="398" spans="1:37">
      <c r="A398" s="502"/>
      <c r="B398" s="437" t="str">
        <f t="shared" ref="B398:D409" si="241">+B397</f>
        <v>Ecopetrol S.A.</v>
      </c>
      <c r="C398" s="437" t="str">
        <f t="shared" si="241"/>
        <v>US279158AP43</v>
      </c>
      <c r="D398" s="437" t="str">
        <f>+D397</f>
        <v>Bonos en el exterior</v>
      </c>
      <c r="E398" s="437" t="s">
        <v>612</v>
      </c>
      <c r="F398" s="437" t="str">
        <f>+F397</f>
        <v>Corporativo</v>
      </c>
      <c r="G398" s="437" t="str">
        <f>+G397</f>
        <v>Colombia</v>
      </c>
      <c r="H398" s="437">
        <f t="shared" si="236"/>
        <v>800</v>
      </c>
      <c r="I398" s="445">
        <v>23.125</v>
      </c>
      <c r="J398" s="462"/>
      <c r="K398" s="450"/>
      <c r="L398" s="462"/>
      <c r="M398" s="493"/>
      <c r="N398" s="493"/>
      <c r="O398" s="516">
        <f t="shared" ref="O398:Q409" si="242">+O397</f>
        <v>6.7124060037483502E-2</v>
      </c>
      <c r="P398" s="516">
        <f t="shared" si="242"/>
        <v>6.4041813785034485E-2</v>
      </c>
      <c r="Q398" s="450">
        <f t="shared" si="242"/>
        <v>46050</v>
      </c>
      <c r="R398" s="450">
        <v>48154</v>
      </c>
      <c r="S398" s="509" t="s">
        <v>146</v>
      </c>
      <c r="T398" s="495">
        <f>Tabla3[[#This Row],[Cantidad]]*Tabla3[[#This Row],[Cortes]]</f>
        <v>18500</v>
      </c>
      <c r="U398" s="510">
        <f t="shared" ref="U398:U409" si="243">IF(X398="VIgente",(T398/(1+O398)^((R398-$U$5)/360)))</f>
        <v>12797.657355822928</v>
      </c>
      <c r="V398" s="511">
        <f t="shared" ref="V398:V409" si="244">IF(X398="VIgente",(T398/(1+O398)^((R398-$V$5)/360)))</f>
        <v>12795.348040816625</v>
      </c>
      <c r="W398" s="497">
        <f>IF(Tabla3[[#This Row],[Fecha de operación]]=$C$1,0,U398-V398)</f>
        <v>2.3093150063032226</v>
      </c>
      <c r="X398" s="512" t="str">
        <f t="shared" si="216"/>
        <v>Vigente</v>
      </c>
      <c r="Y398" s="517" t="str">
        <f>+Y397</f>
        <v>Semestral</v>
      </c>
      <c r="Z398" s="449">
        <f t="shared" si="217"/>
        <v>2042</v>
      </c>
      <c r="AA398" s="518">
        <f t="shared" ref="AA398:AB409" si="245">+AA397</f>
        <v>4.8469549046792846</v>
      </c>
      <c r="AB398" s="518">
        <f t="shared" si="245"/>
        <v>4.689563629375388</v>
      </c>
      <c r="AC398" s="449" t="s">
        <v>451</v>
      </c>
      <c r="AD398" s="449" t="s">
        <v>454</v>
      </c>
      <c r="AG398" s="605">
        <f>+IF(Tabla3[[#This Row],[Amortización k | cupón de intereses]]="Amortización de K",Tabla3[[#This Row],[Valor Nominal]],0)</f>
        <v>0</v>
      </c>
      <c r="AH398" s="605">
        <f>+IF(AND(Tabla3[[#This Row],[Amortización k | cupón de intereses]]="Cupón de interés",Tabla3[[#This Row],[Estado]]="Vigente"),Tabla3[[#This Row],[Valor Nominal]],0)</f>
        <v>18500</v>
      </c>
      <c r="AI398" s="618">
        <f>+IF(Tabla3[[#This Row],[Amortización k | cupón de intereses]]="Amortización de K",SUMIFS($AH$7:$AH$557,Tabla3[Código Emisión],Tabla3[[#This Row],[Código Emisión]],Tabla3[Fecha de operación],Tabla3[[#This Row],[Fecha de operación]]),0)-Tabla3[[#This Row],[Accrued]]*Tabla3[[#This Row],[Valor Nominal]]</f>
        <v>0</v>
      </c>
      <c r="AJ398" s="605">
        <f>+IF(Tabla3[[#This Row],[Amortización k | cupón de intereses]]="Amortización de K",IF(Tabla3[[#This Row],[Precio Clean]]&gt;1,Tabla3[[#This Row],[Valor Nominal]]*(Tabla3[[#This Row],[Precio Clean]]-1),0),0)</f>
        <v>0</v>
      </c>
      <c r="AK398" s="605">
        <f>+IF(Tabla3[[#This Row],[Amortización k | cupón de intereses]]="Amortización de K",IF(Tabla3[[#This Row],[Precio Clean]]&lt;1,Tabla3[[#This Row],[Valor Nominal]]*(Tabla3[[#This Row],[Precio Clean]]-1),0),0)</f>
        <v>0</v>
      </c>
    </row>
    <row r="399" spans="1:37">
      <c r="A399" s="502"/>
      <c r="B399" s="437" t="str">
        <f t="shared" si="241"/>
        <v>Ecopetrol S.A.</v>
      </c>
      <c r="C399" s="437" t="str">
        <f t="shared" si="241"/>
        <v>US279158AP43</v>
      </c>
      <c r="D399" s="437" t="str">
        <f t="shared" si="241"/>
        <v>Bonos en el exterior</v>
      </c>
      <c r="E399" s="437" t="s">
        <v>612</v>
      </c>
      <c r="F399" s="437" t="str">
        <f t="shared" ref="F399:G409" si="246">+F398</f>
        <v>Corporativo</v>
      </c>
      <c r="G399" s="437" t="str">
        <f t="shared" si="246"/>
        <v>Colombia</v>
      </c>
      <c r="H399" s="437">
        <f t="shared" si="236"/>
        <v>800</v>
      </c>
      <c r="I399" s="445">
        <v>23.125</v>
      </c>
      <c r="J399" s="462"/>
      <c r="K399" s="450"/>
      <c r="L399" s="462"/>
      <c r="M399" s="493"/>
      <c r="N399" s="493"/>
      <c r="O399" s="516">
        <f t="shared" si="242"/>
        <v>6.7124060037483502E-2</v>
      </c>
      <c r="P399" s="516">
        <f t="shared" si="242"/>
        <v>6.4041813785034485E-2</v>
      </c>
      <c r="Q399" s="450">
        <f t="shared" si="242"/>
        <v>46050</v>
      </c>
      <c r="R399" s="450">
        <v>47970</v>
      </c>
      <c r="S399" s="509" t="s">
        <v>146</v>
      </c>
      <c r="T399" s="495">
        <f>Tabla3[[#This Row],[Cantidad]]*Tabla3[[#This Row],[Cortes]]</f>
        <v>18500</v>
      </c>
      <c r="U399" s="510">
        <f t="shared" si="243"/>
        <v>13229.743775754449</v>
      </c>
      <c r="V399" s="511">
        <f t="shared" si="244"/>
        <v>13227.35649150535</v>
      </c>
      <c r="W399" s="497">
        <f>IF(Tabla3[[#This Row],[Fecha de operación]]=$C$1,0,U399-V399)</f>
        <v>2.3872842490982293</v>
      </c>
      <c r="X399" s="512" t="str">
        <f t="shared" si="216"/>
        <v>Vigente</v>
      </c>
      <c r="Y399" s="517" t="str">
        <f t="shared" ref="Y399:Y409" si="247">+Y398</f>
        <v>Semestral</v>
      </c>
      <c r="Z399" s="449">
        <f t="shared" si="217"/>
        <v>1858</v>
      </c>
      <c r="AA399" s="518">
        <f t="shared" si="245"/>
        <v>4.8469549046792846</v>
      </c>
      <c r="AB399" s="518">
        <f t="shared" si="245"/>
        <v>4.689563629375388</v>
      </c>
      <c r="AC399" s="449" t="s">
        <v>451</v>
      </c>
      <c r="AD399" s="449" t="s">
        <v>454</v>
      </c>
      <c r="AG399" s="605">
        <f>+IF(Tabla3[[#This Row],[Amortización k | cupón de intereses]]="Amortización de K",Tabla3[[#This Row],[Valor Nominal]],0)</f>
        <v>0</v>
      </c>
      <c r="AH399" s="605">
        <f>+IF(AND(Tabla3[[#This Row],[Amortización k | cupón de intereses]]="Cupón de interés",Tabla3[[#This Row],[Estado]]="Vigente"),Tabla3[[#This Row],[Valor Nominal]],0)</f>
        <v>18500</v>
      </c>
      <c r="AI399" s="618">
        <f>+IF(Tabla3[[#This Row],[Amortización k | cupón de intereses]]="Amortización de K",SUMIFS($AH$7:$AH$557,Tabla3[Código Emisión],Tabla3[[#This Row],[Código Emisión]],Tabla3[Fecha de operación],Tabla3[[#This Row],[Fecha de operación]]),0)-Tabla3[[#This Row],[Accrued]]*Tabla3[[#This Row],[Valor Nominal]]</f>
        <v>0</v>
      </c>
      <c r="AJ399" s="605">
        <f>+IF(Tabla3[[#This Row],[Amortización k | cupón de intereses]]="Amortización de K",IF(Tabla3[[#This Row],[Precio Clean]]&gt;1,Tabla3[[#This Row],[Valor Nominal]]*(Tabla3[[#This Row],[Precio Clean]]-1),0),0)</f>
        <v>0</v>
      </c>
      <c r="AK399" s="605">
        <f>+IF(Tabla3[[#This Row],[Amortización k | cupón de intereses]]="Amortización de K",IF(Tabla3[[#This Row],[Precio Clean]]&lt;1,Tabla3[[#This Row],[Valor Nominal]]*(Tabla3[[#This Row],[Precio Clean]]-1),0),0)</f>
        <v>0</v>
      </c>
    </row>
    <row r="400" spans="1:37">
      <c r="A400" s="502"/>
      <c r="B400" s="437" t="str">
        <f t="shared" si="241"/>
        <v>Ecopetrol S.A.</v>
      </c>
      <c r="C400" s="437" t="str">
        <f t="shared" si="241"/>
        <v>US279158AP43</v>
      </c>
      <c r="D400" s="437" t="str">
        <f t="shared" si="241"/>
        <v>Bonos en el exterior</v>
      </c>
      <c r="E400" s="437" t="s">
        <v>612</v>
      </c>
      <c r="F400" s="437" t="str">
        <f t="shared" si="246"/>
        <v>Corporativo</v>
      </c>
      <c r="G400" s="437" t="str">
        <f t="shared" si="246"/>
        <v>Colombia</v>
      </c>
      <c r="H400" s="437">
        <f t="shared" si="236"/>
        <v>800</v>
      </c>
      <c r="I400" s="445">
        <v>23.125</v>
      </c>
      <c r="J400" s="462"/>
      <c r="K400" s="450"/>
      <c r="L400" s="462"/>
      <c r="M400" s="493"/>
      <c r="N400" s="493"/>
      <c r="O400" s="516">
        <f t="shared" si="242"/>
        <v>6.7124060037483502E-2</v>
      </c>
      <c r="P400" s="516">
        <f t="shared" si="242"/>
        <v>6.4041813785034485E-2</v>
      </c>
      <c r="Q400" s="450">
        <f t="shared" si="242"/>
        <v>46050</v>
      </c>
      <c r="R400" s="450">
        <v>47789</v>
      </c>
      <c r="S400" s="509" t="s">
        <v>146</v>
      </c>
      <c r="T400" s="495">
        <f>Tabla3[[#This Row],[Cantidad]]*Tabla3[[#This Row],[Cortes]]</f>
        <v>18500</v>
      </c>
      <c r="U400" s="510">
        <f t="shared" si="243"/>
        <v>13669.016377600023</v>
      </c>
      <c r="V400" s="511">
        <f t="shared" si="244"/>
        <v>13666.549827374103</v>
      </c>
      <c r="W400" s="497">
        <f>IF(Tabla3[[#This Row],[Fecha de operación]]=$C$1,0,U400-V400)</f>
        <v>2.4665502259194909</v>
      </c>
      <c r="X400" s="512" t="str">
        <f t="shared" si="216"/>
        <v>Vigente</v>
      </c>
      <c r="Y400" s="517" t="str">
        <f t="shared" si="247"/>
        <v>Semestral</v>
      </c>
      <c r="Z400" s="449">
        <f t="shared" si="217"/>
        <v>1677</v>
      </c>
      <c r="AA400" s="518">
        <f t="shared" si="245"/>
        <v>4.8469549046792846</v>
      </c>
      <c r="AB400" s="518">
        <f t="shared" si="245"/>
        <v>4.689563629375388</v>
      </c>
      <c r="AC400" s="449" t="s">
        <v>451</v>
      </c>
      <c r="AD400" s="449" t="s">
        <v>454</v>
      </c>
      <c r="AG400" s="605">
        <f>+IF(Tabla3[[#This Row],[Amortización k | cupón de intereses]]="Amortización de K",Tabla3[[#This Row],[Valor Nominal]],0)</f>
        <v>0</v>
      </c>
      <c r="AH400" s="605">
        <f>+IF(AND(Tabla3[[#This Row],[Amortización k | cupón de intereses]]="Cupón de interés",Tabla3[[#This Row],[Estado]]="Vigente"),Tabla3[[#This Row],[Valor Nominal]],0)</f>
        <v>18500</v>
      </c>
      <c r="AI400" s="618">
        <f>+IF(Tabla3[[#This Row],[Amortización k | cupón de intereses]]="Amortización de K",SUMIFS($AH$7:$AH$557,Tabla3[Código Emisión],Tabla3[[#This Row],[Código Emisión]],Tabla3[Fecha de operación],Tabla3[[#This Row],[Fecha de operación]]),0)-Tabla3[[#This Row],[Accrued]]*Tabla3[[#This Row],[Valor Nominal]]</f>
        <v>0</v>
      </c>
      <c r="AJ400" s="605">
        <f>+IF(Tabla3[[#This Row],[Amortización k | cupón de intereses]]="Amortización de K",IF(Tabla3[[#This Row],[Precio Clean]]&gt;1,Tabla3[[#This Row],[Valor Nominal]]*(Tabla3[[#This Row],[Precio Clean]]-1),0),0)</f>
        <v>0</v>
      </c>
      <c r="AK400" s="605">
        <f>+IF(Tabla3[[#This Row],[Amortización k | cupón de intereses]]="Amortización de K",IF(Tabla3[[#This Row],[Precio Clean]]&lt;1,Tabla3[[#This Row],[Valor Nominal]]*(Tabla3[[#This Row],[Precio Clean]]-1),0),0)</f>
        <v>0</v>
      </c>
    </row>
    <row r="401" spans="1:37">
      <c r="A401" s="502"/>
      <c r="B401" s="437" t="str">
        <f t="shared" si="241"/>
        <v>Ecopetrol S.A.</v>
      </c>
      <c r="C401" s="437" t="str">
        <f t="shared" si="241"/>
        <v>US279158AP43</v>
      </c>
      <c r="D401" s="437" t="str">
        <f t="shared" si="241"/>
        <v>Bonos en el exterior</v>
      </c>
      <c r="E401" s="437" t="s">
        <v>612</v>
      </c>
      <c r="F401" s="437" t="str">
        <f t="shared" si="246"/>
        <v>Corporativo</v>
      </c>
      <c r="G401" s="437" t="str">
        <f t="shared" si="246"/>
        <v>Colombia</v>
      </c>
      <c r="H401" s="437">
        <f t="shared" si="236"/>
        <v>800</v>
      </c>
      <c r="I401" s="445">
        <v>23.125</v>
      </c>
      <c r="J401" s="462"/>
      <c r="K401" s="450"/>
      <c r="L401" s="462"/>
      <c r="M401" s="493"/>
      <c r="N401" s="493"/>
      <c r="O401" s="516">
        <f t="shared" si="242"/>
        <v>6.7124060037483502E-2</v>
      </c>
      <c r="P401" s="516">
        <f t="shared" si="242"/>
        <v>6.4041813785034485E-2</v>
      </c>
      <c r="Q401" s="450">
        <f t="shared" si="242"/>
        <v>46050</v>
      </c>
      <c r="R401" s="450">
        <v>47605</v>
      </c>
      <c r="S401" s="509" t="s">
        <v>146</v>
      </c>
      <c r="T401" s="495">
        <f>Tabla3[[#This Row],[Cantidad]]*Tabla3[[#This Row],[Cortes]]</f>
        <v>18500</v>
      </c>
      <c r="U401" s="510">
        <f t="shared" si="243"/>
        <v>14130.522431901061</v>
      </c>
      <c r="V401" s="511">
        <f t="shared" si="244"/>
        <v>14127.972603710508</v>
      </c>
      <c r="W401" s="497">
        <f>IF(Tabla3[[#This Row],[Fecha de operación]]=$C$1,0,U401-V401)</f>
        <v>2.5498281905529439</v>
      </c>
      <c r="X401" s="512" t="str">
        <f t="shared" si="216"/>
        <v>Vigente</v>
      </c>
      <c r="Y401" s="517" t="str">
        <f t="shared" si="247"/>
        <v>Semestral</v>
      </c>
      <c r="Z401" s="449">
        <f t="shared" si="217"/>
        <v>1493</v>
      </c>
      <c r="AA401" s="518">
        <f t="shared" si="245"/>
        <v>4.8469549046792846</v>
      </c>
      <c r="AB401" s="518">
        <f t="shared" si="245"/>
        <v>4.689563629375388</v>
      </c>
      <c r="AC401" s="449" t="s">
        <v>451</v>
      </c>
      <c r="AD401" s="449" t="s">
        <v>454</v>
      </c>
      <c r="AG401" s="605">
        <f>+IF(Tabla3[[#This Row],[Amortización k | cupón de intereses]]="Amortización de K",Tabla3[[#This Row],[Valor Nominal]],0)</f>
        <v>0</v>
      </c>
      <c r="AH401" s="605">
        <f>+IF(AND(Tabla3[[#This Row],[Amortización k | cupón de intereses]]="Cupón de interés",Tabla3[[#This Row],[Estado]]="Vigente"),Tabla3[[#This Row],[Valor Nominal]],0)</f>
        <v>18500</v>
      </c>
      <c r="AI401" s="618">
        <f>+IF(Tabla3[[#This Row],[Amortización k | cupón de intereses]]="Amortización de K",SUMIFS($AH$7:$AH$557,Tabla3[Código Emisión],Tabla3[[#This Row],[Código Emisión]],Tabla3[Fecha de operación],Tabla3[[#This Row],[Fecha de operación]]),0)-Tabla3[[#This Row],[Accrued]]*Tabla3[[#This Row],[Valor Nominal]]</f>
        <v>0</v>
      </c>
      <c r="AJ401" s="605">
        <f>+IF(Tabla3[[#This Row],[Amortización k | cupón de intereses]]="Amortización de K",IF(Tabla3[[#This Row],[Precio Clean]]&gt;1,Tabla3[[#This Row],[Valor Nominal]]*(Tabla3[[#This Row],[Precio Clean]]-1),0),0)</f>
        <v>0</v>
      </c>
      <c r="AK401" s="605">
        <f>+IF(Tabla3[[#This Row],[Amortización k | cupón de intereses]]="Amortización de K",IF(Tabla3[[#This Row],[Precio Clean]]&lt;1,Tabla3[[#This Row],[Valor Nominal]]*(Tabla3[[#This Row],[Precio Clean]]-1),0),0)</f>
        <v>0</v>
      </c>
    </row>
    <row r="402" spans="1:37">
      <c r="A402" s="502"/>
      <c r="B402" s="437" t="str">
        <f t="shared" si="241"/>
        <v>Ecopetrol S.A.</v>
      </c>
      <c r="C402" s="437" t="str">
        <f t="shared" si="241"/>
        <v>US279158AP43</v>
      </c>
      <c r="D402" s="437" t="str">
        <f t="shared" si="241"/>
        <v>Bonos en el exterior</v>
      </c>
      <c r="E402" s="437" t="s">
        <v>612</v>
      </c>
      <c r="F402" s="437" t="str">
        <f t="shared" si="246"/>
        <v>Corporativo</v>
      </c>
      <c r="G402" s="437" t="str">
        <f t="shared" si="246"/>
        <v>Colombia</v>
      </c>
      <c r="H402" s="437">
        <f t="shared" si="236"/>
        <v>800</v>
      </c>
      <c r="I402" s="445">
        <v>23.125</v>
      </c>
      <c r="J402" s="462"/>
      <c r="K402" s="450"/>
      <c r="L402" s="462"/>
      <c r="M402" s="493"/>
      <c r="N402" s="493"/>
      <c r="O402" s="516">
        <f t="shared" si="242"/>
        <v>6.7124060037483502E-2</v>
      </c>
      <c r="P402" s="516">
        <f t="shared" si="242"/>
        <v>6.4041813785034485E-2</v>
      </c>
      <c r="Q402" s="450">
        <f t="shared" si="242"/>
        <v>46050</v>
      </c>
      <c r="R402" s="450">
        <v>47424</v>
      </c>
      <c r="S402" s="509" t="s">
        <v>146</v>
      </c>
      <c r="T402" s="495">
        <f>Tabla3[[#This Row],[Cantidad]]*Tabla3[[#This Row],[Cortes]]</f>
        <v>18500</v>
      </c>
      <c r="U402" s="510">
        <f t="shared" si="243"/>
        <v>14599.703956449859</v>
      </c>
      <c r="V402" s="511">
        <f t="shared" si="244"/>
        <v>14597.069465269413</v>
      </c>
      <c r="W402" s="497">
        <f>IF(Tabla3[[#This Row],[Fecha de operación]]=$C$1,0,U402-V402)</f>
        <v>2.6344911804462754</v>
      </c>
      <c r="X402" s="512" t="str">
        <f t="shared" si="216"/>
        <v>Vigente</v>
      </c>
      <c r="Y402" s="517" t="str">
        <f t="shared" si="247"/>
        <v>Semestral</v>
      </c>
      <c r="Z402" s="449">
        <f t="shared" si="217"/>
        <v>1312</v>
      </c>
      <c r="AA402" s="518">
        <f t="shared" si="245"/>
        <v>4.8469549046792846</v>
      </c>
      <c r="AB402" s="518">
        <f t="shared" si="245"/>
        <v>4.689563629375388</v>
      </c>
      <c r="AC402" s="449" t="s">
        <v>451</v>
      </c>
      <c r="AD402" s="449" t="s">
        <v>454</v>
      </c>
      <c r="AG402" s="605">
        <f>+IF(Tabla3[[#This Row],[Amortización k | cupón de intereses]]="Amortización de K",Tabla3[[#This Row],[Valor Nominal]],0)</f>
        <v>0</v>
      </c>
      <c r="AH402" s="605">
        <f>+IF(AND(Tabla3[[#This Row],[Amortización k | cupón de intereses]]="Cupón de interés",Tabla3[[#This Row],[Estado]]="Vigente"),Tabla3[[#This Row],[Valor Nominal]],0)</f>
        <v>18500</v>
      </c>
      <c r="AI402" s="618">
        <f>+IF(Tabla3[[#This Row],[Amortización k | cupón de intereses]]="Amortización de K",SUMIFS($AH$7:$AH$557,Tabla3[Código Emisión],Tabla3[[#This Row],[Código Emisión]],Tabla3[Fecha de operación],Tabla3[[#This Row],[Fecha de operación]]),0)-Tabla3[[#This Row],[Accrued]]*Tabla3[[#This Row],[Valor Nominal]]</f>
        <v>0</v>
      </c>
      <c r="AJ402" s="605">
        <f>+IF(Tabla3[[#This Row],[Amortización k | cupón de intereses]]="Amortización de K",IF(Tabla3[[#This Row],[Precio Clean]]&gt;1,Tabla3[[#This Row],[Valor Nominal]]*(Tabla3[[#This Row],[Precio Clean]]-1),0),0)</f>
        <v>0</v>
      </c>
      <c r="AK402" s="605">
        <f>+IF(Tabla3[[#This Row],[Amortización k | cupón de intereses]]="Amortización de K",IF(Tabla3[[#This Row],[Precio Clean]]&lt;1,Tabla3[[#This Row],[Valor Nominal]]*(Tabla3[[#This Row],[Precio Clean]]-1),0),0)</f>
        <v>0</v>
      </c>
    </row>
    <row r="403" spans="1:37">
      <c r="A403" s="502"/>
      <c r="B403" s="437" t="str">
        <f t="shared" si="241"/>
        <v>Ecopetrol S.A.</v>
      </c>
      <c r="C403" s="437" t="str">
        <f t="shared" si="241"/>
        <v>US279158AP43</v>
      </c>
      <c r="D403" s="437" t="str">
        <f t="shared" si="241"/>
        <v>Bonos en el exterior</v>
      </c>
      <c r="E403" s="437" t="s">
        <v>612</v>
      </c>
      <c r="F403" s="437" t="str">
        <f t="shared" si="246"/>
        <v>Corporativo</v>
      </c>
      <c r="G403" s="437" t="str">
        <f t="shared" si="246"/>
        <v>Colombia</v>
      </c>
      <c r="H403" s="437">
        <f t="shared" si="236"/>
        <v>800</v>
      </c>
      <c r="I403" s="445">
        <v>23.125</v>
      </c>
      <c r="J403" s="462"/>
      <c r="K403" s="450"/>
      <c r="L403" s="462"/>
      <c r="M403" s="493"/>
      <c r="N403" s="493"/>
      <c r="O403" s="516">
        <f t="shared" si="242"/>
        <v>6.7124060037483502E-2</v>
      </c>
      <c r="P403" s="516">
        <f t="shared" si="242"/>
        <v>6.4041813785034485E-2</v>
      </c>
      <c r="Q403" s="450">
        <f t="shared" si="242"/>
        <v>46050</v>
      </c>
      <c r="R403" s="450">
        <v>47240</v>
      </c>
      <c r="S403" s="509" t="s">
        <v>146</v>
      </c>
      <c r="T403" s="495">
        <f>Tabla3[[#This Row],[Cantidad]]*Tabla3[[#This Row],[Cortes]]</f>
        <v>18500</v>
      </c>
      <c r="U403" s="510">
        <f t="shared" si="243"/>
        <v>15092.632751088369</v>
      </c>
      <c r="V403" s="511">
        <f t="shared" si="244"/>
        <v>15089.909311764462</v>
      </c>
      <c r="W403" s="497">
        <f>IF(Tabla3[[#This Row],[Fecha de operación]]=$C$1,0,U403-V403)</f>
        <v>2.7234393239068595</v>
      </c>
      <c r="X403" s="512" t="str">
        <f t="shared" si="216"/>
        <v>Vigente</v>
      </c>
      <c r="Y403" s="517" t="str">
        <f t="shared" si="247"/>
        <v>Semestral</v>
      </c>
      <c r="Z403" s="449">
        <f t="shared" si="217"/>
        <v>1128</v>
      </c>
      <c r="AA403" s="518">
        <f t="shared" si="245"/>
        <v>4.8469549046792846</v>
      </c>
      <c r="AB403" s="518">
        <f t="shared" si="245"/>
        <v>4.689563629375388</v>
      </c>
      <c r="AC403" s="449" t="s">
        <v>451</v>
      </c>
      <c r="AD403" s="449" t="s">
        <v>454</v>
      </c>
      <c r="AG403" s="605">
        <f>+IF(Tabla3[[#This Row],[Amortización k | cupón de intereses]]="Amortización de K",Tabla3[[#This Row],[Valor Nominal]],0)</f>
        <v>0</v>
      </c>
      <c r="AH403" s="605">
        <f>+IF(AND(Tabla3[[#This Row],[Amortización k | cupón de intereses]]="Cupón de interés",Tabla3[[#This Row],[Estado]]="Vigente"),Tabla3[[#This Row],[Valor Nominal]],0)</f>
        <v>18500</v>
      </c>
      <c r="AI403" s="618">
        <f>+IF(Tabla3[[#This Row],[Amortización k | cupón de intereses]]="Amortización de K",SUMIFS($AH$7:$AH$557,Tabla3[Código Emisión],Tabla3[[#This Row],[Código Emisión]],Tabla3[Fecha de operación],Tabla3[[#This Row],[Fecha de operación]]),0)-Tabla3[[#This Row],[Accrued]]*Tabla3[[#This Row],[Valor Nominal]]</f>
        <v>0</v>
      </c>
      <c r="AJ403" s="605">
        <f>+IF(Tabla3[[#This Row],[Amortización k | cupón de intereses]]="Amortización de K",IF(Tabla3[[#This Row],[Precio Clean]]&gt;1,Tabla3[[#This Row],[Valor Nominal]]*(Tabla3[[#This Row],[Precio Clean]]-1),0),0)</f>
        <v>0</v>
      </c>
      <c r="AK403" s="605">
        <f>+IF(Tabla3[[#This Row],[Amortización k | cupón de intereses]]="Amortización de K",IF(Tabla3[[#This Row],[Precio Clean]]&lt;1,Tabla3[[#This Row],[Valor Nominal]]*(Tabla3[[#This Row],[Precio Clean]]-1),0),0)</f>
        <v>0</v>
      </c>
    </row>
    <row r="404" spans="1:37">
      <c r="A404" s="502"/>
      <c r="B404" s="437" t="str">
        <f t="shared" si="241"/>
        <v>Ecopetrol S.A.</v>
      </c>
      <c r="C404" s="437" t="str">
        <f t="shared" si="241"/>
        <v>US279158AP43</v>
      </c>
      <c r="D404" s="437" t="str">
        <f t="shared" si="241"/>
        <v>Bonos en el exterior</v>
      </c>
      <c r="E404" s="437" t="s">
        <v>612</v>
      </c>
      <c r="F404" s="437" t="str">
        <f t="shared" si="246"/>
        <v>Corporativo</v>
      </c>
      <c r="G404" s="437" t="str">
        <f t="shared" si="246"/>
        <v>Colombia</v>
      </c>
      <c r="H404" s="437">
        <f t="shared" si="236"/>
        <v>800</v>
      </c>
      <c r="I404" s="445">
        <v>23.125</v>
      </c>
      <c r="J404" s="462"/>
      <c r="K404" s="450"/>
      <c r="L404" s="462"/>
      <c r="M404" s="493"/>
      <c r="N404" s="493"/>
      <c r="O404" s="516">
        <f t="shared" si="242"/>
        <v>6.7124060037483502E-2</v>
      </c>
      <c r="P404" s="516">
        <f t="shared" si="242"/>
        <v>6.4041813785034485E-2</v>
      </c>
      <c r="Q404" s="450">
        <f t="shared" si="242"/>
        <v>46050</v>
      </c>
      <c r="R404" s="450">
        <v>47059</v>
      </c>
      <c r="S404" s="509" t="s">
        <v>146</v>
      </c>
      <c r="T404" s="495">
        <f>Tabla3[[#This Row],[Cantidad]]*Tabla3[[#This Row],[Cortes]]</f>
        <v>18500</v>
      </c>
      <c r="U404" s="510">
        <f t="shared" si="243"/>
        <v>15593.759618671429</v>
      </c>
      <c r="V404" s="511">
        <f t="shared" si="244"/>
        <v>15590.945751876054</v>
      </c>
      <c r="W404" s="497">
        <f>IF(Tabla3[[#This Row],[Fecha de operación]]=$C$1,0,U404-V404)</f>
        <v>2.8138667953753611</v>
      </c>
      <c r="X404" s="512" t="str">
        <f t="shared" si="216"/>
        <v>Vigente</v>
      </c>
      <c r="Y404" s="517" t="str">
        <f t="shared" si="247"/>
        <v>Semestral</v>
      </c>
      <c r="Z404" s="449">
        <f t="shared" si="217"/>
        <v>947</v>
      </c>
      <c r="AA404" s="518">
        <f t="shared" si="245"/>
        <v>4.8469549046792846</v>
      </c>
      <c r="AB404" s="518">
        <f t="shared" si="245"/>
        <v>4.689563629375388</v>
      </c>
      <c r="AC404" s="449" t="s">
        <v>451</v>
      </c>
      <c r="AD404" s="449" t="s">
        <v>454</v>
      </c>
      <c r="AG404" s="605">
        <f>+IF(Tabla3[[#This Row],[Amortización k | cupón de intereses]]="Amortización de K",Tabla3[[#This Row],[Valor Nominal]],0)</f>
        <v>0</v>
      </c>
      <c r="AH404" s="605">
        <f>+IF(AND(Tabla3[[#This Row],[Amortización k | cupón de intereses]]="Cupón de interés",Tabla3[[#This Row],[Estado]]="Vigente"),Tabla3[[#This Row],[Valor Nominal]],0)</f>
        <v>18500</v>
      </c>
      <c r="AI404" s="618">
        <f>+IF(Tabla3[[#This Row],[Amortización k | cupón de intereses]]="Amortización de K",SUMIFS($AH$7:$AH$557,Tabla3[Código Emisión],Tabla3[[#This Row],[Código Emisión]],Tabla3[Fecha de operación],Tabla3[[#This Row],[Fecha de operación]]),0)-Tabla3[[#This Row],[Accrued]]*Tabla3[[#This Row],[Valor Nominal]]</f>
        <v>0</v>
      </c>
      <c r="AJ404" s="605">
        <f>+IF(Tabla3[[#This Row],[Amortización k | cupón de intereses]]="Amortización de K",IF(Tabla3[[#This Row],[Precio Clean]]&gt;1,Tabla3[[#This Row],[Valor Nominal]]*(Tabla3[[#This Row],[Precio Clean]]-1),0),0)</f>
        <v>0</v>
      </c>
      <c r="AK404" s="605">
        <f>+IF(Tabla3[[#This Row],[Amortización k | cupón de intereses]]="Amortización de K",IF(Tabla3[[#This Row],[Precio Clean]]&lt;1,Tabla3[[#This Row],[Valor Nominal]]*(Tabla3[[#This Row],[Precio Clean]]-1),0),0)</f>
        <v>0</v>
      </c>
    </row>
    <row r="405" spans="1:37">
      <c r="A405" s="502"/>
      <c r="B405" s="437" t="str">
        <f t="shared" si="241"/>
        <v>Ecopetrol S.A.</v>
      </c>
      <c r="C405" s="437" t="str">
        <f t="shared" si="241"/>
        <v>US279158AP43</v>
      </c>
      <c r="D405" s="437" t="str">
        <f t="shared" si="241"/>
        <v>Bonos en el exterior</v>
      </c>
      <c r="E405" s="437" t="s">
        <v>612</v>
      </c>
      <c r="F405" s="437" t="str">
        <f t="shared" si="246"/>
        <v>Corporativo</v>
      </c>
      <c r="G405" s="437" t="str">
        <f t="shared" si="246"/>
        <v>Colombia</v>
      </c>
      <c r="H405" s="437">
        <f t="shared" si="236"/>
        <v>800</v>
      </c>
      <c r="I405" s="445">
        <v>23.125</v>
      </c>
      <c r="J405" s="462"/>
      <c r="K405" s="450"/>
      <c r="L405" s="462"/>
      <c r="M405" s="493"/>
      <c r="N405" s="493"/>
      <c r="O405" s="516">
        <f t="shared" si="242"/>
        <v>6.7124060037483502E-2</v>
      </c>
      <c r="P405" s="516">
        <f t="shared" si="242"/>
        <v>6.4041813785034485E-2</v>
      </c>
      <c r="Q405" s="450">
        <f t="shared" si="242"/>
        <v>46050</v>
      </c>
      <c r="R405" s="450">
        <v>46875</v>
      </c>
      <c r="S405" s="509" t="s">
        <v>146</v>
      </c>
      <c r="T405" s="495">
        <f>Tabla3[[#This Row],[Cantidad]]*Tabla3[[#This Row],[Cortes]]</f>
        <v>18500</v>
      </c>
      <c r="U405" s="510">
        <f t="shared" si="243"/>
        <v>16120.250645862332</v>
      </c>
      <c r="V405" s="511">
        <f t="shared" si="244"/>
        <v>16117.341774677017</v>
      </c>
      <c r="W405" s="497">
        <f>IF(Tabla3[[#This Row],[Fecha de operación]]=$C$1,0,U405-V405)</f>
        <v>2.9088711853146378</v>
      </c>
      <c r="X405" s="512" t="str">
        <f t="shared" si="216"/>
        <v>Vigente</v>
      </c>
      <c r="Y405" s="517" t="str">
        <f t="shared" si="247"/>
        <v>Semestral</v>
      </c>
      <c r="Z405" s="449">
        <f t="shared" si="217"/>
        <v>763</v>
      </c>
      <c r="AA405" s="518">
        <f t="shared" si="245"/>
        <v>4.8469549046792846</v>
      </c>
      <c r="AB405" s="518">
        <f t="shared" si="245"/>
        <v>4.689563629375388</v>
      </c>
      <c r="AC405" s="449" t="s">
        <v>451</v>
      </c>
      <c r="AD405" s="449" t="s">
        <v>454</v>
      </c>
      <c r="AG405" s="605">
        <f>+IF(Tabla3[[#This Row],[Amortización k | cupón de intereses]]="Amortización de K",Tabla3[[#This Row],[Valor Nominal]],0)</f>
        <v>0</v>
      </c>
      <c r="AH405" s="605">
        <f>+IF(AND(Tabla3[[#This Row],[Amortización k | cupón de intereses]]="Cupón de interés",Tabla3[[#This Row],[Estado]]="Vigente"),Tabla3[[#This Row],[Valor Nominal]],0)</f>
        <v>18500</v>
      </c>
      <c r="AI405" s="618">
        <f>+IF(Tabla3[[#This Row],[Amortización k | cupón de intereses]]="Amortización de K",SUMIFS($AH$7:$AH$557,Tabla3[Código Emisión],Tabla3[[#This Row],[Código Emisión]],Tabla3[Fecha de operación],Tabla3[[#This Row],[Fecha de operación]]),0)-Tabla3[[#This Row],[Accrued]]*Tabla3[[#This Row],[Valor Nominal]]</f>
        <v>0</v>
      </c>
      <c r="AJ405" s="605">
        <f>+IF(Tabla3[[#This Row],[Amortización k | cupón de intereses]]="Amortización de K",IF(Tabla3[[#This Row],[Precio Clean]]&gt;1,Tabla3[[#This Row],[Valor Nominal]]*(Tabla3[[#This Row],[Precio Clean]]-1),0),0)</f>
        <v>0</v>
      </c>
      <c r="AK405" s="605">
        <f>+IF(Tabla3[[#This Row],[Amortización k | cupón de intereses]]="Amortización de K",IF(Tabla3[[#This Row],[Precio Clean]]&lt;1,Tabla3[[#This Row],[Valor Nominal]]*(Tabla3[[#This Row],[Precio Clean]]-1),0),0)</f>
        <v>0</v>
      </c>
    </row>
    <row r="406" spans="1:37">
      <c r="A406" s="502"/>
      <c r="B406" s="437" t="str">
        <f t="shared" si="241"/>
        <v>Ecopetrol S.A.</v>
      </c>
      <c r="C406" s="437" t="str">
        <f t="shared" si="241"/>
        <v>US279158AP43</v>
      </c>
      <c r="D406" s="437" t="str">
        <f t="shared" si="241"/>
        <v>Bonos en el exterior</v>
      </c>
      <c r="E406" s="437" t="s">
        <v>612</v>
      </c>
      <c r="F406" s="437" t="str">
        <f t="shared" si="246"/>
        <v>Corporativo</v>
      </c>
      <c r="G406" s="437" t="str">
        <f t="shared" si="246"/>
        <v>Colombia</v>
      </c>
      <c r="H406" s="437">
        <f t="shared" si="236"/>
        <v>800</v>
      </c>
      <c r="I406" s="445">
        <v>23.125</v>
      </c>
      <c r="J406" s="462"/>
      <c r="K406" s="450"/>
      <c r="L406" s="462"/>
      <c r="M406" s="493"/>
      <c r="N406" s="493"/>
      <c r="O406" s="516">
        <f t="shared" si="242"/>
        <v>6.7124060037483502E-2</v>
      </c>
      <c r="P406" s="516">
        <f t="shared" si="242"/>
        <v>6.4041813785034485E-2</v>
      </c>
      <c r="Q406" s="450">
        <f t="shared" si="242"/>
        <v>46050</v>
      </c>
      <c r="R406" s="450">
        <v>46693</v>
      </c>
      <c r="S406" s="509" t="s">
        <v>146</v>
      </c>
      <c r="T406" s="495">
        <f>Tabla3[[#This Row],[Cantidad]]*Tabla3[[#This Row],[Cortes]]</f>
        <v>18500</v>
      </c>
      <c r="U406" s="510">
        <f t="shared" si="243"/>
        <v>16658.503929399478</v>
      </c>
      <c r="V406" s="511">
        <f t="shared" si="244"/>
        <v>16655.497931345522</v>
      </c>
      <c r="W406" s="497">
        <f>IF(Tabla3[[#This Row],[Fecha de operación]]=$C$1,0,U406-V406)</f>
        <v>3.005998053955409</v>
      </c>
      <c r="X406" s="512" t="str">
        <f t="shared" si="216"/>
        <v>Vigente</v>
      </c>
      <c r="Y406" s="517" t="str">
        <f t="shared" si="247"/>
        <v>Semestral</v>
      </c>
      <c r="Z406" s="449">
        <f t="shared" si="217"/>
        <v>581</v>
      </c>
      <c r="AA406" s="518">
        <f t="shared" si="245"/>
        <v>4.8469549046792846</v>
      </c>
      <c r="AB406" s="518">
        <f t="shared" si="245"/>
        <v>4.689563629375388</v>
      </c>
      <c r="AC406" s="449" t="s">
        <v>451</v>
      </c>
      <c r="AD406" s="449" t="s">
        <v>454</v>
      </c>
      <c r="AG406" s="605">
        <f>+IF(Tabla3[[#This Row],[Amortización k | cupón de intereses]]="Amortización de K",Tabla3[[#This Row],[Valor Nominal]],0)</f>
        <v>0</v>
      </c>
      <c r="AH406" s="605">
        <f>+IF(AND(Tabla3[[#This Row],[Amortización k | cupón de intereses]]="Cupón de interés",Tabla3[[#This Row],[Estado]]="Vigente"),Tabla3[[#This Row],[Valor Nominal]],0)</f>
        <v>18500</v>
      </c>
      <c r="AI406" s="618">
        <f>+IF(Tabla3[[#This Row],[Amortización k | cupón de intereses]]="Amortización de K",SUMIFS($AH$7:$AH$557,Tabla3[Código Emisión],Tabla3[[#This Row],[Código Emisión]],Tabla3[Fecha de operación],Tabla3[[#This Row],[Fecha de operación]]),0)-Tabla3[[#This Row],[Accrued]]*Tabla3[[#This Row],[Valor Nominal]]</f>
        <v>0</v>
      </c>
      <c r="AJ406" s="605">
        <f>+IF(Tabla3[[#This Row],[Amortización k | cupón de intereses]]="Amortización de K",IF(Tabla3[[#This Row],[Precio Clean]]&gt;1,Tabla3[[#This Row],[Valor Nominal]]*(Tabla3[[#This Row],[Precio Clean]]-1),0),0)</f>
        <v>0</v>
      </c>
      <c r="AK406" s="605">
        <f>+IF(Tabla3[[#This Row],[Amortización k | cupón de intereses]]="Amortización de K",IF(Tabla3[[#This Row],[Precio Clean]]&lt;1,Tabla3[[#This Row],[Valor Nominal]]*(Tabla3[[#This Row],[Precio Clean]]-1),0),0)</f>
        <v>0</v>
      </c>
    </row>
    <row r="407" spans="1:37">
      <c r="A407" s="502"/>
      <c r="B407" s="437" t="str">
        <f t="shared" si="241"/>
        <v>Ecopetrol S.A.</v>
      </c>
      <c r="C407" s="437" t="str">
        <f t="shared" si="241"/>
        <v>US279158AP43</v>
      </c>
      <c r="D407" s="437" t="str">
        <f t="shared" si="241"/>
        <v>Bonos en el exterior</v>
      </c>
      <c r="E407" s="437" t="s">
        <v>612</v>
      </c>
      <c r="F407" s="437" t="str">
        <f t="shared" si="246"/>
        <v>Corporativo</v>
      </c>
      <c r="G407" s="437" t="str">
        <f t="shared" si="246"/>
        <v>Colombia</v>
      </c>
      <c r="H407" s="437">
        <f t="shared" si="236"/>
        <v>800</v>
      </c>
      <c r="I407" s="445">
        <v>23.125</v>
      </c>
      <c r="J407" s="462"/>
      <c r="K407" s="450"/>
      <c r="L407" s="462"/>
      <c r="M407" s="493"/>
      <c r="N407" s="493"/>
      <c r="O407" s="516">
        <f t="shared" si="242"/>
        <v>6.7124060037483502E-2</v>
      </c>
      <c r="P407" s="516">
        <f t="shared" si="242"/>
        <v>6.4041813785034485E-2</v>
      </c>
      <c r="Q407" s="450">
        <f t="shared" si="242"/>
        <v>46050</v>
      </c>
      <c r="R407" s="450">
        <v>46509</v>
      </c>
      <c r="S407" s="509" t="s">
        <v>146</v>
      </c>
      <c r="T407" s="495">
        <f>Tabla3[[#This Row],[Cantidad]]*Tabla3[[#This Row],[Cortes]]</f>
        <v>18500</v>
      </c>
      <c r="U407" s="510">
        <f t="shared" si="243"/>
        <v>17220.943845091886</v>
      </c>
      <c r="V407" s="511">
        <f t="shared" si="244"/>
        <v>17217.836355733602</v>
      </c>
      <c r="W407" s="497">
        <f>IF(Tabla3[[#This Row],[Fecha de operación]]=$C$1,0,U407-V407)</f>
        <v>3.1074893582845107</v>
      </c>
      <c r="X407" s="512" t="str">
        <f t="shared" si="216"/>
        <v>Vigente</v>
      </c>
      <c r="Y407" s="517" t="str">
        <f t="shared" si="247"/>
        <v>Semestral</v>
      </c>
      <c r="Z407" s="449">
        <f t="shared" si="217"/>
        <v>397</v>
      </c>
      <c r="AA407" s="518">
        <f t="shared" si="245"/>
        <v>4.8469549046792846</v>
      </c>
      <c r="AB407" s="518">
        <f t="shared" si="245"/>
        <v>4.689563629375388</v>
      </c>
      <c r="AC407" s="449" t="s">
        <v>451</v>
      </c>
      <c r="AD407" s="449" t="s">
        <v>454</v>
      </c>
      <c r="AG407" s="605">
        <f>+IF(Tabla3[[#This Row],[Amortización k | cupón de intereses]]="Amortización de K",Tabla3[[#This Row],[Valor Nominal]],0)</f>
        <v>0</v>
      </c>
      <c r="AH407" s="605">
        <f>+IF(AND(Tabla3[[#This Row],[Amortización k | cupón de intereses]]="Cupón de interés",Tabla3[[#This Row],[Estado]]="Vigente"),Tabla3[[#This Row],[Valor Nominal]],0)</f>
        <v>18500</v>
      </c>
      <c r="AI407" s="618">
        <f>+IF(Tabla3[[#This Row],[Amortización k | cupón de intereses]]="Amortización de K",SUMIFS($AH$7:$AH$557,Tabla3[Código Emisión],Tabla3[[#This Row],[Código Emisión]],Tabla3[Fecha de operación],Tabla3[[#This Row],[Fecha de operación]]),0)-Tabla3[[#This Row],[Accrued]]*Tabla3[[#This Row],[Valor Nominal]]</f>
        <v>0</v>
      </c>
      <c r="AJ407" s="605">
        <f>+IF(Tabla3[[#This Row],[Amortización k | cupón de intereses]]="Amortización de K",IF(Tabla3[[#This Row],[Precio Clean]]&gt;1,Tabla3[[#This Row],[Valor Nominal]]*(Tabla3[[#This Row],[Precio Clean]]-1),0),0)</f>
        <v>0</v>
      </c>
      <c r="AK407" s="605">
        <f>+IF(Tabla3[[#This Row],[Amortización k | cupón de intereses]]="Amortización de K",IF(Tabla3[[#This Row],[Precio Clean]]&lt;1,Tabla3[[#This Row],[Valor Nominal]]*(Tabla3[[#This Row],[Precio Clean]]-1),0),0)</f>
        <v>0</v>
      </c>
    </row>
    <row r="408" spans="1:37">
      <c r="A408" s="502"/>
      <c r="B408" s="437" t="str">
        <f t="shared" si="241"/>
        <v>Ecopetrol S.A.</v>
      </c>
      <c r="C408" s="437" t="str">
        <f t="shared" si="241"/>
        <v>US279158AP43</v>
      </c>
      <c r="D408" s="437" t="str">
        <f t="shared" si="241"/>
        <v>Bonos en el exterior</v>
      </c>
      <c r="E408" s="437" t="s">
        <v>612</v>
      </c>
      <c r="F408" s="437" t="str">
        <f t="shared" si="246"/>
        <v>Corporativo</v>
      </c>
      <c r="G408" s="437" t="str">
        <f t="shared" si="246"/>
        <v>Colombia</v>
      </c>
      <c r="H408" s="437">
        <f t="shared" si="236"/>
        <v>800</v>
      </c>
      <c r="I408" s="445">
        <v>23.125</v>
      </c>
      <c r="J408" s="462"/>
      <c r="K408" s="450"/>
      <c r="L408" s="462"/>
      <c r="M408" s="493"/>
      <c r="N408" s="493"/>
      <c r="O408" s="516">
        <f t="shared" si="242"/>
        <v>6.7124060037483502E-2</v>
      </c>
      <c r="P408" s="516">
        <f t="shared" si="242"/>
        <v>6.4041813785034485E-2</v>
      </c>
      <c r="Q408" s="450">
        <f t="shared" si="242"/>
        <v>46050</v>
      </c>
      <c r="R408" s="450">
        <v>46328</v>
      </c>
      <c r="S408" s="509" t="s">
        <v>146</v>
      </c>
      <c r="T408" s="495">
        <f>Tabla3[[#This Row],[Cantidad]]*Tabla3[[#This Row],[Cortes]]</f>
        <v>18500</v>
      </c>
      <c r="U408" s="510">
        <f t="shared" si="243"/>
        <v>17792.737897742663</v>
      </c>
      <c r="V408" s="511">
        <f t="shared" si="244"/>
        <v>17789.527229142303</v>
      </c>
      <c r="W408" s="497">
        <f>IF(Tabla3[[#This Row],[Fecha de operación]]=$C$1,0,U408-V408)</f>
        <v>3.2106686003608047</v>
      </c>
      <c r="X408" s="512" t="str">
        <f t="shared" si="216"/>
        <v>Vigente</v>
      </c>
      <c r="Y408" s="517" t="str">
        <f t="shared" si="247"/>
        <v>Semestral</v>
      </c>
      <c r="Z408" s="449">
        <f t="shared" si="217"/>
        <v>216</v>
      </c>
      <c r="AA408" s="518">
        <f t="shared" si="245"/>
        <v>4.8469549046792846</v>
      </c>
      <c r="AB408" s="518">
        <f t="shared" si="245"/>
        <v>4.689563629375388</v>
      </c>
      <c r="AC408" s="449" t="s">
        <v>451</v>
      </c>
      <c r="AD408" s="449" t="s">
        <v>454</v>
      </c>
      <c r="AG408" s="605">
        <f>+IF(Tabla3[[#This Row],[Amortización k | cupón de intereses]]="Amortización de K",Tabla3[[#This Row],[Valor Nominal]],0)</f>
        <v>0</v>
      </c>
      <c r="AH408" s="605">
        <f>+IF(AND(Tabla3[[#This Row],[Amortización k | cupón de intereses]]="Cupón de interés",Tabla3[[#This Row],[Estado]]="Vigente"),Tabla3[[#This Row],[Valor Nominal]],0)</f>
        <v>18500</v>
      </c>
      <c r="AI408" s="618">
        <f>+IF(Tabla3[[#This Row],[Amortización k | cupón de intereses]]="Amortización de K",SUMIFS($AH$7:$AH$557,Tabla3[Código Emisión],Tabla3[[#This Row],[Código Emisión]],Tabla3[Fecha de operación],Tabla3[[#This Row],[Fecha de operación]]),0)-Tabla3[[#This Row],[Accrued]]*Tabla3[[#This Row],[Valor Nominal]]</f>
        <v>0</v>
      </c>
      <c r="AJ408" s="605">
        <f>+IF(Tabla3[[#This Row],[Amortización k | cupón de intereses]]="Amortización de K",IF(Tabla3[[#This Row],[Precio Clean]]&gt;1,Tabla3[[#This Row],[Valor Nominal]]*(Tabla3[[#This Row],[Precio Clean]]-1),0),0)</f>
        <v>0</v>
      </c>
      <c r="AK408" s="605">
        <f>+IF(Tabla3[[#This Row],[Amortización k | cupón de intereses]]="Amortización de K",IF(Tabla3[[#This Row],[Precio Clean]]&lt;1,Tabla3[[#This Row],[Valor Nominal]]*(Tabla3[[#This Row],[Precio Clean]]-1),0),0)</f>
        <v>0</v>
      </c>
    </row>
    <row r="409" spans="1:37">
      <c r="A409" s="502"/>
      <c r="B409" s="437" t="str">
        <f t="shared" si="241"/>
        <v>Ecopetrol S.A.</v>
      </c>
      <c r="C409" s="437" t="str">
        <f t="shared" si="241"/>
        <v>US279158AP43</v>
      </c>
      <c r="D409" s="437" t="str">
        <f t="shared" si="241"/>
        <v>Bonos en el exterior</v>
      </c>
      <c r="E409" s="437" t="s">
        <v>612</v>
      </c>
      <c r="F409" s="437" t="str">
        <f t="shared" si="246"/>
        <v>Corporativo</v>
      </c>
      <c r="G409" s="437" t="str">
        <f t="shared" si="246"/>
        <v>Colombia</v>
      </c>
      <c r="H409" s="437">
        <f t="shared" si="236"/>
        <v>800</v>
      </c>
      <c r="I409" s="445">
        <v>23.125</v>
      </c>
      <c r="J409" s="462"/>
      <c r="K409" s="450"/>
      <c r="L409" s="462"/>
      <c r="M409" s="493"/>
      <c r="N409" s="493"/>
      <c r="O409" s="516">
        <f t="shared" si="242"/>
        <v>6.7124060037483502E-2</v>
      </c>
      <c r="P409" s="516">
        <f t="shared" si="242"/>
        <v>6.4041813785034485E-2</v>
      </c>
      <c r="Q409" s="450">
        <f t="shared" si="242"/>
        <v>46050</v>
      </c>
      <c r="R409" s="450">
        <v>46144</v>
      </c>
      <c r="S409" s="509" t="s">
        <v>146</v>
      </c>
      <c r="T409" s="495">
        <f>Tabla3[[#This Row],[Cantidad]]*Tabla3[[#This Row],[Cortes]]</f>
        <v>18500</v>
      </c>
      <c r="U409" s="510">
        <f t="shared" si="243"/>
        <v>18393.472876439173</v>
      </c>
      <c r="V409" s="511">
        <f t="shared" si="244"/>
        <v>18390.153806256978</v>
      </c>
      <c r="W409" s="497">
        <f>IF(Tabla3[[#This Row],[Fecha de operación]]=$C$1,0,U409-V409)</f>
        <v>3.3190701821949915</v>
      </c>
      <c r="X409" s="512" t="str">
        <f t="shared" si="216"/>
        <v>Vigente</v>
      </c>
      <c r="Y409" s="517" t="str">
        <f t="shared" si="247"/>
        <v>Semestral</v>
      </c>
      <c r="Z409" s="449">
        <f t="shared" si="217"/>
        <v>32</v>
      </c>
      <c r="AA409" s="518">
        <f t="shared" si="245"/>
        <v>4.8469549046792846</v>
      </c>
      <c r="AB409" s="518">
        <f t="shared" si="245"/>
        <v>4.689563629375388</v>
      </c>
      <c r="AC409" s="449" t="s">
        <v>451</v>
      </c>
      <c r="AD409" s="449" t="s">
        <v>454</v>
      </c>
      <c r="AG409" s="605">
        <f>+IF(Tabla3[[#This Row],[Amortización k | cupón de intereses]]="Amortización de K",Tabla3[[#This Row],[Valor Nominal]],0)</f>
        <v>0</v>
      </c>
      <c r="AH409" s="605">
        <f>+IF(AND(Tabla3[[#This Row],[Amortización k | cupón de intereses]]="Cupón de interés",Tabla3[[#This Row],[Estado]]="Vigente"),Tabla3[[#This Row],[Valor Nominal]],0)</f>
        <v>18500</v>
      </c>
      <c r="AI409" s="618">
        <f>+IF(Tabla3[[#This Row],[Amortización k | cupón de intereses]]="Amortización de K",SUMIFS($AH$7:$AH$557,Tabla3[Código Emisión],Tabla3[[#This Row],[Código Emisión]],Tabla3[Fecha de operación],Tabla3[[#This Row],[Fecha de operación]]),0)-Tabla3[[#This Row],[Accrued]]*Tabla3[[#This Row],[Valor Nominal]]</f>
        <v>0</v>
      </c>
      <c r="AJ409" s="605">
        <f>+IF(Tabla3[[#This Row],[Amortización k | cupón de intereses]]="Amortización de K",IF(Tabla3[[#This Row],[Precio Clean]]&gt;1,Tabla3[[#This Row],[Valor Nominal]]*(Tabla3[[#This Row],[Precio Clean]]-1),0),0)</f>
        <v>0</v>
      </c>
      <c r="AK409" s="605">
        <f>+IF(Tabla3[[#This Row],[Amortización k | cupón de intereses]]="Amortización de K",IF(Tabla3[[#This Row],[Precio Clean]]&lt;1,Tabla3[[#This Row],[Valor Nominal]]*(Tabla3[[#This Row],[Precio Clean]]-1),0),0)</f>
        <v>0</v>
      </c>
    </row>
    <row r="410" spans="1:37" ht="15">
      <c r="A410" s="500">
        <f>+A397+1</f>
        <v>41</v>
      </c>
      <c r="B410" s="475" t="s">
        <v>614</v>
      </c>
      <c r="C410" s="475" t="s">
        <v>615</v>
      </c>
      <c r="D410" s="475" t="s">
        <v>466</v>
      </c>
      <c r="E410" s="475" t="s">
        <v>561</v>
      </c>
      <c r="F410" s="475" t="s">
        <v>513</v>
      </c>
      <c r="G410" s="475" t="s">
        <v>616</v>
      </c>
      <c r="H410" s="475">
        <v>500</v>
      </c>
      <c r="I410" s="477">
        <v>1000</v>
      </c>
      <c r="J410" s="478">
        <v>5.9499999999999997E-2</v>
      </c>
      <c r="K410" s="479">
        <v>46050</v>
      </c>
      <c r="L410" s="478">
        <f>+Tabla3[[#This Row],[Tasa de Interés]]*($U$5-Tabla3[[#This Row],[Last coupon]])/365</f>
        <v>1.0106849315068493E-2</v>
      </c>
      <c r="M410" s="480">
        <f>+Tabla3[[#This Row],[Precio Dirty]]-Tabla3[[#This Row],[Accrued]]</f>
        <v>0.98464055126934646</v>
      </c>
      <c r="N410" s="481">
        <f>SUMIFS(U:U,C:C,C410,Q:Q,Q410)/SUMIFS(T:T,C:C,C410,Q:Q,Q410,AD:AD,"Amortización de K")</f>
        <v>0.99474740058441491</v>
      </c>
      <c r="O410" s="482">
        <v>6.3277191436128727E-2</v>
      </c>
      <c r="P410" s="482">
        <f>+NOMINAL(Tabla3[[#This Row],[YTM]],2)</f>
        <v>6.2306661421747567E-2</v>
      </c>
      <c r="Q410" s="484">
        <v>46066</v>
      </c>
      <c r="R410" s="484">
        <v>47876</v>
      </c>
      <c r="S410" s="504" t="s">
        <v>146</v>
      </c>
      <c r="T410" s="510">
        <f>Tabla3[[#This Row],[Cantidad]]*Tabla3[[#This Row],[Cortes]]</f>
        <v>500000</v>
      </c>
      <c r="U410" s="583">
        <f>IF(X410="VIgente",(T410/(1+O410)^((R410-$U$5)/360)))</f>
        <v>370170.80628785759</v>
      </c>
      <c r="V410" s="583">
        <f>IF(X410="VIgente",(T410/(1+O410)^((R410-$V$5)/360)))</f>
        <v>370107.7223955029</v>
      </c>
      <c r="W410" s="510">
        <f>IF(Tabla3[[#This Row],[Fecha de operación]]=$C$1,0,U410-V410)</f>
        <v>63.083892354683485</v>
      </c>
      <c r="X410" s="507" t="str">
        <f t="shared" si="216"/>
        <v>Vigente</v>
      </c>
      <c r="Y410" s="489" t="s">
        <v>488</v>
      </c>
      <c r="Z410" s="488">
        <f t="shared" si="217"/>
        <v>1764</v>
      </c>
      <c r="AA410" s="508">
        <f>IF(Y410="Mensual",DURATION($C$1,$C$1+Z410*12,J410/12,O410/12,1)/12,DURATION($C$1,R410,J410,O410,IF(Y410="Cupón cero",1,IF(Y410="Al vencimiento",1,IF(Y410="Anual",1,IF(Y410="Semestral",2,IF(Y410="Trimestral",4,"")))))))</f>
        <v>4.2167544137676582</v>
      </c>
      <c r="AB410" s="508">
        <f>IF(Y410="Mensual",MDURATION($C$1,$C$1+Z410*12,J410/12,O410/12,1)/12,MDURATION($C$1,R410,J410,O410,IF(Y410="Cupón cero",1,IF(Y410="Al vencimiento",1,IF(Y410="Anual",1,IF(Y410="Semestral",2,IF(Y410="Trimestral",4,"")))))))</f>
        <v>4.087433749832341</v>
      </c>
      <c r="AC410" s="488" t="s">
        <v>451</v>
      </c>
      <c r="AD410" s="488" t="s">
        <v>452</v>
      </c>
      <c r="AG410" s="605">
        <f>+IF(Tabla3[[#This Row],[Amortización k | cupón de intereses]]="Amortización de K",Tabla3[[#This Row],[Valor Nominal]],0)</f>
        <v>500000</v>
      </c>
      <c r="AH410" s="605">
        <f>+IF(AND(Tabla3[[#This Row],[Amortización k | cupón de intereses]]="Cupón de interés",Tabla3[[#This Row],[Estado]]="Vigente"),Tabla3[[#This Row],[Valor Nominal]],0)</f>
        <v>0</v>
      </c>
      <c r="AI410" s="618">
        <f>+IF(Tabla3[[#This Row],[Amortización k | cupón de intereses]]="Amortización de K",SUMIFS($AH$7:$AH$557,Tabla3[Código Emisión],Tabla3[[#This Row],[Código Emisión]],Tabla3[Fecha de operación],Tabla3[[#This Row],[Fecha de operación]]),0)-Tabla3[[#This Row],[Accrued]]*Tabla3[[#This Row],[Valor Nominal]]</f>
        <v>143696.57534246575</v>
      </c>
      <c r="AJ410" s="605">
        <f>+IF(Tabla3[[#This Row],[Amortización k | cupón de intereses]]="Amortización de K",IF(Tabla3[[#This Row],[Precio Clean]]&gt;1,Tabla3[[#This Row],[Valor Nominal]]*(Tabla3[[#This Row],[Precio Clean]]-1),0),0)</f>
        <v>0</v>
      </c>
      <c r="AK410" s="605">
        <f>+IF(Tabla3[[#This Row],[Amortización k | cupón de intereses]]="Amortización de K",IF(Tabla3[[#This Row],[Precio Clean]]&lt;1,Tabla3[[#This Row],[Valor Nominal]]*(Tabla3[[#This Row],[Precio Clean]]-1),0),0)</f>
        <v>-7679.7243653267678</v>
      </c>
    </row>
    <row r="411" spans="1:37">
      <c r="A411" s="502"/>
      <c r="B411" s="437" t="str">
        <f t="shared" ref="B411:G420" si="248">+B410</f>
        <v>PEMEX</v>
      </c>
      <c r="C411" s="437" t="str">
        <f t="shared" si="248"/>
        <v>Pemex, 5.95% 28jan2031, USD  (US71654QDE98)</v>
      </c>
      <c r="D411" s="437" t="str">
        <f>+D410</f>
        <v>Bonos en el exterior</v>
      </c>
      <c r="E411" s="437" t="s">
        <v>561</v>
      </c>
      <c r="F411" s="437" t="str">
        <f>+F410</f>
        <v>Corporativo</v>
      </c>
      <c r="G411" s="437" t="str">
        <f>+G410</f>
        <v>Mexico</v>
      </c>
      <c r="H411" s="437">
        <f t="shared" ref="H411:H432" si="249">+H410</f>
        <v>500</v>
      </c>
      <c r="I411" s="445">
        <v>29.75</v>
      </c>
      <c r="J411" s="462"/>
      <c r="K411" s="450"/>
      <c r="L411" s="462"/>
      <c r="M411" s="493"/>
      <c r="N411" s="493"/>
      <c r="O411" s="516">
        <f t="shared" ref="O411:Q420" si="250">+O410</f>
        <v>6.3277191436128727E-2</v>
      </c>
      <c r="P411" s="516">
        <f t="shared" si="250"/>
        <v>6.2306661421747567E-2</v>
      </c>
      <c r="Q411" s="450">
        <f t="shared" si="250"/>
        <v>46066</v>
      </c>
      <c r="R411" s="450">
        <v>47876</v>
      </c>
      <c r="S411" s="509" t="s">
        <v>146</v>
      </c>
      <c r="T411" s="510">
        <f>Tabla3[[#This Row],[Cantidad]]*Tabla3[[#This Row],[Cortes]]</f>
        <v>14875</v>
      </c>
      <c r="U411" s="583">
        <f t="shared" ref="U411:U420" si="251">IF(X411="VIgente",(T411/(1+O411)^((R411-$U$5)/360)))</f>
        <v>11012.581487063762</v>
      </c>
      <c r="V411" s="511">
        <f t="shared" ref="V411:V420" si="252">IF(X411="VIgente",(T411/(1+O411)^((R411-$V$5)/360)))</f>
        <v>11010.704741266212</v>
      </c>
      <c r="W411" s="497">
        <f>IF(Tabla3[[#This Row],[Fecha de operación]]=$C$1,0,U411-V411)</f>
        <v>1.8767457975500292</v>
      </c>
      <c r="X411" s="512" t="str">
        <f t="shared" si="216"/>
        <v>Vigente</v>
      </c>
      <c r="Y411" s="517" t="str">
        <f>+Y410</f>
        <v>Semestral</v>
      </c>
      <c r="Z411" s="449">
        <f t="shared" si="217"/>
        <v>1764</v>
      </c>
      <c r="AA411" s="518">
        <f t="shared" ref="AA411:AB420" si="253">+AA410</f>
        <v>4.2167544137676582</v>
      </c>
      <c r="AB411" s="518">
        <f t="shared" si="253"/>
        <v>4.087433749832341</v>
      </c>
      <c r="AC411" s="449" t="s">
        <v>451</v>
      </c>
      <c r="AD411" s="449" t="s">
        <v>454</v>
      </c>
      <c r="AG411" s="605">
        <f>+IF(Tabla3[[#This Row],[Amortización k | cupón de intereses]]="Amortización de K",Tabla3[[#This Row],[Valor Nominal]],0)</f>
        <v>0</v>
      </c>
      <c r="AH411" s="605">
        <f>+IF(AND(Tabla3[[#This Row],[Amortización k | cupón de intereses]]="Cupón de interés",Tabla3[[#This Row],[Estado]]="Vigente"),Tabla3[[#This Row],[Valor Nominal]],0)</f>
        <v>14875</v>
      </c>
      <c r="AI411" s="618">
        <f>+IF(Tabla3[[#This Row],[Amortización k | cupón de intereses]]="Amortización de K",SUMIFS($AH$7:$AH$557,Tabla3[Código Emisión],Tabla3[[#This Row],[Código Emisión]],Tabla3[Fecha de operación],Tabla3[[#This Row],[Fecha de operación]]),0)-Tabla3[[#This Row],[Accrued]]*Tabla3[[#This Row],[Valor Nominal]]</f>
        <v>0</v>
      </c>
      <c r="AJ411" s="605">
        <f>+IF(Tabla3[[#This Row],[Amortización k | cupón de intereses]]="Amortización de K",IF(Tabla3[[#This Row],[Precio Clean]]&gt;1,Tabla3[[#This Row],[Valor Nominal]]*(Tabla3[[#This Row],[Precio Clean]]-1),0),0)</f>
        <v>0</v>
      </c>
      <c r="AK411" s="605">
        <f>+IF(Tabla3[[#This Row],[Amortización k | cupón de intereses]]="Amortización de K",IF(Tabla3[[#This Row],[Precio Clean]]&lt;1,Tabla3[[#This Row],[Valor Nominal]]*(Tabla3[[#This Row],[Precio Clean]]-1),0),0)</f>
        <v>0</v>
      </c>
    </row>
    <row r="412" spans="1:37">
      <c r="A412" s="502"/>
      <c r="B412" s="437" t="str">
        <f t="shared" si="248"/>
        <v>PEMEX</v>
      </c>
      <c r="C412" s="437" t="str">
        <f t="shared" si="248"/>
        <v>Pemex, 5.95% 28jan2031, USD  (US71654QDE98)</v>
      </c>
      <c r="D412" s="437" t="str">
        <f t="shared" si="248"/>
        <v>Bonos en el exterior</v>
      </c>
      <c r="E412" s="437" t="s">
        <v>561</v>
      </c>
      <c r="F412" s="437" t="str">
        <f t="shared" si="248"/>
        <v>Corporativo</v>
      </c>
      <c r="G412" s="437" t="str">
        <f t="shared" si="248"/>
        <v>Mexico</v>
      </c>
      <c r="H412" s="437">
        <f t="shared" si="249"/>
        <v>500</v>
      </c>
      <c r="I412" s="445">
        <v>29.75</v>
      </c>
      <c r="J412" s="462"/>
      <c r="K412" s="450"/>
      <c r="L412" s="462"/>
      <c r="M412" s="493"/>
      <c r="N412" s="493"/>
      <c r="O412" s="516">
        <f t="shared" si="250"/>
        <v>6.3277191436128727E-2</v>
      </c>
      <c r="P412" s="516">
        <f t="shared" si="250"/>
        <v>6.2306661421747567E-2</v>
      </c>
      <c r="Q412" s="450">
        <f t="shared" si="250"/>
        <v>46066</v>
      </c>
      <c r="R412" s="450">
        <v>47692</v>
      </c>
      <c r="S412" s="509" t="s">
        <v>146</v>
      </c>
      <c r="T412" s="510">
        <f>Tabla3[[#This Row],[Cantidad]]*Tabla3[[#This Row],[Cortes]]</f>
        <v>14875</v>
      </c>
      <c r="U412" s="583">
        <f t="shared" si="251"/>
        <v>11363.404229912501</v>
      </c>
      <c r="V412" s="511">
        <f t="shared" si="252"/>
        <v>11361.467697487347</v>
      </c>
      <c r="W412" s="497">
        <f>IF(Tabla3[[#This Row],[Fecha de operación]]=$C$1,0,U412-V412)</f>
        <v>1.9365324251539278</v>
      </c>
      <c r="X412" s="512" t="str">
        <f t="shared" si="216"/>
        <v>Vigente</v>
      </c>
      <c r="Y412" s="517" t="str">
        <f t="shared" ref="Y412:Y420" si="254">+Y411</f>
        <v>Semestral</v>
      </c>
      <c r="Z412" s="449">
        <f t="shared" si="217"/>
        <v>1580</v>
      </c>
      <c r="AA412" s="518">
        <f t="shared" si="253"/>
        <v>4.2167544137676582</v>
      </c>
      <c r="AB412" s="518">
        <f t="shared" si="253"/>
        <v>4.087433749832341</v>
      </c>
      <c r="AC412" s="449" t="s">
        <v>451</v>
      </c>
      <c r="AD412" s="449" t="s">
        <v>454</v>
      </c>
      <c r="AG412" s="605">
        <f>+IF(Tabla3[[#This Row],[Amortización k | cupón de intereses]]="Amortización de K",Tabla3[[#This Row],[Valor Nominal]],0)</f>
        <v>0</v>
      </c>
      <c r="AH412" s="605">
        <f>+IF(AND(Tabla3[[#This Row],[Amortización k | cupón de intereses]]="Cupón de interés",Tabla3[[#This Row],[Estado]]="Vigente"),Tabla3[[#This Row],[Valor Nominal]],0)</f>
        <v>14875</v>
      </c>
      <c r="AI412" s="618">
        <f>+IF(Tabla3[[#This Row],[Amortización k | cupón de intereses]]="Amortización de K",SUMIFS($AH$7:$AH$557,Tabla3[Código Emisión],Tabla3[[#This Row],[Código Emisión]],Tabla3[Fecha de operación],Tabla3[[#This Row],[Fecha de operación]]),0)-Tabla3[[#This Row],[Accrued]]*Tabla3[[#This Row],[Valor Nominal]]</f>
        <v>0</v>
      </c>
      <c r="AJ412" s="605">
        <f>+IF(Tabla3[[#This Row],[Amortización k | cupón de intereses]]="Amortización de K",IF(Tabla3[[#This Row],[Precio Clean]]&gt;1,Tabla3[[#This Row],[Valor Nominal]]*(Tabla3[[#This Row],[Precio Clean]]-1),0),0)</f>
        <v>0</v>
      </c>
      <c r="AK412" s="605">
        <f>+IF(Tabla3[[#This Row],[Amortización k | cupón de intereses]]="Amortización de K",IF(Tabla3[[#This Row],[Precio Clean]]&lt;1,Tabla3[[#This Row],[Valor Nominal]]*(Tabla3[[#This Row],[Precio Clean]]-1),0),0)</f>
        <v>0</v>
      </c>
    </row>
    <row r="413" spans="1:37">
      <c r="A413" s="502"/>
      <c r="B413" s="437" t="str">
        <f t="shared" si="248"/>
        <v>PEMEX</v>
      </c>
      <c r="C413" s="437" t="str">
        <f t="shared" si="248"/>
        <v>Pemex, 5.95% 28jan2031, USD  (US71654QDE98)</v>
      </c>
      <c r="D413" s="437" t="str">
        <f t="shared" si="248"/>
        <v>Bonos en el exterior</v>
      </c>
      <c r="E413" s="437" t="s">
        <v>561</v>
      </c>
      <c r="F413" s="437" t="str">
        <f t="shared" si="248"/>
        <v>Corporativo</v>
      </c>
      <c r="G413" s="437" t="str">
        <f t="shared" si="248"/>
        <v>Mexico</v>
      </c>
      <c r="H413" s="437">
        <f t="shared" si="249"/>
        <v>500</v>
      </c>
      <c r="I413" s="445">
        <v>29.75</v>
      </c>
      <c r="J413" s="462"/>
      <c r="K413" s="450"/>
      <c r="L413" s="462"/>
      <c r="M413" s="493"/>
      <c r="N413" s="493"/>
      <c r="O413" s="516">
        <f t="shared" si="250"/>
        <v>6.3277191436128727E-2</v>
      </c>
      <c r="P413" s="516">
        <f t="shared" si="250"/>
        <v>6.2306661421747567E-2</v>
      </c>
      <c r="Q413" s="450">
        <f t="shared" si="250"/>
        <v>46066</v>
      </c>
      <c r="R413" s="450">
        <v>47511</v>
      </c>
      <c r="S413" s="509" t="s">
        <v>146</v>
      </c>
      <c r="T413" s="510">
        <f>Tabla3[[#This Row],[Cantidad]]*Tabla3[[#This Row],[Cortes]]</f>
        <v>14875</v>
      </c>
      <c r="U413" s="583">
        <f t="shared" si="251"/>
        <v>11719.409322108413</v>
      </c>
      <c r="V413" s="511">
        <f t="shared" si="252"/>
        <v>11717.412119888308</v>
      </c>
      <c r="W413" s="497">
        <f>IF(Tabla3[[#This Row],[Fecha de operación]]=$C$1,0,U413-V413)</f>
        <v>1.9972022201054642</v>
      </c>
      <c r="X413" s="512" t="str">
        <f t="shared" si="216"/>
        <v>Vigente</v>
      </c>
      <c r="Y413" s="517" t="str">
        <f t="shared" si="254"/>
        <v>Semestral</v>
      </c>
      <c r="Z413" s="449">
        <f t="shared" si="217"/>
        <v>1399</v>
      </c>
      <c r="AA413" s="518">
        <f t="shared" si="253"/>
        <v>4.2167544137676582</v>
      </c>
      <c r="AB413" s="518">
        <f t="shared" si="253"/>
        <v>4.087433749832341</v>
      </c>
      <c r="AC413" s="449" t="s">
        <v>451</v>
      </c>
      <c r="AD413" s="449" t="s">
        <v>454</v>
      </c>
      <c r="AG413" s="605">
        <f>+IF(Tabla3[[#This Row],[Amortización k | cupón de intereses]]="Amortización de K",Tabla3[[#This Row],[Valor Nominal]],0)</f>
        <v>0</v>
      </c>
      <c r="AH413" s="605">
        <f>+IF(AND(Tabla3[[#This Row],[Amortización k | cupón de intereses]]="Cupón de interés",Tabla3[[#This Row],[Estado]]="Vigente"),Tabla3[[#This Row],[Valor Nominal]],0)</f>
        <v>14875</v>
      </c>
      <c r="AI413" s="618">
        <f>+IF(Tabla3[[#This Row],[Amortización k | cupón de intereses]]="Amortización de K",SUMIFS($AH$7:$AH$557,Tabla3[Código Emisión],Tabla3[[#This Row],[Código Emisión]],Tabla3[Fecha de operación],Tabla3[[#This Row],[Fecha de operación]]),0)-Tabla3[[#This Row],[Accrued]]*Tabla3[[#This Row],[Valor Nominal]]</f>
        <v>0</v>
      </c>
      <c r="AJ413" s="605">
        <f>+IF(Tabla3[[#This Row],[Amortización k | cupón de intereses]]="Amortización de K",IF(Tabla3[[#This Row],[Precio Clean]]&gt;1,Tabla3[[#This Row],[Valor Nominal]]*(Tabla3[[#This Row],[Precio Clean]]-1),0),0)</f>
        <v>0</v>
      </c>
      <c r="AK413" s="605">
        <f>+IF(Tabla3[[#This Row],[Amortización k | cupón de intereses]]="Amortización de K",IF(Tabla3[[#This Row],[Precio Clean]]&lt;1,Tabla3[[#This Row],[Valor Nominal]]*(Tabla3[[#This Row],[Precio Clean]]-1),0),0)</f>
        <v>0</v>
      </c>
    </row>
    <row r="414" spans="1:37">
      <c r="A414" s="502"/>
      <c r="B414" s="437" t="str">
        <f t="shared" si="248"/>
        <v>PEMEX</v>
      </c>
      <c r="C414" s="437" t="str">
        <f t="shared" si="248"/>
        <v>Pemex, 5.95% 28jan2031, USD  (US71654QDE98)</v>
      </c>
      <c r="D414" s="437" t="str">
        <f t="shared" si="248"/>
        <v>Bonos en el exterior</v>
      </c>
      <c r="E414" s="437" t="s">
        <v>561</v>
      </c>
      <c r="F414" s="437" t="str">
        <f t="shared" si="248"/>
        <v>Corporativo</v>
      </c>
      <c r="G414" s="437" t="str">
        <f t="shared" si="248"/>
        <v>Mexico</v>
      </c>
      <c r="H414" s="437">
        <f t="shared" si="249"/>
        <v>500</v>
      </c>
      <c r="I414" s="445">
        <v>29.75</v>
      </c>
      <c r="J414" s="462"/>
      <c r="K414" s="450"/>
      <c r="L414" s="462"/>
      <c r="M414" s="493"/>
      <c r="N414" s="493"/>
      <c r="O414" s="516">
        <f t="shared" si="250"/>
        <v>6.3277191436128727E-2</v>
      </c>
      <c r="P414" s="516">
        <f t="shared" si="250"/>
        <v>6.2306661421747567E-2</v>
      </c>
      <c r="Q414" s="450">
        <f t="shared" si="250"/>
        <v>46066</v>
      </c>
      <c r="R414" s="450">
        <v>47327</v>
      </c>
      <c r="S414" s="509" t="s">
        <v>146</v>
      </c>
      <c r="T414" s="510">
        <f>Tabla3[[#This Row],[Cantidad]]*Tabla3[[#This Row],[Cortes]]</f>
        <v>14875</v>
      </c>
      <c r="U414" s="583">
        <f t="shared" si="251"/>
        <v>12092.749154170384</v>
      </c>
      <c r="V414" s="511">
        <f t="shared" si="252"/>
        <v>12090.688327997828</v>
      </c>
      <c r="W414" s="497">
        <f>IF(Tabla3[[#This Row],[Fecha de operación]]=$C$1,0,U414-V414)</f>
        <v>2.0608261725556076</v>
      </c>
      <c r="X414" s="512" t="str">
        <f t="shared" si="216"/>
        <v>Vigente</v>
      </c>
      <c r="Y414" s="517" t="str">
        <f t="shared" si="254"/>
        <v>Semestral</v>
      </c>
      <c r="Z414" s="449">
        <f t="shared" si="217"/>
        <v>1215</v>
      </c>
      <c r="AA414" s="518">
        <f t="shared" si="253"/>
        <v>4.2167544137676582</v>
      </c>
      <c r="AB414" s="518">
        <f t="shared" si="253"/>
        <v>4.087433749832341</v>
      </c>
      <c r="AC414" s="449" t="s">
        <v>451</v>
      </c>
      <c r="AD414" s="449" t="s">
        <v>454</v>
      </c>
      <c r="AG414" s="605">
        <f>+IF(Tabla3[[#This Row],[Amortización k | cupón de intereses]]="Amortización de K",Tabla3[[#This Row],[Valor Nominal]],0)</f>
        <v>0</v>
      </c>
      <c r="AH414" s="605">
        <f>+IF(AND(Tabla3[[#This Row],[Amortización k | cupón de intereses]]="Cupón de interés",Tabla3[[#This Row],[Estado]]="Vigente"),Tabla3[[#This Row],[Valor Nominal]],0)</f>
        <v>14875</v>
      </c>
      <c r="AI414" s="618">
        <f>+IF(Tabla3[[#This Row],[Amortización k | cupón de intereses]]="Amortización de K",SUMIFS($AH$7:$AH$557,Tabla3[Código Emisión],Tabla3[[#This Row],[Código Emisión]],Tabla3[Fecha de operación],Tabla3[[#This Row],[Fecha de operación]]),0)-Tabla3[[#This Row],[Accrued]]*Tabla3[[#This Row],[Valor Nominal]]</f>
        <v>0</v>
      </c>
      <c r="AJ414" s="605">
        <f>+IF(Tabla3[[#This Row],[Amortización k | cupón de intereses]]="Amortización de K",IF(Tabla3[[#This Row],[Precio Clean]]&gt;1,Tabla3[[#This Row],[Valor Nominal]]*(Tabla3[[#This Row],[Precio Clean]]-1),0),0)</f>
        <v>0</v>
      </c>
      <c r="AK414" s="605">
        <f>+IF(Tabla3[[#This Row],[Amortización k | cupón de intereses]]="Amortización de K",IF(Tabla3[[#This Row],[Precio Clean]]&lt;1,Tabla3[[#This Row],[Valor Nominal]]*(Tabla3[[#This Row],[Precio Clean]]-1),0),0)</f>
        <v>0</v>
      </c>
    </row>
    <row r="415" spans="1:37">
      <c r="A415" s="502"/>
      <c r="B415" s="437" t="str">
        <f t="shared" si="248"/>
        <v>PEMEX</v>
      </c>
      <c r="C415" s="437" t="str">
        <f t="shared" si="248"/>
        <v>Pemex, 5.95% 28jan2031, USD  (US71654QDE98)</v>
      </c>
      <c r="D415" s="437" t="str">
        <f t="shared" si="248"/>
        <v>Bonos en el exterior</v>
      </c>
      <c r="E415" s="437" t="s">
        <v>561</v>
      </c>
      <c r="F415" s="437" t="str">
        <f t="shared" si="248"/>
        <v>Corporativo</v>
      </c>
      <c r="G415" s="437" t="str">
        <f t="shared" si="248"/>
        <v>Mexico</v>
      </c>
      <c r="H415" s="437">
        <f t="shared" si="249"/>
        <v>500</v>
      </c>
      <c r="I415" s="445">
        <v>29.75</v>
      </c>
      <c r="J415" s="462"/>
      <c r="K415" s="450"/>
      <c r="L415" s="462"/>
      <c r="M415" s="493"/>
      <c r="N415" s="493"/>
      <c r="O415" s="516">
        <f t="shared" si="250"/>
        <v>6.3277191436128727E-2</v>
      </c>
      <c r="P415" s="516">
        <f t="shared" si="250"/>
        <v>6.2306661421747567E-2</v>
      </c>
      <c r="Q415" s="450">
        <f t="shared" si="250"/>
        <v>46066</v>
      </c>
      <c r="R415" s="450">
        <v>47146</v>
      </c>
      <c r="S415" s="509" t="s">
        <v>146</v>
      </c>
      <c r="T415" s="510">
        <f>Tabla3[[#This Row],[Cantidad]]*Tabla3[[#This Row],[Cortes]]</f>
        <v>14875</v>
      </c>
      <c r="U415" s="583">
        <f t="shared" si="251"/>
        <v>12471.60395775116</v>
      </c>
      <c r="V415" s="511">
        <f t="shared" si="252"/>
        <v>12469.478567773895</v>
      </c>
      <c r="W415" s="497">
        <f>IF(Tabla3[[#This Row],[Fecha de operación]]=$C$1,0,U415-V415)</f>
        <v>2.1253899772655132</v>
      </c>
      <c r="X415" s="512" t="str">
        <f t="shared" si="216"/>
        <v>Vigente</v>
      </c>
      <c r="Y415" s="517" t="str">
        <f t="shared" si="254"/>
        <v>Semestral</v>
      </c>
      <c r="Z415" s="449">
        <f t="shared" si="217"/>
        <v>1034</v>
      </c>
      <c r="AA415" s="518">
        <f t="shared" si="253"/>
        <v>4.2167544137676582</v>
      </c>
      <c r="AB415" s="518">
        <f t="shared" si="253"/>
        <v>4.087433749832341</v>
      </c>
      <c r="AC415" s="449" t="s">
        <v>451</v>
      </c>
      <c r="AD415" s="449" t="s">
        <v>454</v>
      </c>
      <c r="AG415" s="605">
        <f>+IF(Tabla3[[#This Row],[Amortización k | cupón de intereses]]="Amortización de K",Tabla3[[#This Row],[Valor Nominal]],0)</f>
        <v>0</v>
      </c>
      <c r="AH415" s="605">
        <f>+IF(AND(Tabla3[[#This Row],[Amortización k | cupón de intereses]]="Cupón de interés",Tabla3[[#This Row],[Estado]]="Vigente"),Tabla3[[#This Row],[Valor Nominal]],0)</f>
        <v>14875</v>
      </c>
      <c r="AI415" s="618">
        <f>+IF(Tabla3[[#This Row],[Amortización k | cupón de intereses]]="Amortización de K",SUMIFS($AH$7:$AH$557,Tabla3[Código Emisión],Tabla3[[#This Row],[Código Emisión]],Tabla3[Fecha de operación],Tabla3[[#This Row],[Fecha de operación]]),0)-Tabla3[[#This Row],[Accrued]]*Tabla3[[#This Row],[Valor Nominal]]</f>
        <v>0</v>
      </c>
      <c r="AJ415" s="605">
        <f>+IF(Tabla3[[#This Row],[Amortización k | cupón de intereses]]="Amortización de K",IF(Tabla3[[#This Row],[Precio Clean]]&gt;1,Tabla3[[#This Row],[Valor Nominal]]*(Tabla3[[#This Row],[Precio Clean]]-1),0),0)</f>
        <v>0</v>
      </c>
      <c r="AK415" s="605">
        <f>+IF(Tabla3[[#This Row],[Amortización k | cupón de intereses]]="Amortización de K",IF(Tabla3[[#This Row],[Precio Clean]]&lt;1,Tabla3[[#This Row],[Valor Nominal]]*(Tabla3[[#This Row],[Precio Clean]]-1),0),0)</f>
        <v>0</v>
      </c>
    </row>
    <row r="416" spans="1:37">
      <c r="A416" s="502"/>
      <c r="B416" s="437" t="str">
        <f t="shared" si="248"/>
        <v>PEMEX</v>
      </c>
      <c r="C416" s="437" t="str">
        <f t="shared" si="248"/>
        <v>Pemex, 5.95% 28jan2031, USD  (US71654QDE98)</v>
      </c>
      <c r="D416" s="437" t="str">
        <f t="shared" si="248"/>
        <v>Bonos en el exterior</v>
      </c>
      <c r="E416" s="437" t="s">
        <v>561</v>
      </c>
      <c r="F416" s="437" t="str">
        <f t="shared" si="248"/>
        <v>Corporativo</v>
      </c>
      <c r="G416" s="437" t="str">
        <f t="shared" si="248"/>
        <v>Mexico</v>
      </c>
      <c r="H416" s="437">
        <f t="shared" si="249"/>
        <v>500</v>
      </c>
      <c r="I416" s="445">
        <v>29.75</v>
      </c>
      <c r="J416" s="462"/>
      <c r="K416" s="450"/>
      <c r="L416" s="462"/>
      <c r="M416" s="493"/>
      <c r="N416" s="493"/>
      <c r="O416" s="516">
        <f t="shared" si="250"/>
        <v>6.3277191436128727E-2</v>
      </c>
      <c r="P416" s="516">
        <f t="shared" si="250"/>
        <v>6.2306661421747567E-2</v>
      </c>
      <c r="Q416" s="450">
        <f t="shared" si="250"/>
        <v>46066</v>
      </c>
      <c r="R416" s="450">
        <v>46962</v>
      </c>
      <c r="S416" s="509" t="s">
        <v>146</v>
      </c>
      <c r="T416" s="510">
        <f>Tabla3[[#This Row],[Cantidad]]*Tabla3[[#This Row],[Cortes]]</f>
        <v>14875</v>
      </c>
      <c r="U416" s="583">
        <f t="shared" si="251"/>
        <v>12868.906108325122</v>
      </c>
      <c r="V416" s="511">
        <f t="shared" si="252"/>
        <v>12866.71301077699</v>
      </c>
      <c r="W416" s="497">
        <f>IF(Tabla3[[#This Row],[Fecha de operación]]=$C$1,0,U416-V416)</f>
        <v>2.1930975481318455</v>
      </c>
      <c r="X416" s="512" t="str">
        <f t="shared" si="216"/>
        <v>Vigente</v>
      </c>
      <c r="Y416" s="517" t="str">
        <f t="shared" si="254"/>
        <v>Semestral</v>
      </c>
      <c r="Z416" s="449">
        <f t="shared" si="217"/>
        <v>850</v>
      </c>
      <c r="AA416" s="518">
        <f t="shared" si="253"/>
        <v>4.2167544137676582</v>
      </c>
      <c r="AB416" s="518">
        <f t="shared" si="253"/>
        <v>4.087433749832341</v>
      </c>
      <c r="AC416" s="449" t="s">
        <v>451</v>
      </c>
      <c r="AD416" s="449" t="s">
        <v>454</v>
      </c>
      <c r="AG416" s="605">
        <f>+IF(Tabla3[[#This Row],[Amortización k | cupón de intereses]]="Amortización de K",Tabla3[[#This Row],[Valor Nominal]],0)</f>
        <v>0</v>
      </c>
      <c r="AH416" s="605">
        <f>+IF(AND(Tabla3[[#This Row],[Amortización k | cupón de intereses]]="Cupón de interés",Tabla3[[#This Row],[Estado]]="Vigente"),Tabla3[[#This Row],[Valor Nominal]],0)</f>
        <v>14875</v>
      </c>
      <c r="AI416" s="618">
        <f>+IF(Tabla3[[#This Row],[Amortización k | cupón de intereses]]="Amortización de K",SUMIFS($AH$7:$AH$557,Tabla3[Código Emisión],Tabla3[[#This Row],[Código Emisión]],Tabla3[Fecha de operación],Tabla3[[#This Row],[Fecha de operación]]),0)-Tabla3[[#This Row],[Accrued]]*Tabla3[[#This Row],[Valor Nominal]]</f>
        <v>0</v>
      </c>
      <c r="AJ416" s="605">
        <f>+IF(Tabla3[[#This Row],[Amortización k | cupón de intereses]]="Amortización de K",IF(Tabla3[[#This Row],[Precio Clean]]&gt;1,Tabla3[[#This Row],[Valor Nominal]]*(Tabla3[[#This Row],[Precio Clean]]-1),0),0)</f>
        <v>0</v>
      </c>
      <c r="AK416" s="605">
        <f>+IF(Tabla3[[#This Row],[Amortización k | cupón de intereses]]="Amortización de K",IF(Tabla3[[#This Row],[Precio Clean]]&lt;1,Tabla3[[#This Row],[Valor Nominal]]*(Tabla3[[#This Row],[Precio Clean]]-1),0),0)</f>
        <v>0</v>
      </c>
    </row>
    <row r="417" spans="1:37">
      <c r="A417" s="502"/>
      <c r="B417" s="437" t="str">
        <f t="shared" si="248"/>
        <v>PEMEX</v>
      </c>
      <c r="C417" s="437" t="str">
        <f t="shared" si="248"/>
        <v>Pemex, 5.95% 28jan2031, USD  (US71654QDE98)</v>
      </c>
      <c r="D417" s="437" t="str">
        <f t="shared" si="248"/>
        <v>Bonos en el exterior</v>
      </c>
      <c r="E417" s="437" t="s">
        <v>561</v>
      </c>
      <c r="F417" s="437" t="str">
        <f t="shared" si="248"/>
        <v>Corporativo</v>
      </c>
      <c r="G417" s="437" t="str">
        <f t="shared" si="248"/>
        <v>Mexico</v>
      </c>
      <c r="H417" s="437">
        <f t="shared" si="249"/>
        <v>500</v>
      </c>
      <c r="I417" s="445">
        <v>29.75</v>
      </c>
      <c r="J417" s="462"/>
      <c r="K417" s="450"/>
      <c r="L417" s="462"/>
      <c r="M417" s="493"/>
      <c r="N417" s="493"/>
      <c r="O417" s="516">
        <f t="shared" si="250"/>
        <v>6.3277191436128727E-2</v>
      </c>
      <c r="P417" s="516">
        <f t="shared" si="250"/>
        <v>6.2306661421747567E-2</v>
      </c>
      <c r="Q417" s="450">
        <f t="shared" si="250"/>
        <v>46066</v>
      </c>
      <c r="R417" s="450">
        <v>46780</v>
      </c>
      <c r="S417" s="509" t="s">
        <v>146</v>
      </c>
      <c r="T417" s="510">
        <f>Tabla3[[#This Row],[Cantidad]]*Tabla3[[#This Row],[Cortes]]</f>
        <v>14875</v>
      </c>
      <c r="U417" s="583">
        <f t="shared" si="251"/>
        <v>13274.339392312593</v>
      </c>
      <c r="V417" s="511">
        <f t="shared" si="252"/>
        <v>13272.07720149938</v>
      </c>
      <c r="W417" s="497">
        <f>IF(Tabla3[[#This Row],[Fecha de operación]]=$C$1,0,U417-V417)</f>
        <v>2.2621908132132376</v>
      </c>
      <c r="X417" s="512" t="str">
        <f t="shared" si="216"/>
        <v>Vigente</v>
      </c>
      <c r="Y417" s="517" t="str">
        <f t="shared" si="254"/>
        <v>Semestral</v>
      </c>
      <c r="Z417" s="449">
        <f t="shared" si="217"/>
        <v>668</v>
      </c>
      <c r="AA417" s="518">
        <f t="shared" si="253"/>
        <v>4.2167544137676582</v>
      </c>
      <c r="AB417" s="518">
        <f t="shared" si="253"/>
        <v>4.087433749832341</v>
      </c>
      <c r="AC417" s="449" t="s">
        <v>451</v>
      </c>
      <c r="AD417" s="449" t="s">
        <v>454</v>
      </c>
      <c r="AG417" s="605">
        <f>+IF(Tabla3[[#This Row],[Amortización k | cupón de intereses]]="Amortización de K",Tabla3[[#This Row],[Valor Nominal]],0)</f>
        <v>0</v>
      </c>
      <c r="AH417" s="605">
        <f>+IF(AND(Tabla3[[#This Row],[Amortización k | cupón de intereses]]="Cupón de interés",Tabla3[[#This Row],[Estado]]="Vigente"),Tabla3[[#This Row],[Valor Nominal]],0)</f>
        <v>14875</v>
      </c>
      <c r="AI417" s="618">
        <f>+IF(Tabla3[[#This Row],[Amortización k | cupón de intereses]]="Amortización de K",SUMIFS($AH$7:$AH$557,Tabla3[Código Emisión],Tabla3[[#This Row],[Código Emisión]],Tabla3[Fecha de operación],Tabla3[[#This Row],[Fecha de operación]]),0)-Tabla3[[#This Row],[Accrued]]*Tabla3[[#This Row],[Valor Nominal]]</f>
        <v>0</v>
      </c>
      <c r="AJ417" s="605">
        <f>+IF(Tabla3[[#This Row],[Amortización k | cupón de intereses]]="Amortización de K",IF(Tabla3[[#This Row],[Precio Clean]]&gt;1,Tabla3[[#This Row],[Valor Nominal]]*(Tabla3[[#This Row],[Precio Clean]]-1),0),0)</f>
        <v>0</v>
      </c>
      <c r="AK417" s="605">
        <f>+IF(Tabla3[[#This Row],[Amortización k | cupón de intereses]]="Amortización de K",IF(Tabla3[[#This Row],[Precio Clean]]&lt;1,Tabla3[[#This Row],[Valor Nominal]]*(Tabla3[[#This Row],[Precio Clean]]-1),0),0)</f>
        <v>0</v>
      </c>
    </row>
    <row r="418" spans="1:37">
      <c r="A418" s="502"/>
      <c r="B418" s="437" t="str">
        <f t="shared" si="248"/>
        <v>PEMEX</v>
      </c>
      <c r="C418" s="437" t="str">
        <f t="shared" si="248"/>
        <v>Pemex, 5.95% 28jan2031, USD  (US71654QDE98)</v>
      </c>
      <c r="D418" s="437" t="str">
        <f t="shared" si="248"/>
        <v>Bonos en el exterior</v>
      </c>
      <c r="E418" s="437" t="s">
        <v>561</v>
      </c>
      <c r="F418" s="437" t="str">
        <f t="shared" si="248"/>
        <v>Corporativo</v>
      </c>
      <c r="G418" s="437" t="str">
        <f t="shared" si="248"/>
        <v>Mexico</v>
      </c>
      <c r="H418" s="437">
        <f t="shared" si="249"/>
        <v>500</v>
      </c>
      <c r="I418" s="445">
        <v>29.75</v>
      </c>
      <c r="J418" s="462"/>
      <c r="K418" s="450"/>
      <c r="L418" s="462"/>
      <c r="M418" s="493"/>
      <c r="N418" s="493"/>
      <c r="O418" s="516">
        <f t="shared" si="250"/>
        <v>6.3277191436128727E-2</v>
      </c>
      <c r="P418" s="516">
        <f t="shared" si="250"/>
        <v>6.2306661421747567E-2</v>
      </c>
      <c r="Q418" s="450">
        <f t="shared" si="250"/>
        <v>46066</v>
      </c>
      <c r="R418" s="450">
        <v>46596</v>
      </c>
      <c r="S418" s="509" t="s">
        <v>146</v>
      </c>
      <c r="T418" s="510">
        <f>Tabla3[[#This Row],[Cantidad]]*Tabla3[[#This Row],[Cortes]]</f>
        <v>14875</v>
      </c>
      <c r="U418" s="583">
        <f t="shared" si="251"/>
        <v>13697.213916381867</v>
      </c>
      <c r="V418" s="511">
        <f t="shared" si="252"/>
        <v>13694.879659996481</v>
      </c>
      <c r="W418" s="497">
        <f>IF(Tabla3[[#This Row],[Fecha de operación]]=$C$1,0,U418-V418)</f>
        <v>2.3342563853857428</v>
      </c>
      <c r="X418" s="512" t="str">
        <f t="shared" si="216"/>
        <v>Vigente</v>
      </c>
      <c r="Y418" s="517" t="str">
        <f t="shared" si="254"/>
        <v>Semestral</v>
      </c>
      <c r="Z418" s="449">
        <f t="shared" si="217"/>
        <v>484</v>
      </c>
      <c r="AA418" s="518">
        <f t="shared" si="253"/>
        <v>4.2167544137676582</v>
      </c>
      <c r="AB418" s="518">
        <f t="shared" si="253"/>
        <v>4.087433749832341</v>
      </c>
      <c r="AC418" s="449" t="s">
        <v>451</v>
      </c>
      <c r="AD418" s="449" t="s">
        <v>454</v>
      </c>
      <c r="AG418" s="605">
        <f>+IF(Tabla3[[#This Row],[Amortización k | cupón de intereses]]="Amortización de K",Tabla3[[#This Row],[Valor Nominal]],0)</f>
        <v>0</v>
      </c>
      <c r="AH418" s="605">
        <f>+IF(AND(Tabla3[[#This Row],[Amortización k | cupón de intereses]]="Cupón de interés",Tabla3[[#This Row],[Estado]]="Vigente"),Tabla3[[#This Row],[Valor Nominal]],0)</f>
        <v>14875</v>
      </c>
      <c r="AI418" s="618">
        <f>+IF(Tabla3[[#This Row],[Amortización k | cupón de intereses]]="Amortización de K",SUMIFS($AH$7:$AH$557,Tabla3[Código Emisión],Tabla3[[#This Row],[Código Emisión]],Tabla3[Fecha de operación],Tabla3[[#This Row],[Fecha de operación]]),0)-Tabla3[[#This Row],[Accrued]]*Tabla3[[#This Row],[Valor Nominal]]</f>
        <v>0</v>
      </c>
      <c r="AJ418" s="605">
        <f>+IF(Tabla3[[#This Row],[Amortización k | cupón de intereses]]="Amortización de K",IF(Tabla3[[#This Row],[Precio Clean]]&gt;1,Tabla3[[#This Row],[Valor Nominal]]*(Tabla3[[#This Row],[Precio Clean]]-1),0),0)</f>
        <v>0</v>
      </c>
      <c r="AK418" s="605">
        <f>+IF(Tabla3[[#This Row],[Amortización k | cupón de intereses]]="Amortización de K",IF(Tabla3[[#This Row],[Precio Clean]]&lt;1,Tabla3[[#This Row],[Valor Nominal]]*(Tabla3[[#This Row],[Precio Clean]]-1),0),0)</f>
        <v>0</v>
      </c>
    </row>
    <row r="419" spans="1:37">
      <c r="A419" s="502"/>
      <c r="B419" s="437" t="str">
        <f t="shared" si="248"/>
        <v>PEMEX</v>
      </c>
      <c r="C419" s="437" t="str">
        <f t="shared" si="248"/>
        <v>Pemex, 5.95% 28jan2031, USD  (US71654QDE98)</v>
      </c>
      <c r="D419" s="437" t="str">
        <f t="shared" si="248"/>
        <v>Bonos en el exterior</v>
      </c>
      <c r="E419" s="437" t="s">
        <v>561</v>
      </c>
      <c r="F419" s="437" t="str">
        <f t="shared" si="248"/>
        <v>Corporativo</v>
      </c>
      <c r="G419" s="437" t="str">
        <f t="shared" si="248"/>
        <v>Mexico</v>
      </c>
      <c r="H419" s="437">
        <f t="shared" si="249"/>
        <v>500</v>
      </c>
      <c r="I419" s="445">
        <v>29.75</v>
      </c>
      <c r="J419" s="462"/>
      <c r="K419" s="450"/>
      <c r="L419" s="462"/>
      <c r="M419" s="493"/>
      <c r="N419" s="493"/>
      <c r="O419" s="516">
        <f t="shared" si="250"/>
        <v>6.3277191436128727E-2</v>
      </c>
      <c r="P419" s="516">
        <f t="shared" si="250"/>
        <v>6.2306661421747567E-2</v>
      </c>
      <c r="Q419" s="450">
        <f t="shared" si="250"/>
        <v>46066</v>
      </c>
      <c r="R419" s="450">
        <v>46415</v>
      </c>
      <c r="S419" s="509" t="s">
        <v>146</v>
      </c>
      <c r="T419" s="510">
        <f>Tabla3[[#This Row],[Cantidad]]*Tabla3[[#This Row],[Cortes]]</f>
        <v>14875</v>
      </c>
      <c r="U419" s="583">
        <f t="shared" si="251"/>
        <v>14126.335137845816</v>
      </c>
      <c r="V419" s="511">
        <f t="shared" si="252"/>
        <v>14123.927751336494</v>
      </c>
      <c r="W419" s="497">
        <f>IF(Tabla3[[#This Row],[Fecha de operación]]=$C$1,0,U419-V419)</f>
        <v>2.4073865093214408</v>
      </c>
      <c r="X419" s="512" t="str">
        <f t="shared" si="216"/>
        <v>Vigente</v>
      </c>
      <c r="Y419" s="517" t="str">
        <f t="shared" si="254"/>
        <v>Semestral</v>
      </c>
      <c r="Z419" s="449">
        <f t="shared" si="217"/>
        <v>303</v>
      </c>
      <c r="AA419" s="518">
        <f t="shared" si="253"/>
        <v>4.2167544137676582</v>
      </c>
      <c r="AB419" s="518">
        <f t="shared" si="253"/>
        <v>4.087433749832341</v>
      </c>
      <c r="AC419" s="449" t="s">
        <v>451</v>
      </c>
      <c r="AD419" s="449" t="s">
        <v>454</v>
      </c>
      <c r="AG419" s="605">
        <f>+IF(Tabla3[[#This Row],[Amortización k | cupón de intereses]]="Amortización de K",Tabla3[[#This Row],[Valor Nominal]],0)</f>
        <v>0</v>
      </c>
      <c r="AH419" s="605">
        <f>+IF(AND(Tabla3[[#This Row],[Amortización k | cupón de intereses]]="Cupón de interés",Tabla3[[#This Row],[Estado]]="Vigente"),Tabla3[[#This Row],[Valor Nominal]],0)</f>
        <v>14875</v>
      </c>
      <c r="AI419" s="618">
        <f>+IF(Tabla3[[#This Row],[Amortización k | cupón de intereses]]="Amortización de K",SUMIFS($AH$7:$AH$557,Tabla3[Código Emisión],Tabla3[[#This Row],[Código Emisión]],Tabla3[Fecha de operación],Tabla3[[#This Row],[Fecha de operación]]),0)-Tabla3[[#This Row],[Accrued]]*Tabla3[[#This Row],[Valor Nominal]]</f>
        <v>0</v>
      </c>
      <c r="AJ419" s="605">
        <f>+IF(Tabla3[[#This Row],[Amortización k | cupón de intereses]]="Amortización de K",IF(Tabla3[[#This Row],[Precio Clean]]&gt;1,Tabla3[[#This Row],[Valor Nominal]]*(Tabla3[[#This Row],[Precio Clean]]-1),0),0)</f>
        <v>0</v>
      </c>
      <c r="AK419" s="605">
        <f>+IF(Tabla3[[#This Row],[Amortización k | cupón de intereses]]="Amortización de K",IF(Tabla3[[#This Row],[Precio Clean]]&lt;1,Tabla3[[#This Row],[Valor Nominal]]*(Tabla3[[#This Row],[Precio Clean]]-1),0),0)</f>
        <v>0</v>
      </c>
    </row>
    <row r="420" spans="1:37">
      <c r="A420" s="502"/>
      <c r="B420" s="437" t="str">
        <f t="shared" si="248"/>
        <v>PEMEX</v>
      </c>
      <c r="C420" s="437" t="str">
        <f t="shared" si="248"/>
        <v>Pemex, 5.95% 28jan2031, USD  (US71654QDE98)</v>
      </c>
      <c r="D420" s="437" t="str">
        <f t="shared" si="248"/>
        <v>Bonos en el exterior</v>
      </c>
      <c r="E420" s="437" t="s">
        <v>561</v>
      </c>
      <c r="F420" s="437" t="str">
        <f t="shared" si="248"/>
        <v>Corporativo</v>
      </c>
      <c r="G420" s="437" t="str">
        <f t="shared" si="248"/>
        <v>Mexico</v>
      </c>
      <c r="H420" s="437">
        <f t="shared" si="249"/>
        <v>500</v>
      </c>
      <c r="I420" s="445">
        <v>29.75</v>
      </c>
      <c r="J420" s="462"/>
      <c r="K420" s="450"/>
      <c r="L420" s="462"/>
      <c r="M420" s="493"/>
      <c r="N420" s="493"/>
      <c r="O420" s="516">
        <f t="shared" si="250"/>
        <v>6.3277191436128727E-2</v>
      </c>
      <c r="P420" s="516">
        <f t="shared" si="250"/>
        <v>6.2306661421747567E-2</v>
      </c>
      <c r="Q420" s="450">
        <f t="shared" si="250"/>
        <v>46066</v>
      </c>
      <c r="R420" s="450">
        <v>46231</v>
      </c>
      <c r="S420" s="509" t="s">
        <v>146</v>
      </c>
      <c r="T420" s="510">
        <f>Tabla3[[#This Row],[Cantidad]]*Tabla3[[#This Row],[Cortes]]</f>
        <v>14875</v>
      </c>
      <c r="U420" s="583">
        <f t="shared" si="251"/>
        <v>14576.351298478185</v>
      </c>
      <c r="V420" s="511">
        <f t="shared" si="252"/>
        <v>14573.867220964192</v>
      </c>
      <c r="W420" s="497">
        <f>IF(Tabla3[[#This Row],[Fecha de operación]]=$C$1,0,U420-V420)</f>
        <v>2.4840775139928155</v>
      </c>
      <c r="X420" s="512" t="str">
        <f t="shared" si="216"/>
        <v>Vigente</v>
      </c>
      <c r="Y420" s="517" t="str">
        <f t="shared" si="254"/>
        <v>Semestral</v>
      </c>
      <c r="Z420" s="449">
        <f t="shared" si="217"/>
        <v>119</v>
      </c>
      <c r="AA420" s="518">
        <f t="shared" si="253"/>
        <v>4.2167544137676582</v>
      </c>
      <c r="AB420" s="518">
        <f t="shared" si="253"/>
        <v>4.087433749832341</v>
      </c>
      <c r="AC420" s="449" t="s">
        <v>451</v>
      </c>
      <c r="AD420" s="449" t="s">
        <v>454</v>
      </c>
      <c r="AG420" s="605">
        <f>+IF(Tabla3[[#This Row],[Amortización k | cupón de intereses]]="Amortización de K",Tabla3[[#This Row],[Valor Nominal]],0)</f>
        <v>0</v>
      </c>
      <c r="AH420" s="605">
        <f>+IF(AND(Tabla3[[#This Row],[Amortización k | cupón de intereses]]="Cupón de interés",Tabla3[[#This Row],[Estado]]="Vigente"),Tabla3[[#This Row],[Valor Nominal]],0)</f>
        <v>14875</v>
      </c>
      <c r="AI420" s="618">
        <f>+IF(Tabla3[[#This Row],[Amortización k | cupón de intereses]]="Amortización de K",SUMIFS($AH$7:$AH$557,Tabla3[Código Emisión],Tabla3[[#This Row],[Código Emisión]],Tabla3[Fecha de operación],Tabla3[[#This Row],[Fecha de operación]]),0)-Tabla3[[#This Row],[Accrued]]*Tabla3[[#This Row],[Valor Nominal]]</f>
        <v>0</v>
      </c>
      <c r="AJ420" s="605">
        <f>+IF(Tabla3[[#This Row],[Amortización k | cupón de intereses]]="Amortización de K",IF(Tabla3[[#This Row],[Precio Clean]]&gt;1,Tabla3[[#This Row],[Valor Nominal]]*(Tabla3[[#This Row],[Precio Clean]]-1),0),0)</f>
        <v>0</v>
      </c>
      <c r="AK420" s="605">
        <f>+IF(Tabla3[[#This Row],[Amortización k | cupón de intereses]]="Amortización de K",IF(Tabla3[[#This Row],[Precio Clean]]&lt;1,Tabla3[[#This Row],[Valor Nominal]]*(Tabla3[[#This Row],[Precio Clean]]-1),0),0)</f>
        <v>0</v>
      </c>
    </row>
    <row r="421" spans="1:37" ht="15">
      <c r="A421" s="500">
        <f>+A410+1</f>
        <v>42</v>
      </c>
      <c r="B421" s="475" t="s">
        <v>617</v>
      </c>
      <c r="C421" s="475" t="s">
        <v>618</v>
      </c>
      <c r="D421" s="475" t="s">
        <v>466</v>
      </c>
      <c r="E421" s="475" t="s">
        <v>612</v>
      </c>
      <c r="F421" s="475" t="s">
        <v>513</v>
      </c>
      <c r="G421" s="475" t="s">
        <v>613</v>
      </c>
      <c r="H421" s="475">
        <v>500</v>
      </c>
      <c r="I421" s="477">
        <v>1000</v>
      </c>
      <c r="J421" s="478">
        <v>4.3749999999999997E-2</v>
      </c>
      <c r="K421" s="479">
        <f>_xlfn.MAXIFS(R:R,C:C,C421,AD:AD,"Cupón de interés",X:X,"Vencido")</f>
        <v>46068</v>
      </c>
      <c r="L421" s="478">
        <f>+Tabla3[[#This Row],[Tasa de Interés]]*($U$5-Tabla3[[#This Row],[Last coupon]])/365</f>
        <v>5.2739726027397254E-3</v>
      </c>
      <c r="M421" s="480">
        <f>+Tabla3[[#This Row],[Precio Dirty]]-Tabla3[[#This Row],[Accrued]]</f>
        <v>0.91774246851030639</v>
      </c>
      <c r="N421" s="481">
        <f>SUMIFS(U:U,C:C,C421,Q:Q,Q421)/SUMIFS(T:T,C:C,C421,Q:Q,Q421,AD:AD,"Amortización de K")</f>
        <v>0.92301644111304615</v>
      </c>
      <c r="O421" s="482">
        <v>6.3676395143262163E-2</v>
      </c>
      <c r="P421" s="482">
        <f>+NOMINAL(Tabla3[[#This Row],[YTM]],2)</f>
        <v>6.2693768006547579E-2</v>
      </c>
      <c r="Q421" s="484">
        <v>46066</v>
      </c>
      <c r="R421" s="484">
        <v>47894</v>
      </c>
      <c r="S421" s="504" t="s">
        <v>146</v>
      </c>
      <c r="T421" s="510">
        <f>Tabla3[[#This Row],[Cantidad]]*Tabla3[[#This Row],[Cortes]]</f>
        <v>500000</v>
      </c>
      <c r="U421" s="583">
        <f>IF(X421="VIgente",(T421/(1+O421)^((R421-$U$5)/360)))</f>
        <v>368351.86449969828</v>
      </c>
      <c r="V421" s="583">
        <f>IF(X421="VIgente",(T421/(1+O421)^((R421-$V$5)/360)))</f>
        <v>368288.70656940213</v>
      </c>
      <c r="W421" s="510">
        <f>IF(Tabla3[[#This Row],[Fecha de operación]]=$C$1,0,U421-V421)</f>
        <v>63.157930296147242</v>
      </c>
      <c r="X421" s="507" t="str">
        <f t="shared" ref="X421:X484" si="255">IF(R421&lt;=$U$5,"Vencido","Vigente")</f>
        <v>Vigente</v>
      </c>
      <c r="Y421" s="489" t="s">
        <v>488</v>
      </c>
      <c r="Z421" s="488">
        <f t="shared" ref="Z421:Z484" si="256">+R421-$U$5</f>
        <v>1782</v>
      </c>
      <c r="AA421" s="508">
        <f>IF(Y421="Mensual",DURATION($C$1,$C$1+Z421*12,J421/12,O421/12,1)/12,DURATION($C$1,R421,J421,O421,IF(Y421="Cupón cero",1,IF(Y421="Al vencimiento",1,IF(Y421="Anual",1,IF(Y421="Semestral",2,IF(Y421="Trimestral",4,"")))))))</f>
        <v>4.3919938830599277</v>
      </c>
      <c r="AB421" s="508">
        <f>IF(Y421="Mensual",MDURATION($C$1,$C$1+Z421*12,J421/12,O421/12,1)/12,MDURATION($C$1,R421,J421,O421,IF(Y421="Cupón cero",1,IF(Y421="Al vencimiento",1,IF(Y421="Anual",1,IF(Y421="Semestral",2,IF(Y421="Trimestral",4,"")))))))</f>
        <v>4.2564753789850194</v>
      </c>
      <c r="AC421" s="488" t="s">
        <v>451</v>
      </c>
      <c r="AD421" s="488" t="s">
        <v>452</v>
      </c>
      <c r="AG421" s="605">
        <f>+IF(Tabla3[[#This Row],[Amortización k | cupón de intereses]]="Amortización de K",Tabla3[[#This Row],[Valor Nominal]],0)</f>
        <v>500000</v>
      </c>
      <c r="AH421" s="605">
        <f>+IF(AND(Tabla3[[#This Row],[Amortización k | cupón de intereses]]="Cupón de interés",Tabla3[[#This Row],[Estado]]="Vigente"),Tabla3[[#This Row],[Valor Nominal]],0)</f>
        <v>0</v>
      </c>
      <c r="AI421" s="618">
        <f>+IF(Tabla3[[#This Row],[Amortización k | cupón de intereses]]="Amortización de K",SUMIFS($AH$7:$AH$557,Tabla3[Código Emisión],Tabla3[[#This Row],[Código Emisión]],Tabla3[Fecha de operación],Tabla3[[#This Row],[Fecha de operación]]),0)-Tabla3[[#This Row],[Accrued]]*Tabla3[[#This Row],[Valor Nominal]]</f>
        <v>106738.01369863014</v>
      </c>
      <c r="AJ421" s="605">
        <f>+IF(Tabla3[[#This Row],[Amortización k | cupón de intereses]]="Amortización de K",IF(Tabla3[[#This Row],[Precio Clean]]&gt;1,Tabla3[[#This Row],[Valor Nominal]]*(Tabla3[[#This Row],[Precio Clean]]-1),0),0)</f>
        <v>0</v>
      </c>
      <c r="AK421" s="605">
        <f>+IF(Tabla3[[#This Row],[Amortización k | cupón de intereses]]="Amortización de K",IF(Tabla3[[#This Row],[Precio Clean]]&lt;1,Tabla3[[#This Row],[Valor Nominal]]*(Tabla3[[#This Row],[Precio Clean]]-1),0),0)</f>
        <v>-41128.765744846809</v>
      </c>
    </row>
    <row r="422" spans="1:37">
      <c r="A422" s="502"/>
      <c r="B422" s="437" t="str">
        <f>+B421</f>
        <v>Empresas Publicas de Medellin</v>
      </c>
      <c r="C422" s="437" t="str">
        <f t="shared" ref="C422" si="257">+C421</f>
        <v>Empresas Publicas de Medellin, 4.375%  (USP9379RBC09)</v>
      </c>
      <c r="D422" s="437" t="str">
        <f>+D421</f>
        <v>Bonos en el exterior</v>
      </c>
      <c r="E422" s="437" t="s">
        <v>612</v>
      </c>
      <c r="F422" s="437" t="str">
        <f>+F421</f>
        <v>Corporativo</v>
      </c>
      <c r="G422" s="437" t="str">
        <f>+G421</f>
        <v>Colombia</v>
      </c>
      <c r="H422" s="437">
        <f t="shared" si="249"/>
        <v>500</v>
      </c>
      <c r="I422" s="445">
        <v>21.875</v>
      </c>
      <c r="J422" s="462"/>
      <c r="K422" s="450"/>
      <c r="L422" s="462"/>
      <c r="M422" s="493"/>
      <c r="N422" s="493"/>
      <c r="O422" s="516">
        <f t="shared" ref="O422:Q432" si="258">+O421</f>
        <v>6.3676395143262163E-2</v>
      </c>
      <c r="P422" s="516">
        <f t="shared" si="258"/>
        <v>6.2693768006547579E-2</v>
      </c>
      <c r="Q422" s="450">
        <f t="shared" si="258"/>
        <v>46066</v>
      </c>
      <c r="R422" s="450">
        <v>47894</v>
      </c>
      <c r="S422" s="509" t="s">
        <v>146</v>
      </c>
      <c r="T422" s="510">
        <f>Tabla3[[#This Row],[Cantidad]]*Tabla3[[#This Row],[Cortes]]</f>
        <v>10937.5</v>
      </c>
      <c r="U422" s="583">
        <f t="shared" ref="U422:U432" si="259">IF(X422="VIgente",(T422/(1+O422)^((R422-$U$5)/360)))</f>
        <v>8057.6970359308998</v>
      </c>
      <c r="V422" s="511">
        <f t="shared" ref="V422:V432" si="260">IF(X422="VIgente",(T422/(1+O422)^((R422-$V$5)/360)))</f>
        <v>8056.3154562056716</v>
      </c>
      <c r="W422" s="497">
        <f>IF(Tabla3[[#This Row],[Fecha de operación]]=$C$1,0,U422-V422)</f>
        <v>1.3815797252282209</v>
      </c>
      <c r="X422" s="512" t="str">
        <f t="shared" si="255"/>
        <v>Vigente</v>
      </c>
      <c r="Y422" s="517" t="str">
        <f>+Y421</f>
        <v>Semestral</v>
      </c>
      <c r="Z422" s="449">
        <f t="shared" si="256"/>
        <v>1782</v>
      </c>
      <c r="AA422" s="518">
        <f t="shared" ref="AA422:AB432" si="261">+AA421</f>
        <v>4.3919938830599277</v>
      </c>
      <c r="AB422" s="518">
        <f t="shared" si="261"/>
        <v>4.2564753789850194</v>
      </c>
      <c r="AC422" s="449" t="s">
        <v>451</v>
      </c>
      <c r="AD422" s="449" t="s">
        <v>454</v>
      </c>
      <c r="AG422" s="605">
        <f>+IF(Tabla3[[#This Row],[Amortización k | cupón de intereses]]="Amortización de K",Tabla3[[#This Row],[Valor Nominal]],0)</f>
        <v>0</v>
      </c>
      <c r="AH422" s="605">
        <f>+IF(AND(Tabla3[[#This Row],[Amortización k | cupón de intereses]]="Cupón de interés",Tabla3[[#This Row],[Estado]]="Vigente"),Tabla3[[#This Row],[Valor Nominal]],0)</f>
        <v>10937.5</v>
      </c>
      <c r="AI422" s="618">
        <f>+IF(Tabla3[[#This Row],[Amortización k | cupón de intereses]]="Amortización de K",SUMIFS($AH$7:$AH$557,Tabla3[Código Emisión],Tabla3[[#This Row],[Código Emisión]],Tabla3[Fecha de operación],Tabla3[[#This Row],[Fecha de operación]]),0)-Tabla3[[#This Row],[Accrued]]*Tabla3[[#This Row],[Valor Nominal]]</f>
        <v>0</v>
      </c>
      <c r="AJ422" s="605">
        <f>+IF(Tabla3[[#This Row],[Amortización k | cupón de intereses]]="Amortización de K",IF(Tabla3[[#This Row],[Precio Clean]]&gt;1,Tabla3[[#This Row],[Valor Nominal]]*(Tabla3[[#This Row],[Precio Clean]]-1),0),0)</f>
        <v>0</v>
      </c>
      <c r="AK422" s="605">
        <f>+IF(Tabla3[[#This Row],[Amortización k | cupón de intereses]]="Amortización de K",IF(Tabla3[[#This Row],[Precio Clean]]&lt;1,Tabla3[[#This Row],[Valor Nominal]]*(Tabla3[[#This Row],[Precio Clean]]-1),0),0)</f>
        <v>0</v>
      </c>
    </row>
    <row r="423" spans="1:37">
      <c r="A423" s="502"/>
      <c r="B423" s="437" t="str">
        <f t="shared" ref="B423:G424" si="262">+B422</f>
        <v>Empresas Publicas de Medellin</v>
      </c>
      <c r="C423" s="437" t="str">
        <f t="shared" si="262"/>
        <v>Empresas Publicas de Medellin, 4.375%  (USP9379RBC09)</v>
      </c>
      <c r="D423" s="437" t="str">
        <f t="shared" si="262"/>
        <v>Bonos en el exterior</v>
      </c>
      <c r="E423" s="437" t="s">
        <v>612</v>
      </c>
      <c r="F423" s="437" t="str">
        <f t="shared" si="262"/>
        <v>Corporativo</v>
      </c>
      <c r="G423" s="437" t="str">
        <f t="shared" si="262"/>
        <v>Colombia</v>
      </c>
      <c r="H423" s="437">
        <f t="shared" si="249"/>
        <v>500</v>
      </c>
      <c r="I423" s="445">
        <v>21.875</v>
      </c>
      <c r="J423" s="462"/>
      <c r="K423" s="450"/>
      <c r="L423" s="462"/>
      <c r="M423" s="493"/>
      <c r="N423" s="493"/>
      <c r="O423" s="516">
        <f t="shared" si="258"/>
        <v>6.3676395143262163E-2</v>
      </c>
      <c r="P423" s="516">
        <f t="shared" si="258"/>
        <v>6.2693768006547579E-2</v>
      </c>
      <c r="Q423" s="450">
        <f t="shared" si="258"/>
        <v>46066</v>
      </c>
      <c r="R423" s="450">
        <v>47710</v>
      </c>
      <c r="S423" s="509" t="s">
        <v>146</v>
      </c>
      <c r="T423" s="510">
        <f>Tabla3[[#This Row],[Cantidad]]*Tabla3[[#This Row],[Cortes]]</f>
        <v>10937.5</v>
      </c>
      <c r="U423" s="583">
        <f t="shared" si="259"/>
        <v>8315.9827259915019</v>
      </c>
      <c r="V423" s="511">
        <f t="shared" si="260"/>
        <v>8314.5568603777483</v>
      </c>
      <c r="W423" s="497">
        <f>IF(Tabla3[[#This Row],[Fecha de operación]]=$C$1,0,U423-V423)</f>
        <v>1.4258656137535581</v>
      </c>
      <c r="X423" s="512" t="str">
        <f t="shared" si="255"/>
        <v>Vigente</v>
      </c>
      <c r="Y423" s="517" t="str">
        <f t="shared" ref="Y423:Y432" si="263">+Y422</f>
        <v>Semestral</v>
      </c>
      <c r="Z423" s="449">
        <f t="shared" si="256"/>
        <v>1598</v>
      </c>
      <c r="AA423" s="518">
        <f t="shared" si="261"/>
        <v>4.3919938830599277</v>
      </c>
      <c r="AB423" s="518">
        <f t="shared" si="261"/>
        <v>4.2564753789850194</v>
      </c>
      <c r="AC423" s="449" t="s">
        <v>451</v>
      </c>
      <c r="AD423" s="449" t="s">
        <v>454</v>
      </c>
      <c r="AG423" s="605">
        <f>+IF(Tabla3[[#This Row],[Amortización k | cupón de intereses]]="Amortización de K",Tabla3[[#This Row],[Valor Nominal]],0)</f>
        <v>0</v>
      </c>
      <c r="AH423" s="605">
        <f>+IF(AND(Tabla3[[#This Row],[Amortización k | cupón de intereses]]="Cupón de interés",Tabla3[[#This Row],[Estado]]="Vigente"),Tabla3[[#This Row],[Valor Nominal]],0)</f>
        <v>10937.5</v>
      </c>
      <c r="AI423" s="618">
        <f>+IF(Tabla3[[#This Row],[Amortización k | cupón de intereses]]="Amortización de K",SUMIFS($AH$7:$AH$557,Tabla3[Código Emisión],Tabla3[[#This Row],[Código Emisión]],Tabla3[Fecha de operación],Tabla3[[#This Row],[Fecha de operación]]),0)-Tabla3[[#This Row],[Accrued]]*Tabla3[[#This Row],[Valor Nominal]]</f>
        <v>0</v>
      </c>
      <c r="AJ423" s="605">
        <f>+IF(Tabla3[[#This Row],[Amortización k | cupón de intereses]]="Amortización de K",IF(Tabla3[[#This Row],[Precio Clean]]&gt;1,Tabla3[[#This Row],[Valor Nominal]]*(Tabla3[[#This Row],[Precio Clean]]-1),0),0)</f>
        <v>0</v>
      </c>
      <c r="AK423" s="605">
        <f>+IF(Tabla3[[#This Row],[Amortización k | cupón de intereses]]="Amortización de K",IF(Tabla3[[#This Row],[Precio Clean]]&lt;1,Tabla3[[#This Row],[Valor Nominal]]*(Tabla3[[#This Row],[Precio Clean]]-1),0),0)</f>
        <v>0</v>
      </c>
    </row>
    <row r="424" spans="1:37">
      <c r="A424" s="502"/>
      <c r="B424" s="437" t="str">
        <f>+B423</f>
        <v>Empresas Publicas de Medellin</v>
      </c>
      <c r="C424" s="437" t="str">
        <f t="shared" si="262"/>
        <v>Empresas Publicas de Medellin, 4.375%  (USP9379RBC09)</v>
      </c>
      <c r="D424" s="437" t="str">
        <f t="shared" si="262"/>
        <v>Bonos en el exterior</v>
      </c>
      <c r="E424" s="437" t="s">
        <v>612</v>
      </c>
      <c r="F424" s="437" t="str">
        <f t="shared" si="262"/>
        <v>Corporativo</v>
      </c>
      <c r="G424" s="437" t="str">
        <f t="shared" si="262"/>
        <v>Colombia</v>
      </c>
      <c r="H424" s="437">
        <f t="shared" si="249"/>
        <v>500</v>
      </c>
      <c r="I424" s="445">
        <v>21.875</v>
      </c>
      <c r="J424" s="462"/>
      <c r="K424" s="450"/>
      <c r="L424" s="462"/>
      <c r="M424" s="493"/>
      <c r="N424" s="493"/>
      <c r="O424" s="516">
        <f t="shared" si="258"/>
        <v>6.3676395143262163E-2</v>
      </c>
      <c r="P424" s="516">
        <f t="shared" si="258"/>
        <v>6.2693768006547579E-2</v>
      </c>
      <c r="Q424" s="450">
        <f t="shared" si="258"/>
        <v>46066</v>
      </c>
      <c r="R424" s="450">
        <v>47529</v>
      </c>
      <c r="S424" s="509" t="s">
        <v>146</v>
      </c>
      <c r="T424" s="510">
        <f>Tabla3[[#This Row],[Cantidad]]*Tabla3[[#This Row],[Cortes]]</f>
        <v>10937.5</v>
      </c>
      <c r="U424" s="583">
        <f t="shared" si="259"/>
        <v>8578.1336861212239</v>
      </c>
      <c r="V424" s="511">
        <f t="shared" si="260"/>
        <v>8576.6628718763859</v>
      </c>
      <c r="W424" s="497">
        <f>IF(Tabla3[[#This Row],[Fecha de operación]]=$C$1,0,U424-V424)</f>
        <v>1.4708142448380386</v>
      </c>
      <c r="X424" s="512" t="str">
        <f t="shared" si="255"/>
        <v>Vigente</v>
      </c>
      <c r="Y424" s="517" t="str">
        <f t="shared" si="263"/>
        <v>Semestral</v>
      </c>
      <c r="Z424" s="449">
        <f t="shared" si="256"/>
        <v>1417</v>
      </c>
      <c r="AA424" s="518">
        <f t="shared" si="261"/>
        <v>4.3919938830599277</v>
      </c>
      <c r="AB424" s="518">
        <f t="shared" si="261"/>
        <v>4.2564753789850194</v>
      </c>
      <c r="AC424" s="449" t="s">
        <v>451</v>
      </c>
      <c r="AD424" s="449" t="s">
        <v>454</v>
      </c>
      <c r="AG424" s="605">
        <f>+IF(Tabla3[[#This Row],[Amortización k | cupón de intereses]]="Amortización de K",Tabla3[[#This Row],[Valor Nominal]],0)</f>
        <v>0</v>
      </c>
      <c r="AH424" s="605">
        <f>+IF(AND(Tabla3[[#This Row],[Amortización k | cupón de intereses]]="Cupón de interés",Tabla3[[#This Row],[Estado]]="Vigente"),Tabla3[[#This Row],[Valor Nominal]],0)</f>
        <v>10937.5</v>
      </c>
      <c r="AI424" s="618">
        <f>+IF(Tabla3[[#This Row],[Amortización k | cupón de intereses]]="Amortización de K",SUMIFS($AH$7:$AH$557,Tabla3[Código Emisión],Tabla3[[#This Row],[Código Emisión]],Tabla3[Fecha de operación],Tabla3[[#This Row],[Fecha de operación]]),0)-Tabla3[[#This Row],[Accrued]]*Tabla3[[#This Row],[Valor Nominal]]</f>
        <v>0</v>
      </c>
      <c r="AJ424" s="605">
        <f>+IF(Tabla3[[#This Row],[Amortización k | cupón de intereses]]="Amortización de K",IF(Tabla3[[#This Row],[Precio Clean]]&gt;1,Tabla3[[#This Row],[Valor Nominal]]*(Tabla3[[#This Row],[Precio Clean]]-1),0),0)</f>
        <v>0</v>
      </c>
      <c r="AK424" s="605">
        <f>+IF(Tabla3[[#This Row],[Amortización k | cupón de intereses]]="Amortización de K",IF(Tabla3[[#This Row],[Precio Clean]]&lt;1,Tabla3[[#This Row],[Valor Nominal]]*(Tabla3[[#This Row],[Precio Clean]]-1),0),0)</f>
        <v>0</v>
      </c>
    </row>
    <row r="425" spans="1:37">
      <c r="A425" s="502"/>
      <c r="B425" s="437" t="str">
        <f t="shared" ref="B425:G432" si="264">+B424</f>
        <v>Empresas Publicas de Medellin</v>
      </c>
      <c r="C425" s="437" t="str">
        <f t="shared" si="264"/>
        <v>Empresas Publicas de Medellin, 4.375%  (USP9379RBC09)</v>
      </c>
      <c r="D425" s="437" t="str">
        <f t="shared" si="264"/>
        <v>Bonos en el exterior</v>
      </c>
      <c r="E425" s="437" t="s">
        <v>612</v>
      </c>
      <c r="F425" s="437" t="str">
        <f t="shared" si="264"/>
        <v>Corporativo</v>
      </c>
      <c r="G425" s="437" t="str">
        <f t="shared" si="264"/>
        <v>Colombia</v>
      </c>
      <c r="H425" s="437">
        <f t="shared" si="249"/>
        <v>500</v>
      </c>
      <c r="I425" s="445">
        <v>21.875</v>
      </c>
      <c r="J425" s="462"/>
      <c r="K425" s="450"/>
      <c r="L425" s="462"/>
      <c r="M425" s="493"/>
      <c r="N425" s="493"/>
      <c r="O425" s="516">
        <f t="shared" si="258"/>
        <v>6.3676395143262163E-2</v>
      </c>
      <c r="P425" s="516">
        <f t="shared" si="258"/>
        <v>6.2693768006547579E-2</v>
      </c>
      <c r="Q425" s="450">
        <f t="shared" si="258"/>
        <v>46066</v>
      </c>
      <c r="R425" s="450">
        <v>47345</v>
      </c>
      <c r="S425" s="509" t="s">
        <v>146</v>
      </c>
      <c r="T425" s="510">
        <f>Tabla3[[#This Row],[Cantidad]]*Tabla3[[#This Row],[Cortes]]</f>
        <v>10937.5</v>
      </c>
      <c r="U425" s="583">
        <f t="shared" si="259"/>
        <v>8853.1017283139336</v>
      </c>
      <c r="V425" s="511">
        <f t="shared" si="260"/>
        <v>8851.5837678099979</v>
      </c>
      <c r="W425" s="497">
        <f>IF(Tabla3[[#This Row],[Fecha de operación]]=$C$1,0,U425-V425)</f>
        <v>1.5179605039356829</v>
      </c>
      <c r="X425" s="512" t="str">
        <f t="shared" si="255"/>
        <v>Vigente</v>
      </c>
      <c r="Y425" s="517" t="str">
        <f t="shared" si="263"/>
        <v>Semestral</v>
      </c>
      <c r="Z425" s="449">
        <f t="shared" si="256"/>
        <v>1233</v>
      </c>
      <c r="AA425" s="518">
        <f t="shared" si="261"/>
        <v>4.3919938830599277</v>
      </c>
      <c r="AB425" s="518">
        <f t="shared" si="261"/>
        <v>4.2564753789850194</v>
      </c>
      <c r="AC425" s="449" t="s">
        <v>451</v>
      </c>
      <c r="AD425" s="449" t="s">
        <v>454</v>
      </c>
      <c r="AG425" s="605">
        <f>+IF(Tabla3[[#This Row],[Amortización k | cupón de intereses]]="Amortización de K",Tabla3[[#This Row],[Valor Nominal]],0)</f>
        <v>0</v>
      </c>
      <c r="AH425" s="605">
        <f>+IF(AND(Tabla3[[#This Row],[Amortización k | cupón de intereses]]="Cupón de interés",Tabla3[[#This Row],[Estado]]="Vigente"),Tabla3[[#This Row],[Valor Nominal]],0)</f>
        <v>10937.5</v>
      </c>
      <c r="AI425" s="618">
        <f>+IF(Tabla3[[#This Row],[Amortización k | cupón de intereses]]="Amortización de K",SUMIFS($AH$7:$AH$557,Tabla3[Código Emisión],Tabla3[[#This Row],[Código Emisión]],Tabla3[Fecha de operación],Tabla3[[#This Row],[Fecha de operación]]),0)-Tabla3[[#This Row],[Accrued]]*Tabla3[[#This Row],[Valor Nominal]]</f>
        <v>0</v>
      </c>
      <c r="AJ425" s="605">
        <f>+IF(Tabla3[[#This Row],[Amortización k | cupón de intereses]]="Amortización de K",IF(Tabla3[[#This Row],[Precio Clean]]&gt;1,Tabla3[[#This Row],[Valor Nominal]]*(Tabla3[[#This Row],[Precio Clean]]-1),0),0)</f>
        <v>0</v>
      </c>
      <c r="AK425" s="605">
        <f>+IF(Tabla3[[#This Row],[Amortización k | cupón de intereses]]="Amortización de K",IF(Tabla3[[#This Row],[Precio Clean]]&lt;1,Tabla3[[#This Row],[Valor Nominal]]*(Tabla3[[#This Row],[Precio Clean]]-1),0),0)</f>
        <v>0</v>
      </c>
    </row>
    <row r="426" spans="1:37">
      <c r="A426" s="502"/>
      <c r="B426" s="437" t="str">
        <f t="shared" si="264"/>
        <v>Empresas Publicas de Medellin</v>
      </c>
      <c r="C426" s="437" t="str">
        <f t="shared" si="264"/>
        <v>Empresas Publicas de Medellin, 4.375%  (USP9379RBC09)</v>
      </c>
      <c r="D426" s="437" t="str">
        <f t="shared" si="264"/>
        <v>Bonos en el exterior</v>
      </c>
      <c r="E426" s="437" t="s">
        <v>612</v>
      </c>
      <c r="F426" s="437" t="str">
        <f t="shared" si="264"/>
        <v>Corporativo</v>
      </c>
      <c r="G426" s="437" t="str">
        <f t="shared" si="264"/>
        <v>Colombia</v>
      </c>
      <c r="H426" s="437">
        <f t="shared" si="249"/>
        <v>500</v>
      </c>
      <c r="I426" s="445">
        <v>21.875</v>
      </c>
      <c r="J426" s="462"/>
      <c r="K426" s="450"/>
      <c r="L426" s="462"/>
      <c r="M426" s="493"/>
      <c r="N426" s="493"/>
      <c r="O426" s="516">
        <f t="shared" si="258"/>
        <v>6.3676395143262163E-2</v>
      </c>
      <c r="P426" s="516">
        <f t="shared" si="258"/>
        <v>6.2693768006547579E-2</v>
      </c>
      <c r="Q426" s="450">
        <f t="shared" si="258"/>
        <v>46066</v>
      </c>
      <c r="R426" s="450">
        <v>47164</v>
      </c>
      <c r="S426" s="509" t="s">
        <v>146</v>
      </c>
      <c r="T426" s="510">
        <f>Tabla3[[#This Row],[Cantidad]]*Tabla3[[#This Row],[Cortes]]</f>
        <v>10937.5</v>
      </c>
      <c r="U426" s="583">
        <f t="shared" si="259"/>
        <v>9132.1846935718841</v>
      </c>
      <c r="V426" s="511">
        <f t="shared" si="260"/>
        <v>9130.6188812605742</v>
      </c>
      <c r="W426" s="497">
        <f>IF(Tabla3[[#This Row],[Fecha de operación]]=$C$1,0,U426-V426)</f>
        <v>1.5658123113098554</v>
      </c>
      <c r="X426" s="512" t="str">
        <f t="shared" si="255"/>
        <v>Vigente</v>
      </c>
      <c r="Y426" s="517" t="str">
        <f t="shared" si="263"/>
        <v>Semestral</v>
      </c>
      <c r="Z426" s="449">
        <f t="shared" si="256"/>
        <v>1052</v>
      </c>
      <c r="AA426" s="518">
        <f t="shared" si="261"/>
        <v>4.3919938830599277</v>
      </c>
      <c r="AB426" s="518">
        <f t="shared" si="261"/>
        <v>4.2564753789850194</v>
      </c>
      <c r="AC426" s="449" t="s">
        <v>451</v>
      </c>
      <c r="AD426" s="449" t="s">
        <v>454</v>
      </c>
      <c r="AG426" s="605">
        <f>+IF(Tabla3[[#This Row],[Amortización k | cupón de intereses]]="Amortización de K",Tabla3[[#This Row],[Valor Nominal]],0)</f>
        <v>0</v>
      </c>
      <c r="AH426" s="605">
        <f>+IF(AND(Tabla3[[#This Row],[Amortización k | cupón de intereses]]="Cupón de interés",Tabla3[[#This Row],[Estado]]="Vigente"),Tabla3[[#This Row],[Valor Nominal]],0)</f>
        <v>10937.5</v>
      </c>
      <c r="AI426" s="618">
        <f>+IF(Tabla3[[#This Row],[Amortización k | cupón de intereses]]="Amortización de K",SUMIFS($AH$7:$AH$557,Tabla3[Código Emisión],Tabla3[[#This Row],[Código Emisión]],Tabla3[Fecha de operación],Tabla3[[#This Row],[Fecha de operación]]),0)-Tabla3[[#This Row],[Accrued]]*Tabla3[[#This Row],[Valor Nominal]]</f>
        <v>0</v>
      </c>
      <c r="AJ426" s="605">
        <f>+IF(Tabla3[[#This Row],[Amortización k | cupón de intereses]]="Amortización de K",IF(Tabla3[[#This Row],[Precio Clean]]&gt;1,Tabla3[[#This Row],[Valor Nominal]]*(Tabla3[[#This Row],[Precio Clean]]-1),0),0)</f>
        <v>0</v>
      </c>
      <c r="AK426" s="605">
        <f>+IF(Tabla3[[#This Row],[Amortización k | cupón de intereses]]="Amortización de K",IF(Tabla3[[#This Row],[Precio Clean]]&lt;1,Tabla3[[#This Row],[Valor Nominal]]*(Tabla3[[#This Row],[Precio Clean]]-1),0),0)</f>
        <v>0</v>
      </c>
    </row>
    <row r="427" spans="1:37">
      <c r="A427" s="502"/>
      <c r="B427" s="437" t="str">
        <f t="shared" si="264"/>
        <v>Empresas Publicas de Medellin</v>
      </c>
      <c r="C427" s="437" t="str">
        <f t="shared" si="264"/>
        <v>Empresas Publicas de Medellin, 4.375%  (USP9379RBC09)</v>
      </c>
      <c r="D427" s="437" t="str">
        <f t="shared" si="264"/>
        <v>Bonos en el exterior</v>
      </c>
      <c r="E427" s="437" t="s">
        <v>612</v>
      </c>
      <c r="F427" s="437" t="str">
        <f t="shared" si="264"/>
        <v>Corporativo</v>
      </c>
      <c r="G427" s="437" t="str">
        <f t="shared" si="264"/>
        <v>Colombia</v>
      </c>
      <c r="H427" s="437">
        <f t="shared" si="249"/>
        <v>500</v>
      </c>
      <c r="I427" s="445">
        <v>21.875</v>
      </c>
      <c r="J427" s="462"/>
      <c r="K427" s="450"/>
      <c r="L427" s="462"/>
      <c r="M427" s="493"/>
      <c r="N427" s="493"/>
      <c r="O427" s="516">
        <f t="shared" si="258"/>
        <v>6.3676395143262163E-2</v>
      </c>
      <c r="P427" s="516">
        <f t="shared" si="258"/>
        <v>6.2693768006547579E-2</v>
      </c>
      <c r="Q427" s="450">
        <f t="shared" si="258"/>
        <v>46066</v>
      </c>
      <c r="R427" s="450">
        <v>46980</v>
      </c>
      <c r="S427" s="509" t="s">
        <v>146</v>
      </c>
      <c r="T427" s="510">
        <f>Tabla3[[#This Row],[Cantidad]]*Tabla3[[#This Row],[Cortes]]</f>
        <v>10937.5</v>
      </c>
      <c r="U427" s="583">
        <f t="shared" si="259"/>
        <v>9424.9125803144743</v>
      </c>
      <c r="V427" s="511">
        <f t="shared" si="260"/>
        <v>9423.2965766257093</v>
      </c>
      <c r="W427" s="497">
        <f>IF(Tabla3[[#This Row],[Fecha de operación]]=$C$1,0,U427-V427)</f>
        <v>1.6160036887649767</v>
      </c>
      <c r="X427" s="512" t="str">
        <f t="shared" si="255"/>
        <v>Vigente</v>
      </c>
      <c r="Y427" s="517" t="str">
        <f t="shared" si="263"/>
        <v>Semestral</v>
      </c>
      <c r="Z427" s="449">
        <f t="shared" si="256"/>
        <v>868</v>
      </c>
      <c r="AA427" s="518">
        <f t="shared" si="261"/>
        <v>4.3919938830599277</v>
      </c>
      <c r="AB427" s="518">
        <f t="shared" si="261"/>
        <v>4.2564753789850194</v>
      </c>
      <c r="AC427" s="449" t="s">
        <v>451</v>
      </c>
      <c r="AD427" s="449" t="s">
        <v>454</v>
      </c>
      <c r="AG427" s="605">
        <f>+IF(Tabla3[[#This Row],[Amortización k | cupón de intereses]]="Amortización de K",Tabla3[[#This Row],[Valor Nominal]],0)</f>
        <v>0</v>
      </c>
      <c r="AH427" s="605">
        <f>+IF(AND(Tabla3[[#This Row],[Amortización k | cupón de intereses]]="Cupón de interés",Tabla3[[#This Row],[Estado]]="Vigente"),Tabla3[[#This Row],[Valor Nominal]],0)</f>
        <v>10937.5</v>
      </c>
      <c r="AI427" s="618">
        <f>+IF(Tabla3[[#This Row],[Amortización k | cupón de intereses]]="Amortización de K",SUMIFS($AH$7:$AH$557,Tabla3[Código Emisión],Tabla3[[#This Row],[Código Emisión]],Tabla3[Fecha de operación],Tabla3[[#This Row],[Fecha de operación]]),0)-Tabla3[[#This Row],[Accrued]]*Tabla3[[#This Row],[Valor Nominal]]</f>
        <v>0</v>
      </c>
      <c r="AJ427" s="605">
        <f>+IF(Tabla3[[#This Row],[Amortización k | cupón de intereses]]="Amortización de K",IF(Tabla3[[#This Row],[Precio Clean]]&gt;1,Tabla3[[#This Row],[Valor Nominal]]*(Tabla3[[#This Row],[Precio Clean]]-1),0),0)</f>
        <v>0</v>
      </c>
      <c r="AK427" s="605">
        <f>+IF(Tabla3[[#This Row],[Amortización k | cupón de intereses]]="Amortización de K",IF(Tabla3[[#This Row],[Precio Clean]]&lt;1,Tabla3[[#This Row],[Valor Nominal]]*(Tabla3[[#This Row],[Precio Clean]]-1),0),0)</f>
        <v>0</v>
      </c>
    </row>
    <row r="428" spans="1:37">
      <c r="A428" s="502"/>
      <c r="B428" s="437" t="str">
        <f t="shared" si="264"/>
        <v>Empresas Publicas de Medellin</v>
      </c>
      <c r="C428" s="437" t="str">
        <f t="shared" si="264"/>
        <v>Empresas Publicas de Medellin, 4.375%  (USP9379RBC09)</v>
      </c>
      <c r="D428" s="437" t="str">
        <f t="shared" si="264"/>
        <v>Bonos en el exterior</v>
      </c>
      <c r="E428" s="437" t="s">
        <v>612</v>
      </c>
      <c r="F428" s="437" t="str">
        <f t="shared" si="264"/>
        <v>Corporativo</v>
      </c>
      <c r="G428" s="437" t="str">
        <f t="shared" si="264"/>
        <v>Colombia</v>
      </c>
      <c r="H428" s="437">
        <f t="shared" si="249"/>
        <v>500</v>
      </c>
      <c r="I428" s="445">
        <v>21.875</v>
      </c>
      <c r="J428" s="462"/>
      <c r="K428" s="450"/>
      <c r="L428" s="462"/>
      <c r="M428" s="493"/>
      <c r="N428" s="493"/>
      <c r="O428" s="516">
        <f t="shared" si="258"/>
        <v>6.3676395143262163E-2</v>
      </c>
      <c r="P428" s="516">
        <f t="shared" si="258"/>
        <v>6.2693768006547579E-2</v>
      </c>
      <c r="Q428" s="450">
        <f t="shared" si="258"/>
        <v>46066</v>
      </c>
      <c r="R428" s="450">
        <v>46798</v>
      </c>
      <c r="S428" s="509" t="s">
        <v>146</v>
      </c>
      <c r="T428" s="510">
        <f>Tabla3[[#This Row],[Cantidad]]*Tabla3[[#This Row],[Cortes]]</f>
        <v>10937.5</v>
      </c>
      <c r="U428" s="583">
        <f t="shared" si="259"/>
        <v>9723.6883999456131</v>
      </c>
      <c r="V428" s="511">
        <f t="shared" si="260"/>
        <v>9722.0211678955729</v>
      </c>
      <c r="W428" s="497">
        <f>IF(Tabla3[[#This Row],[Fecha de operación]]=$C$1,0,U428-V428)</f>
        <v>1.6672320500401838</v>
      </c>
      <c r="X428" s="512" t="str">
        <f t="shared" si="255"/>
        <v>Vigente</v>
      </c>
      <c r="Y428" s="517" t="str">
        <f t="shared" si="263"/>
        <v>Semestral</v>
      </c>
      <c r="Z428" s="449">
        <f t="shared" si="256"/>
        <v>686</v>
      </c>
      <c r="AA428" s="518">
        <f t="shared" si="261"/>
        <v>4.3919938830599277</v>
      </c>
      <c r="AB428" s="518">
        <f t="shared" si="261"/>
        <v>4.2564753789850194</v>
      </c>
      <c r="AC428" s="449" t="s">
        <v>451</v>
      </c>
      <c r="AD428" s="449" t="s">
        <v>454</v>
      </c>
      <c r="AG428" s="605">
        <f>+IF(Tabla3[[#This Row],[Amortización k | cupón de intereses]]="Amortización de K",Tabla3[[#This Row],[Valor Nominal]],0)</f>
        <v>0</v>
      </c>
      <c r="AH428" s="605">
        <f>+IF(AND(Tabla3[[#This Row],[Amortización k | cupón de intereses]]="Cupón de interés",Tabla3[[#This Row],[Estado]]="Vigente"),Tabla3[[#This Row],[Valor Nominal]],0)</f>
        <v>10937.5</v>
      </c>
      <c r="AI428" s="618">
        <f>+IF(Tabla3[[#This Row],[Amortización k | cupón de intereses]]="Amortización de K",SUMIFS($AH$7:$AH$557,Tabla3[Código Emisión],Tabla3[[#This Row],[Código Emisión]],Tabla3[Fecha de operación],Tabla3[[#This Row],[Fecha de operación]]),0)-Tabla3[[#This Row],[Accrued]]*Tabla3[[#This Row],[Valor Nominal]]</f>
        <v>0</v>
      </c>
      <c r="AJ428" s="605">
        <f>+IF(Tabla3[[#This Row],[Amortización k | cupón de intereses]]="Amortización de K",IF(Tabla3[[#This Row],[Precio Clean]]&gt;1,Tabla3[[#This Row],[Valor Nominal]]*(Tabla3[[#This Row],[Precio Clean]]-1),0),0)</f>
        <v>0</v>
      </c>
      <c r="AK428" s="605">
        <f>+IF(Tabla3[[#This Row],[Amortización k | cupón de intereses]]="Amortización de K",IF(Tabla3[[#This Row],[Precio Clean]]&lt;1,Tabla3[[#This Row],[Valor Nominal]]*(Tabla3[[#This Row],[Precio Clean]]-1),0),0)</f>
        <v>0</v>
      </c>
    </row>
    <row r="429" spans="1:37">
      <c r="A429" s="502"/>
      <c r="B429" s="437" t="str">
        <f t="shared" si="264"/>
        <v>Empresas Publicas de Medellin</v>
      </c>
      <c r="C429" s="437" t="str">
        <f t="shared" si="264"/>
        <v>Empresas Publicas de Medellin, 4.375%  (USP9379RBC09)</v>
      </c>
      <c r="D429" s="437" t="str">
        <f t="shared" si="264"/>
        <v>Bonos en el exterior</v>
      </c>
      <c r="E429" s="437" t="s">
        <v>612</v>
      </c>
      <c r="F429" s="437" t="str">
        <f t="shared" si="264"/>
        <v>Corporativo</v>
      </c>
      <c r="G429" s="437" t="str">
        <f t="shared" si="264"/>
        <v>Colombia</v>
      </c>
      <c r="H429" s="437">
        <f t="shared" si="249"/>
        <v>500</v>
      </c>
      <c r="I429" s="445">
        <v>21.875</v>
      </c>
      <c r="J429" s="462"/>
      <c r="K429" s="450"/>
      <c r="L429" s="462"/>
      <c r="M429" s="493"/>
      <c r="N429" s="493"/>
      <c r="O429" s="516">
        <f t="shared" si="258"/>
        <v>6.3676395143262163E-2</v>
      </c>
      <c r="P429" s="516">
        <f t="shared" si="258"/>
        <v>6.2693768006547579E-2</v>
      </c>
      <c r="Q429" s="450">
        <f t="shared" si="258"/>
        <v>46066</v>
      </c>
      <c r="R429" s="450">
        <v>46614</v>
      </c>
      <c r="S429" s="509" t="s">
        <v>146</v>
      </c>
      <c r="T429" s="510">
        <f>Tabla3[[#This Row],[Cantidad]]*Tabla3[[#This Row],[Cortes]]</f>
        <v>10937.5</v>
      </c>
      <c r="U429" s="583">
        <f t="shared" si="259"/>
        <v>10035.376659893211</v>
      </c>
      <c r="V429" s="511">
        <f t="shared" si="260"/>
        <v>10033.655985503678</v>
      </c>
      <c r="W429" s="497">
        <f>IF(Tabla3[[#This Row],[Fecha de operación]]=$C$1,0,U429-V429)</f>
        <v>1.7206743895330874</v>
      </c>
      <c r="X429" s="512" t="str">
        <f t="shared" si="255"/>
        <v>Vigente</v>
      </c>
      <c r="Y429" s="517" t="str">
        <f t="shared" si="263"/>
        <v>Semestral</v>
      </c>
      <c r="Z429" s="449">
        <f t="shared" si="256"/>
        <v>502</v>
      </c>
      <c r="AA429" s="518">
        <f t="shared" si="261"/>
        <v>4.3919938830599277</v>
      </c>
      <c r="AB429" s="518">
        <f t="shared" si="261"/>
        <v>4.2564753789850194</v>
      </c>
      <c r="AC429" s="449" t="s">
        <v>451</v>
      </c>
      <c r="AD429" s="449" t="s">
        <v>454</v>
      </c>
      <c r="AG429" s="605">
        <f>+IF(Tabla3[[#This Row],[Amortización k | cupón de intereses]]="Amortización de K",Tabla3[[#This Row],[Valor Nominal]],0)</f>
        <v>0</v>
      </c>
      <c r="AH429" s="605">
        <f>+IF(AND(Tabla3[[#This Row],[Amortización k | cupón de intereses]]="Cupón de interés",Tabla3[[#This Row],[Estado]]="Vigente"),Tabla3[[#This Row],[Valor Nominal]],0)</f>
        <v>10937.5</v>
      </c>
      <c r="AI429" s="618">
        <f>+IF(Tabla3[[#This Row],[Amortización k | cupón de intereses]]="Amortización de K",SUMIFS($AH$7:$AH$557,Tabla3[Código Emisión],Tabla3[[#This Row],[Código Emisión]],Tabla3[Fecha de operación],Tabla3[[#This Row],[Fecha de operación]]),0)-Tabla3[[#This Row],[Accrued]]*Tabla3[[#This Row],[Valor Nominal]]</f>
        <v>0</v>
      </c>
      <c r="AJ429" s="605">
        <f>+IF(Tabla3[[#This Row],[Amortización k | cupón de intereses]]="Amortización de K",IF(Tabla3[[#This Row],[Precio Clean]]&gt;1,Tabla3[[#This Row],[Valor Nominal]]*(Tabla3[[#This Row],[Precio Clean]]-1),0),0)</f>
        <v>0</v>
      </c>
      <c r="AK429" s="605">
        <f>+IF(Tabla3[[#This Row],[Amortización k | cupón de intereses]]="Amortización de K",IF(Tabla3[[#This Row],[Precio Clean]]&lt;1,Tabla3[[#This Row],[Valor Nominal]]*(Tabla3[[#This Row],[Precio Clean]]-1),0),0)</f>
        <v>0</v>
      </c>
    </row>
    <row r="430" spans="1:37">
      <c r="A430" s="502"/>
      <c r="B430" s="437" t="str">
        <f t="shared" si="264"/>
        <v>Empresas Publicas de Medellin</v>
      </c>
      <c r="C430" s="437" t="str">
        <f t="shared" si="264"/>
        <v>Empresas Publicas de Medellin, 4.375%  (USP9379RBC09)</v>
      </c>
      <c r="D430" s="437" t="str">
        <f t="shared" si="264"/>
        <v>Bonos en el exterior</v>
      </c>
      <c r="E430" s="437" t="s">
        <v>612</v>
      </c>
      <c r="F430" s="437" t="str">
        <f t="shared" si="264"/>
        <v>Corporativo</v>
      </c>
      <c r="G430" s="437" t="str">
        <f t="shared" si="264"/>
        <v>Colombia</v>
      </c>
      <c r="H430" s="437">
        <f t="shared" si="249"/>
        <v>500</v>
      </c>
      <c r="I430" s="445">
        <v>21.875</v>
      </c>
      <c r="J430" s="462"/>
      <c r="K430" s="450"/>
      <c r="L430" s="462"/>
      <c r="M430" s="493"/>
      <c r="N430" s="493"/>
      <c r="O430" s="516">
        <f t="shared" si="258"/>
        <v>6.3676395143262163E-2</v>
      </c>
      <c r="P430" s="516">
        <f t="shared" si="258"/>
        <v>6.2693768006547579E-2</v>
      </c>
      <c r="Q430" s="450">
        <f t="shared" si="258"/>
        <v>46066</v>
      </c>
      <c r="R430" s="450">
        <v>46433</v>
      </c>
      <c r="S430" s="509" t="s">
        <v>146</v>
      </c>
      <c r="T430" s="510">
        <f>Tabla3[[#This Row],[Cantidad]]*Tabla3[[#This Row],[Cortes]]</f>
        <v>10937.5</v>
      </c>
      <c r="U430" s="583">
        <f t="shared" si="259"/>
        <v>10351.729364478793</v>
      </c>
      <c r="V430" s="511">
        <f t="shared" si="260"/>
        <v>10349.954447980042</v>
      </c>
      <c r="W430" s="497">
        <f>IF(Tabla3[[#This Row],[Fecha de operación]]=$C$1,0,U430-V430)</f>
        <v>1.7749164987508266</v>
      </c>
      <c r="X430" s="512" t="str">
        <f t="shared" si="255"/>
        <v>Vigente</v>
      </c>
      <c r="Y430" s="517" t="str">
        <f t="shared" si="263"/>
        <v>Semestral</v>
      </c>
      <c r="Z430" s="449">
        <f t="shared" si="256"/>
        <v>321</v>
      </c>
      <c r="AA430" s="518">
        <f t="shared" si="261"/>
        <v>4.3919938830599277</v>
      </c>
      <c r="AB430" s="518">
        <f t="shared" si="261"/>
        <v>4.2564753789850194</v>
      </c>
      <c r="AC430" s="449" t="s">
        <v>451</v>
      </c>
      <c r="AD430" s="449" t="s">
        <v>454</v>
      </c>
      <c r="AG430" s="605">
        <f>+IF(Tabla3[[#This Row],[Amortización k | cupón de intereses]]="Amortización de K",Tabla3[[#This Row],[Valor Nominal]],0)</f>
        <v>0</v>
      </c>
      <c r="AH430" s="605">
        <f>+IF(AND(Tabla3[[#This Row],[Amortización k | cupón de intereses]]="Cupón de interés",Tabla3[[#This Row],[Estado]]="Vigente"),Tabla3[[#This Row],[Valor Nominal]],0)</f>
        <v>10937.5</v>
      </c>
      <c r="AI430" s="618">
        <f>+IF(Tabla3[[#This Row],[Amortización k | cupón de intereses]]="Amortización de K",SUMIFS($AH$7:$AH$557,Tabla3[Código Emisión],Tabla3[[#This Row],[Código Emisión]],Tabla3[Fecha de operación],Tabla3[[#This Row],[Fecha de operación]]),0)-Tabla3[[#This Row],[Accrued]]*Tabla3[[#This Row],[Valor Nominal]]</f>
        <v>0</v>
      </c>
      <c r="AJ430" s="605">
        <f>+IF(Tabla3[[#This Row],[Amortización k | cupón de intereses]]="Amortización de K",IF(Tabla3[[#This Row],[Precio Clean]]&gt;1,Tabla3[[#This Row],[Valor Nominal]]*(Tabla3[[#This Row],[Precio Clean]]-1),0),0)</f>
        <v>0</v>
      </c>
      <c r="AK430" s="605">
        <f>+IF(Tabla3[[#This Row],[Amortización k | cupón de intereses]]="Amortización de K",IF(Tabla3[[#This Row],[Precio Clean]]&lt;1,Tabla3[[#This Row],[Valor Nominal]]*(Tabla3[[#This Row],[Precio Clean]]-1),0),0)</f>
        <v>0</v>
      </c>
    </row>
    <row r="431" spans="1:37">
      <c r="A431" s="502"/>
      <c r="B431" s="437" t="str">
        <f t="shared" si="264"/>
        <v>Empresas Publicas de Medellin</v>
      </c>
      <c r="C431" s="437" t="str">
        <f t="shared" si="264"/>
        <v>Empresas Publicas de Medellin, 4.375%  (USP9379RBC09)</v>
      </c>
      <c r="D431" s="437" t="str">
        <f t="shared" si="264"/>
        <v>Bonos en el exterior</v>
      </c>
      <c r="E431" s="437" t="s">
        <v>612</v>
      </c>
      <c r="F431" s="437" t="str">
        <f t="shared" si="264"/>
        <v>Corporativo</v>
      </c>
      <c r="G431" s="437" t="str">
        <f t="shared" si="264"/>
        <v>Colombia</v>
      </c>
      <c r="H431" s="437">
        <f t="shared" si="249"/>
        <v>500</v>
      </c>
      <c r="I431" s="445">
        <v>21.875</v>
      </c>
      <c r="J431" s="462"/>
      <c r="K431" s="450"/>
      <c r="L431" s="462"/>
      <c r="M431" s="493"/>
      <c r="N431" s="493"/>
      <c r="O431" s="516">
        <f t="shared" si="258"/>
        <v>6.3676395143262163E-2</v>
      </c>
      <c r="P431" s="516">
        <f t="shared" si="258"/>
        <v>6.2693768006547579E-2</v>
      </c>
      <c r="Q431" s="450">
        <f t="shared" si="258"/>
        <v>46066</v>
      </c>
      <c r="R431" s="450">
        <v>46249</v>
      </c>
      <c r="S431" s="509" t="s">
        <v>146</v>
      </c>
      <c r="T431" s="510">
        <f>Tabla3[[#This Row],[Cantidad]]*Tabla3[[#This Row],[Cortes]]</f>
        <v>10937.5</v>
      </c>
      <c r="U431" s="583">
        <f t="shared" si="259"/>
        <v>10683.549182263258</v>
      </c>
      <c r="V431" s="511">
        <f t="shared" si="260"/>
        <v>10681.717371650637</v>
      </c>
      <c r="W431" s="497">
        <f>IF(Tabla3[[#This Row],[Fecha de operación]]=$C$1,0,U431-V431)</f>
        <v>1.8318106126207567</v>
      </c>
      <c r="X431" s="512" t="str">
        <f t="shared" si="255"/>
        <v>Vigente</v>
      </c>
      <c r="Y431" s="517" t="str">
        <f t="shared" si="263"/>
        <v>Semestral</v>
      </c>
      <c r="Z431" s="449">
        <f t="shared" si="256"/>
        <v>137</v>
      </c>
      <c r="AA431" s="518">
        <f t="shared" si="261"/>
        <v>4.3919938830599277</v>
      </c>
      <c r="AB431" s="518">
        <f t="shared" si="261"/>
        <v>4.2564753789850194</v>
      </c>
      <c r="AC431" s="449" t="s">
        <v>451</v>
      </c>
      <c r="AD431" s="449" t="s">
        <v>454</v>
      </c>
      <c r="AG431" s="605">
        <f>+IF(Tabla3[[#This Row],[Amortización k | cupón de intereses]]="Amortización de K",Tabla3[[#This Row],[Valor Nominal]],0)</f>
        <v>0</v>
      </c>
      <c r="AH431" s="605">
        <f>+IF(AND(Tabla3[[#This Row],[Amortización k | cupón de intereses]]="Cupón de interés",Tabla3[[#This Row],[Estado]]="Vigente"),Tabla3[[#This Row],[Valor Nominal]],0)</f>
        <v>10937.5</v>
      </c>
      <c r="AI431" s="618">
        <f>+IF(Tabla3[[#This Row],[Amortización k | cupón de intereses]]="Amortización de K",SUMIFS($AH$7:$AH$557,Tabla3[Código Emisión],Tabla3[[#This Row],[Código Emisión]],Tabla3[Fecha de operación],Tabla3[[#This Row],[Fecha de operación]]),0)-Tabla3[[#This Row],[Accrued]]*Tabla3[[#This Row],[Valor Nominal]]</f>
        <v>0</v>
      </c>
      <c r="AJ431" s="605">
        <f>+IF(Tabla3[[#This Row],[Amortización k | cupón de intereses]]="Amortización de K",IF(Tabla3[[#This Row],[Precio Clean]]&gt;1,Tabla3[[#This Row],[Valor Nominal]]*(Tabla3[[#This Row],[Precio Clean]]-1),0),0)</f>
        <v>0</v>
      </c>
      <c r="AK431" s="605">
        <f>+IF(Tabla3[[#This Row],[Amortización k | cupón de intereses]]="Amortización de K",IF(Tabla3[[#This Row],[Precio Clean]]&lt;1,Tabla3[[#This Row],[Valor Nominal]]*(Tabla3[[#This Row],[Precio Clean]]-1),0),0)</f>
        <v>0</v>
      </c>
    </row>
    <row r="432" spans="1:37">
      <c r="A432" s="502"/>
      <c r="B432" s="437" t="str">
        <f t="shared" si="264"/>
        <v>Empresas Publicas de Medellin</v>
      </c>
      <c r="C432" s="437" t="str">
        <f t="shared" si="264"/>
        <v>Empresas Publicas de Medellin, 4.375%  (USP9379RBC09)</v>
      </c>
      <c r="D432" s="437" t="str">
        <f t="shared" si="264"/>
        <v>Bonos en el exterior</v>
      </c>
      <c r="E432" s="437" t="s">
        <v>612</v>
      </c>
      <c r="F432" s="437" t="str">
        <f t="shared" si="264"/>
        <v>Corporativo</v>
      </c>
      <c r="G432" s="437" t="str">
        <f t="shared" si="264"/>
        <v>Colombia</v>
      </c>
      <c r="H432" s="437">
        <f t="shared" si="249"/>
        <v>500</v>
      </c>
      <c r="I432" s="445">
        <v>21.875</v>
      </c>
      <c r="J432" s="462"/>
      <c r="K432" s="450"/>
      <c r="L432" s="462"/>
      <c r="M432" s="493"/>
      <c r="N432" s="493"/>
      <c r="O432" s="516">
        <f t="shared" si="258"/>
        <v>6.3676395143262163E-2</v>
      </c>
      <c r="P432" s="516">
        <f t="shared" si="258"/>
        <v>6.2693768006547579E-2</v>
      </c>
      <c r="Q432" s="450">
        <f t="shared" si="258"/>
        <v>46066</v>
      </c>
      <c r="R432" s="450">
        <v>46068</v>
      </c>
      <c r="S432" s="509" t="s">
        <v>146</v>
      </c>
      <c r="T432" s="510">
        <f>Tabla3[[#This Row],[Cantidad]]*Tabla3[[#This Row],[Cortes]]</f>
        <v>10937.5</v>
      </c>
      <c r="U432" s="583" t="b">
        <f t="shared" si="259"/>
        <v>0</v>
      </c>
      <c r="V432" s="511" t="b">
        <f t="shared" si="260"/>
        <v>0</v>
      </c>
      <c r="W432" s="497">
        <f>IF(Tabla3[[#This Row],[Fecha de operación]]=$C$1,0,U432-V432)</f>
        <v>0</v>
      </c>
      <c r="X432" s="512" t="str">
        <f t="shared" si="255"/>
        <v>Vencido</v>
      </c>
      <c r="Y432" s="517" t="str">
        <f t="shared" si="263"/>
        <v>Semestral</v>
      </c>
      <c r="Z432" s="449">
        <f t="shared" si="256"/>
        <v>-44</v>
      </c>
      <c r="AA432" s="518">
        <f t="shared" si="261"/>
        <v>4.3919938830599277</v>
      </c>
      <c r="AB432" s="518">
        <f t="shared" si="261"/>
        <v>4.2564753789850194</v>
      </c>
      <c r="AC432" s="449" t="s">
        <v>451</v>
      </c>
      <c r="AD432" s="449" t="s">
        <v>454</v>
      </c>
      <c r="AG432" s="605">
        <f>+IF(Tabla3[[#This Row],[Amortización k | cupón de intereses]]="Amortización de K",Tabla3[[#This Row],[Valor Nominal]],0)</f>
        <v>0</v>
      </c>
      <c r="AH432" s="605">
        <f>+IF(AND(Tabla3[[#This Row],[Amortización k | cupón de intereses]]="Cupón de interés",Tabla3[[#This Row],[Estado]]="Vigente"),Tabla3[[#This Row],[Valor Nominal]],0)</f>
        <v>0</v>
      </c>
      <c r="AI432" s="618">
        <f>+IF(Tabla3[[#This Row],[Amortización k | cupón de intereses]]="Amortización de K",SUMIFS($AH$7:$AH$557,Tabla3[Código Emisión],Tabla3[[#This Row],[Código Emisión]],Tabla3[Fecha de operación],Tabla3[[#This Row],[Fecha de operación]]),0)-Tabla3[[#This Row],[Accrued]]*Tabla3[[#This Row],[Valor Nominal]]</f>
        <v>0</v>
      </c>
      <c r="AJ432" s="605">
        <f>+IF(Tabla3[[#This Row],[Amortización k | cupón de intereses]]="Amortización de K",IF(Tabla3[[#This Row],[Precio Clean]]&gt;1,Tabla3[[#This Row],[Valor Nominal]]*(Tabla3[[#This Row],[Precio Clean]]-1),0),0)</f>
        <v>0</v>
      </c>
      <c r="AK432" s="605">
        <f>+IF(Tabla3[[#This Row],[Amortización k | cupón de intereses]]="Amortización de K",IF(Tabla3[[#This Row],[Precio Clean]]&lt;1,Tabla3[[#This Row],[Valor Nominal]]*(Tabla3[[#This Row],[Precio Clean]]-1),0),0)</f>
        <v>0</v>
      </c>
    </row>
    <row r="433" spans="1:37" ht="15">
      <c r="A433" s="500">
        <f>+A421+1</f>
        <v>43</v>
      </c>
      <c r="B433" s="475" t="s">
        <v>485</v>
      </c>
      <c r="C433" s="475" t="s">
        <v>619</v>
      </c>
      <c r="D433" s="475" t="s">
        <v>453</v>
      </c>
      <c r="E433" s="437" t="s">
        <v>487</v>
      </c>
      <c r="F433" s="475" t="s">
        <v>297</v>
      </c>
      <c r="G433" s="475" t="s">
        <v>298</v>
      </c>
      <c r="H433" s="475">
        <v>2</v>
      </c>
      <c r="I433" s="477">
        <v>250000</v>
      </c>
      <c r="J433" s="478">
        <v>6.5000000000000002E-2</v>
      </c>
      <c r="K433" s="479">
        <f>_xlfn.MAXIFS(R:R,C:C,C433,AD:AD,"Cupón de interés",X:X,"Vencido")</f>
        <v>46086</v>
      </c>
      <c r="L433" s="478">
        <f>+Tabla3[[#This Row],[Tasa de Interés]]*($U$5-Tabla3[[#This Row],[Last coupon]])/365</f>
        <v>4.6301369863013695E-3</v>
      </c>
      <c r="M433" s="480">
        <f>+Tabla3[[#This Row],[Precio Dirty]]-Tabla3[[#This Row],[Accrued]]</f>
        <v>1.0024435813255694</v>
      </c>
      <c r="N433" s="481">
        <f>SUMIFS(U:U,C:C,C433,Q:Q,Q433)/SUMIFS(T:T,C:C,C433,Q:Q,Q433,AD:AD,"Amortización de K")</f>
        <v>1.0070737183118708</v>
      </c>
      <c r="O433" s="482">
        <v>6.5537092089653012E-2</v>
      </c>
      <c r="P433" s="482">
        <v>6.3985356657171089E-2</v>
      </c>
      <c r="Q433" s="484">
        <v>46072</v>
      </c>
      <c r="R433" s="484">
        <v>47092</v>
      </c>
      <c r="S433" s="504" t="s">
        <v>146</v>
      </c>
      <c r="T433" s="505">
        <f>Tabla3[[#This Row],[Cantidad]]*Tabla3[[#This Row],[Cortes]]</f>
        <v>500000</v>
      </c>
      <c r="U433" s="576">
        <f t="shared" ref="U433:U489" si="265">IF(X433="VIgente",(T433/(1+O433)^((R433-$U$5)/365)))</f>
        <v>421648.22427221568</v>
      </c>
      <c r="V433" s="576">
        <f t="shared" ref="V433:V489" si="266">IF(X433="VIgente",(T433/(1+O433)^((R433-$V$5)/365)))</f>
        <v>421574.89968736435</v>
      </c>
      <c r="W433" s="505">
        <f>IF(Tabla3[[#This Row],[Fecha de operación]]=$C$1,0,U433-V433)</f>
        <v>73.324584851332474</v>
      </c>
      <c r="X433" s="507" t="str">
        <f t="shared" si="255"/>
        <v>Vigente</v>
      </c>
      <c r="Y433" s="489" t="s">
        <v>450</v>
      </c>
      <c r="Z433" s="488">
        <f t="shared" si="256"/>
        <v>980</v>
      </c>
      <c r="AA433" s="508">
        <f>IF(Y433="Mensual",DURATION($C$1,$C$1+Z433*12,J433/12,O433/12,1)/12,DURATION($C$1,R433,J433,O433,IF(Y433="Cupón cero",1,IF(Y433="Al vencimiento",1,IF(Y433="Anual",1,IF(Y433="Semestral",2,IF(Y433="Trimestral",4,"")))))))</f>
        <v>2.4679568486554686</v>
      </c>
      <c r="AB433" s="508">
        <f>IF(Y433="Mensual",MDURATION($C$1,$C$1+Z433*12,J433/12,O433/12,1)/12,MDURATION($C$1,R433,J433,O433,IF(Y433="Cupón cero",1,IF(Y433="Al vencimiento",1,IF(Y433="Anual",1,IF(Y433="Semestral",2,IF(Y433="Trimestral",4,"")))))))</f>
        <v>2.4281729992894578</v>
      </c>
      <c r="AC433" s="488" t="s">
        <v>451</v>
      </c>
      <c r="AD433" s="488" t="s">
        <v>452</v>
      </c>
      <c r="AG433" s="605">
        <f>+IF(Tabla3[[#This Row],[Amortización k | cupón de intereses]]="Amortización de K",Tabla3[[#This Row],[Valor Nominal]],0)</f>
        <v>500000</v>
      </c>
      <c r="AH433" s="605">
        <f>+IF(AND(Tabla3[[#This Row],[Amortización k | cupón de intereses]]="Cupón de interés",Tabla3[[#This Row],[Estado]]="Vigente"),Tabla3[[#This Row],[Valor Nominal]],0)</f>
        <v>0</v>
      </c>
      <c r="AI433" s="618">
        <f>+IF(Tabla3[[#This Row],[Amortización k | cupón de intereses]]="Amortización de K",SUMIFS($AH$7:$AH$557,Tabla3[Código Emisión],Tabla3[[#This Row],[Código Emisión]],Tabla3[Fecha de operación],Tabla3[[#This Row],[Fecha de operación]]),0)-Tabla3[[#This Row],[Accrued]]*Tabla3[[#This Row],[Valor Nominal]]</f>
        <v>87254.131506849313</v>
      </c>
      <c r="AJ433" s="605">
        <f>+IF(Tabla3[[#This Row],[Amortización k | cupón de intereses]]="Amortización de K",IF(Tabla3[[#This Row],[Precio Clean]]&gt;1,Tabla3[[#This Row],[Valor Nominal]]*(Tabla3[[#This Row],[Precio Clean]]-1),0),0)</f>
        <v>1221.7906627847165</v>
      </c>
      <c r="AK433" s="605">
        <f>+IF(Tabla3[[#This Row],[Amortización k | cupón de intereses]]="Amortización de K",IF(Tabla3[[#This Row],[Precio Clean]]&lt;1,Tabla3[[#This Row],[Valor Nominal]]*(Tabla3[[#This Row],[Precio Clean]]-1),0),0)</f>
        <v>0</v>
      </c>
    </row>
    <row r="434" spans="1:37">
      <c r="A434" s="502"/>
      <c r="B434" s="437" t="str">
        <f t="shared" ref="B434:C445" si="267">+B433</f>
        <v>Banco Nacional de Fomento</v>
      </c>
      <c r="C434" s="437" t="str">
        <f t="shared" si="267"/>
        <v>BNF_6,50%_05122028_BB3253-54_250K</v>
      </c>
      <c r="D434" s="437" t="s">
        <v>453</v>
      </c>
      <c r="E434" s="437" t="s">
        <v>487</v>
      </c>
      <c r="F434" s="437" t="s">
        <v>297</v>
      </c>
      <c r="G434" s="437" t="s">
        <v>298</v>
      </c>
      <c r="H434" s="437">
        <f t="shared" ref="H434:H445" si="268">+H433</f>
        <v>2</v>
      </c>
      <c r="I434" s="445">
        <v>4051.36</v>
      </c>
      <c r="J434" s="462"/>
      <c r="K434" s="450"/>
      <c r="L434" s="462"/>
      <c r="M434" s="493"/>
      <c r="N434" s="493"/>
      <c r="O434" s="516">
        <f t="shared" ref="O434:Q445" si="269">+O433</f>
        <v>6.5537092089653012E-2</v>
      </c>
      <c r="P434" s="516">
        <f t="shared" si="269"/>
        <v>6.3985356657171089E-2</v>
      </c>
      <c r="Q434" s="450">
        <f t="shared" si="269"/>
        <v>46072</v>
      </c>
      <c r="R434" s="450">
        <v>47092</v>
      </c>
      <c r="S434" s="509" t="s">
        <v>146</v>
      </c>
      <c r="T434" s="510">
        <f>Tabla3[[#This Row],[Cantidad]]*Tabla3[[#This Row],[Cortes]]</f>
        <v>8102.72</v>
      </c>
      <c r="U434" s="511">
        <f t="shared" si="265"/>
        <v>6832.9949995499346</v>
      </c>
      <c r="V434" s="511">
        <f t="shared" si="266"/>
        <v>6831.8067423896018</v>
      </c>
      <c r="W434" s="497">
        <f>IF(Tabla3[[#This Row],[Fecha de operación]]=$C$1,0,U434-V434)</f>
        <v>1.188257160332796</v>
      </c>
      <c r="X434" s="512" t="str">
        <f t="shared" si="255"/>
        <v>Vigente</v>
      </c>
      <c r="Y434" s="517" t="s">
        <v>450</v>
      </c>
      <c r="Z434" s="449">
        <f t="shared" si="256"/>
        <v>980</v>
      </c>
      <c r="AA434" s="518">
        <f t="shared" ref="AA434:AB445" si="270">+AA433</f>
        <v>2.4679568486554686</v>
      </c>
      <c r="AB434" s="518">
        <f t="shared" si="270"/>
        <v>2.4281729992894578</v>
      </c>
      <c r="AC434" s="449" t="s">
        <v>451</v>
      </c>
      <c r="AD434" s="449" t="s">
        <v>454</v>
      </c>
      <c r="AG434" s="605">
        <f>+IF(Tabla3[[#This Row],[Amortización k | cupón de intereses]]="Amortización de K",Tabla3[[#This Row],[Valor Nominal]],0)</f>
        <v>0</v>
      </c>
      <c r="AH434" s="605">
        <f>+IF(AND(Tabla3[[#This Row],[Amortización k | cupón de intereses]]="Cupón de interés",Tabla3[[#This Row],[Estado]]="Vigente"),Tabla3[[#This Row],[Valor Nominal]],0)</f>
        <v>8102.72</v>
      </c>
      <c r="AI434" s="618">
        <f>+IF(Tabla3[[#This Row],[Amortización k | cupón de intereses]]="Amortización de K",SUMIFS($AH$7:$AH$557,Tabla3[Código Emisión],Tabla3[[#This Row],[Código Emisión]],Tabla3[Fecha de operación],Tabla3[[#This Row],[Fecha de operación]]),0)-Tabla3[[#This Row],[Accrued]]*Tabla3[[#This Row],[Valor Nominal]]</f>
        <v>0</v>
      </c>
      <c r="AJ434" s="605">
        <f>+IF(Tabla3[[#This Row],[Amortización k | cupón de intereses]]="Amortización de K",IF(Tabla3[[#This Row],[Precio Clean]]&gt;1,Tabla3[[#This Row],[Valor Nominal]]*(Tabla3[[#This Row],[Precio Clean]]-1),0),0)</f>
        <v>0</v>
      </c>
      <c r="AK434" s="605">
        <f>+IF(Tabla3[[#This Row],[Amortización k | cupón de intereses]]="Amortización de K",IF(Tabla3[[#This Row],[Precio Clean]]&lt;1,Tabla3[[#This Row],[Valor Nominal]]*(Tabla3[[#This Row],[Precio Clean]]-1),0),0)</f>
        <v>0</v>
      </c>
    </row>
    <row r="435" spans="1:37">
      <c r="A435" s="502"/>
      <c r="B435" s="437" t="str">
        <f t="shared" si="267"/>
        <v>Banco Nacional de Fomento</v>
      </c>
      <c r="C435" s="437" t="str">
        <f t="shared" si="267"/>
        <v>BNF_6,50%_05122028_BB3253-54_250K</v>
      </c>
      <c r="D435" s="437" t="s">
        <v>453</v>
      </c>
      <c r="E435" s="437" t="s">
        <v>487</v>
      </c>
      <c r="F435" s="437" t="s">
        <v>297</v>
      </c>
      <c r="G435" s="437" t="s">
        <v>298</v>
      </c>
      <c r="H435" s="437">
        <f t="shared" si="268"/>
        <v>2</v>
      </c>
      <c r="I435" s="445">
        <v>4095.89</v>
      </c>
      <c r="J435" s="462"/>
      <c r="K435" s="450"/>
      <c r="L435" s="462"/>
      <c r="M435" s="493"/>
      <c r="N435" s="493"/>
      <c r="O435" s="516">
        <f t="shared" si="269"/>
        <v>6.5537092089653012E-2</v>
      </c>
      <c r="P435" s="516">
        <f t="shared" si="269"/>
        <v>6.3985356657171089E-2</v>
      </c>
      <c r="Q435" s="450">
        <f t="shared" si="269"/>
        <v>46072</v>
      </c>
      <c r="R435" s="450">
        <v>47001</v>
      </c>
      <c r="S435" s="509" t="s">
        <v>146</v>
      </c>
      <c r="T435" s="510">
        <f>Tabla3[[#This Row],[Cantidad]]*Tabla3[[#This Row],[Cortes]]</f>
        <v>8191.78</v>
      </c>
      <c r="U435" s="511">
        <f t="shared" si="265"/>
        <v>7018.2981220361344</v>
      </c>
      <c r="V435" s="511">
        <f t="shared" si="266"/>
        <v>7017.0776406809737</v>
      </c>
      <c r="W435" s="497">
        <f>IF(Tabla3[[#This Row],[Fecha de operación]]=$C$1,0,U435-V435)</f>
        <v>1.2204813551607003</v>
      </c>
      <c r="X435" s="512" t="str">
        <f t="shared" si="255"/>
        <v>Vigente</v>
      </c>
      <c r="Y435" s="517" t="s">
        <v>450</v>
      </c>
      <c r="Z435" s="449">
        <f t="shared" si="256"/>
        <v>889</v>
      </c>
      <c r="AA435" s="518">
        <f t="shared" si="270"/>
        <v>2.4679568486554686</v>
      </c>
      <c r="AB435" s="518">
        <f t="shared" si="270"/>
        <v>2.4281729992894578</v>
      </c>
      <c r="AC435" s="449" t="s">
        <v>451</v>
      </c>
      <c r="AD435" s="449" t="s">
        <v>454</v>
      </c>
      <c r="AG435" s="605">
        <f>+IF(Tabla3[[#This Row],[Amortización k | cupón de intereses]]="Amortización de K",Tabla3[[#This Row],[Valor Nominal]],0)</f>
        <v>0</v>
      </c>
      <c r="AH435" s="605">
        <f>+IF(AND(Tabla3[[#This Row],[Amortización k | cupón de intereses]]="Cupón de interés",Tabla3[[#This Row],[Estado]]="Vigente"),Tabla3[[#This Row],[Valor Nominal]],0)</f>
        <v>8191.78</v>
      </c>
      <c r="AI435" s="618">
        <f>+IF(Tabla3[[#This Row],[Amortización k | cupón de intereses]]="Amortización de K",SUMIFS($AH$7:$AH$557,Tabla3[Código Emisión],Tabla3[[#This Row],[Código Emisión]],Tabla3[Fecha de operación],Tabla3[[#This Row],[Fecha de operación]]),0)-Tabla3[[#This Row],[Accrued]]*Tabla3[[#This Row],[Valor Nominal]]</f>
        <v>0</v>
      </c>
      <c r="AJ435" s="605">
        <f>+IF(Tabla3[[#This Row],[Amortización k | cupón de intereses]]="Amortización de K",IF(Tabla3[[#This Row],[Precio Clean]]&gt;1,Tabla3[[#This Row],[Valor Nominal]]*(Tabla3[[#This Row],[Precio Clean]]-1),0),0)</f>
        <v>0</v>
      </c>
      <c r="AK435" s="605">
        <f>+IF(Tabla3[[#This Row],[Amortización k | cupón de intereses]]="Amortización de K",IF(Tabla3[[#This Row],[Precio Clean]]&lt;1,Tabla3[[#This Row],[Valor Nominal]]*(Tabla3[[#This Row],[Precio Clean]]-1),0),0)</f>
        <v>0</v>
      </c>
    </row>
    <row r="436" spans="1:37">
      <c r="A436" s="502"/>
      <c r="B436" s="437" t="str">
        <f t="shared" si="267"/>
        <v>Banco Nacional de Fomento</v>
      </c>
      <c r="C436" s="437" t="str">
        <f t="shared" si="267"/>
        <v>BNF_6,50%_05122028_BB3253-54_250K</v>
      </c>
      <c r="D436" s="437" t="s">
        <v>453</v>
      </c>
      <c r="E436" s="437" t="s">
        <v>487</v>
      </c>
      <c r="F436" s="437" t="s">
        <v>297</v>
      </c>
      <c r="G436" s="437" t="s">
        <v>298</v>
      </c>
      <c r="H436" s="437">
        <f t="shared" si="268"/>
        <v>2</v>
      </c>
      <c r="I436" s="445">
        <v>4051.36</v>
      </c>
      <c r="J436" s="462"/>
      <c r="K436" s="450"/>
      <c r="L436" s="462"/>
      <c r="M436" s="493"/>
      <c r="N436" s="493"/>
      <c r="O436" s="516">
        <f t="shared" si="269"/>
        <v>6.5537092089653012E-2</v>
      </c>
      <c r="P436" s="516">
        <f t="shared" si="269"/>
        <v>6.3985356657171089E-2</v>
      </c>
      <c r="Q436" s="450">
        <f t="shared" si="269"/>
        <v>46072</v>
      </c>
      <c r="R436" s="450">
        <v>46909</v>
      </c>
      <c r="S436" s="509" t="s">
        <v>146</v>
      </c>
      <c r="T436" s="510">
        <f>Tabla3[[#This Row],[Cantidad]]*Tabla3[[#This Row],[Cortes]]</f>
        <v>8102.72</v>
      </c>
      <c r="U436" s="511">
        <f t="shared" si="265"/>
        <v>7053.9626253114484</v>
      </c>
      <c r="V436" s="511">
        <f t="shared" si="266"/>
        <v>7052.7359419026652</v>
      </c>
      <c r="W436" s="497">
        <f>IF(Tabla3[[#This Row],[Fecha de operación]]=$C$1,0,U436-V436)</f>
        <v>1.2266834087831739</v>
      </c>
      <c r="X436" s="512" t="str">
        <f t="shared" si="255"/>
        <v>Vigente</v>
      </c>
      <c r="Y436" s="517" t="s">
        <v>450</v>
      </c>
      <c r="Z436" s="449">
        <f t="shared" si="256"/>
        <v>797</v>
      </c>
      <c r="AA436" s="518">
        <f t="shared" si="270"/>
        <v>2.4679568486554686</v>
      </c>
      <c r="AB436" s="518">
        <f t="shared" si="270"/>
        <v>2.4281729992894578</v>
      </c>
      <c r="AC436" s="449" t="s">
        <v>451</v>
      </c>
      <c r="AD436" s="449" t="s">
        <v>454</v>
      </c>
      <c r="AG436" s="605">
        <f>+IF(Tabla3[[#This Row],[Amortización k | cupón de intereses]]="Amortización de K",Tabla3[[#This Row],[Valor Nominal]],0)</f>
        <v>0</v>
      </c>
      <c r="AH436" s="605">
        <f>+IF(AND(Tabla3[[#This Row],[Amortización k | cupón de intereses]]="Cupón de interés",Tabla3[[#This Row],[Estado]]="Vigente"),Tabla3[[#This Row],[Valor Nominal]],0)</f>
        <v>8102.72</v>
      </c>
      <c r="AI436" s="618">
        <f>+IF(Tabla3[[#This Row],[Amortización k | cupón de intereses]]="Amortización de K",SUMIFS($AH$7:$AH$557,Tabla3[Código Emisión],Tabla3[[#This Row],[Código Emisión]],Tabla3[Fecha de operación],Tabla3[[#This Row],[Fecha de operación]]),0)-Tabla3[[#This Row],[Accrued]]*Tabla3[[#This Row],[Valor Nominal]]</f>
        <v>0</v>
      </c>
      <c r="AJ436" s="605">
        <f>+IF(Tabla3[[#This Row],[Amortización k | cupón de intereses]]="Amortización de K",IF(Tabla3[[#This Row],[Precio Clean]]&gt;1,Tabla3[[#This Row],[Valor Nominal]]*(Tabla3[[#This Row],[Precio Clean]]-1),0),0)</f>
        <v>0</v>
      </c>
      <c r="AK436" s="605">
        <f>+IF(Tabla3[[#This Row],[Amortización k | cupón de intereses]]="Amortización de K",IF(Tabla3[[#This Row],[Precio Clean]]&lt;1,Tabla3[[#This Row],[Valor Nominal]]*(Tabla3[[#This Row],[Precio Clean]]-1),0),0)</f>
        <v>0</v>
      </c>
    </row>
    <row r="437" spans="1:37">
      <c r="A437" s="502"/>
      <c r="B437" s="437" t="str">
        <f t="shared" si="267"/>
        <v>Banco Nacional de Fomento</v>
      </c>
      <c r="C437" s="437" t="str">
        <f t="shared" si="267"/>
        <v>BNF_6,50%_05122028_BB3253-54_250K</v>
      </c>
      <c r="D437" s="437" t="s">
        <v>453</v>
      </c>
      <c r="E437" s="437" t="s">
        <v>487</v>
      </c>
      <c r="F437" s="437" t="s">
        <v>297</v>
      </c>
      <c r="G437" s="437" t="s">
        <v>298</v>
      </c>
      <c r="H437" s="437">
        <f t="shared" si="268"/>
        <v>2</v>
      </c>
      <c r="I437" s="445">
        <v>4051.36</v>
      </c>
      <c r="J437" s="462"/>
      <c r="K437" s="450"/>
      <c r="L437" s="462"/>
      <c r="M437" s="493"/>
      <c r="N437" s="493"/>
      <c r="O437" s="516">
        <f t="shared" si="269"/>
        <v>6.5537092089653012E-2</v>
      </c>
      <c r="P437" s="516">
        <f t="shared" si="269"/>
        <v>6.3985356657171089E-2</v>
      </c>
      <c r="Q437" s="450">
        <f t="shared" si="269"/>
        <v>46072</v>
      </c>
      <c r="R437" s="450">
        <v>46818</v>
      </c>
      <c r="S437" s="509" t="s">
        <v>146</v>
      </c>
      <c r="T437" s="510">
        <f>Tabla3[[#This Row],[Cantidad]]*Tabla3[[#This Row],[Cortes]]</f>
        <v>8102.72</v>
      </c>
      <c r="U437" s="511">
        <f t="shared" si="265"/>
        <v>7166.4886071342862</v>
      </c>
      <c r="V437" s="511">
        <f t="shared" si="266"/>
        <v>7165.2423554682982</v>
      </c>
      <c r="W437" s="497">
        <f>IF(Tabla3[[#This Row],[Fecha de operación]]=$C$1,0,U437-V437)</f>
        <v>1.2462516659879839</v>
      </c>
      <c r="X437" s="512" t="str">
        <f t="shared" si="255"/>
        <v>Vigente</v>
      </c>
      <c r="Y437" s="517" t="s">
        <v>450</v>
      </c>
      <c r="Z437" s="449">
        <f t="shared" si="256"/>
        <v>706</v>
      </c>
      <c r="AA437" s="518">
        <f t="shared" si="270"/>
        <v>2.4679568486554686</v>
      </c>
      <c r="AB437" s="518">
        <f t="shared" si="270"/>
        <v>2.4281729992894578</v>
      </c>
      <c r="AC437" s="449" t="s">
        <v>451</v>
      </c>
      <c r="AD437" s="449" t="s">
        <v>454</v>
      </c>
      <c r="AG437" s="605">
        <f>+IF(Tabla3[[#This Row],[Amortización k | cupón de intereses]]="Amortización de K",Tabla3[[#This Row],[Valor Nominal]],0)</f>
        <v>0</v>
      </c>
      <c r="AH437" s="605">
        <f>+IF(AND(Tabla3[[#This Row],[Amortización k | cupón de intereses]]="Cupón de interés",Tabla3[[#This Row],[Estado]]="Vigente"),Tabla3[[#This Row],[Valor Nominal]],0)</f>
        <v>8102.72</v>
      </c>
      <c r="AI437" s="618">
        <f>+IF(Tabla3[[#This Row],[Amortización k | cupón de intereses]]="Amortización de K",SUMIFS($AH$7:$AH$557,Tabla3[Código Emisión],Tabla3[[#This Row],[Código Emisión]],Tabla3[Fecha de operación],Tabla3[[#This Row],[Fecha de operación]]),0)-Tabla3[[#This Row],[Accrued]]*Tabla3[[#This Row],[Valor Nominal]]</f>
        <v>0</v>
      </c>
      <c r="AJ437" s="605">
        <f>+IF(Tabla3[[#This Row],[Amortización k | cupón de intereses]]="Amortización de K",IF(Tabla3[[#This Row],[Precio Clean]]&gt;1,Tabla3[[#This Row],[Valor Nominal]]*(Tabla3[[#This Row],[Precio Clean]]-1),0),0)</f>
        <v>0</v>
      </c>
      <c r="AK437" s="605">
        <f>+IF(Tabla3[[#This Row],[Amortización k | cupón de intereses]]="Amortización de K",IF(Tabla3[[#This Row],[Precio Clean]]&lt;1,Tabla3[[#This Row],[Valor Nominal]]*(Tabla3[[#This Row],[Precio Clean]]-1),0),0)</f>
        <v>0</v>
      </c>
    </row>
    <row r="438" spans="1:37">
      <c r="A438" s="502"/>
      <c r="B438" s="437" t="str">
        <f t="shared" si="267"/>
        <v>Banco Nacional de Fomento</v>
      </c>
      <c r="C438" s="437" t="str">
        <f t="shared" si="267"/>
        <v>BNF_6,50%_05122028_BB3253-54_250K</v>
      </c>
      <c r="D438" s="437" t="s">
        <v>453</v>
      </c>
      <c r="E438" s="437" t="s">
        <v>487</v>
      </c>
      <c r="F438" s="437" t="s">
        <v>297</v>
      </c>
      <c r="G438" s="437" t="s">
        <v>298</v>
      </c>
      <c r="H438" s="437">
        <f t="shared" si="268"/>
        <v>2</v>
      </c>
      <c r="I438" s="445">
        <v>4051.36</v>
      </c>
      <c r="J438" s="462"/>
      <c r="K438" s="450"/>
      <c r="L438" s="462"/>
      <c r="M438" s="493"/>
      <c r="N438" s="493"/>
      <c r="O438" s="516">
        <f t="shared" si="269"/>
        <v>6.5537092089653012E-2</v>
      </c>
      <c r="P438" s="516">
        <f t="shared" si="269"/>
        <v>6.3985356657171089E-2</v>
      </c>
      <c r="Q438" s="450">
        <f t="shared" si="269"/>
        <v>46072</v>
      </c>
      <c r="R438" s="450">
        <v>46727</v>
      </c>
      <c r="S438" s="509" t="s">
        <v>146</v>
      </c>
      <c r="T438" s="510">
        <f>Tabla3[[#This Row],[Cantidad]]*Tabla3[[#This Row],[Cortes]]</f>
        <v>8102.72</v>
      </c>
      <c r="U438" s="511">
        <f t="shared" si="265"/>
        <v>7280.8096220835778</v>
      </c>
      <c r="V438" s="511">
        <f t="shared" si="266"/>
        <v>7279.543490004301</v>
      </c>
      <c r="W438" s="497">
        <f>IF(Tabla3[[#This Row],[Fecha de operación]]=$C$1,0,U438-V438)</f>
        <v>1.2661320792767583</v>
      </c>
      <c r="X438" s="512" t="str">
        <f t="shared" si="255"/>
        <v>Vigente</v>
      </c>
      <c r="Y438" s="517" t="s">
        <v>450</v>
      </c>
      <c r="Z438" s="449">
        <f t="shared" si="256"/>
        <v>615</v>
      </c>
      <c r="AA438" s="518">
        <f t="shared" si="270"/>
        <v>2.4679568486554686</v>
      </c>
      <c r="AB438" s="518">
        <f t="shared" si="270"/>
        <v>2.4281729992894578</v>
      </c>
      <c r="AC438" s="449" t="s">
        <v>451</v>
      </c>
      <c r="AD438" s="449" t="s">
        <v>454</v>
      </c>
      <c r="AG438" s="605">
        <f>+IF(Tabla3[[#This Row],[Amortización k | cupón de intereses]]="Amortización de K",Tabla3[[#This Row],[Valor Nominal]],0)</f>
        <v>0</v>
      </c>
      <c r="AH438" s="605">
        <f>+IF(AND(Tabla3[[#This Row],[Amortización k | cupón de intereses]]="Cupón de interés",Tabla3[[#This Row],[Estado]]="Vigente"),Tabla3[[#This Row],[Valor Nominal]],0)</f>
        <v>8102.72</v>
      </c>
      <c r="AI438" s="618">
        <f>+IF(Tabla3[[#This Row],[Amortización k | cupón de intereses]]="Amortización de K",SUMIFS($AH$7:$AH$557,Tabla3[Código Emisión],Tabla3[[#This Row],[Código Emisión]],Tabla3[Fecha de operación],Tabla3[[#This Row],[Fecha de operación]]),0)-Tabla3[[#This Row],[Accrued]]*Tabla3[[#This Row],[Valor Nominal]]</f>
        <v>0</v>
      </c>
      <c r="AJ438" s="605">
        <f>+IF(Tabla3[[#This Row],[Amortización k | cupón de intereses]]="Amortización de K",IF(Tabla3[[#This Row],[Precio Clean]]&gt;1,Tabla3[[#This Row],[Valor Nominal]]*(Tabla3[[#This Row],[Precio Clean]]-1),0),0)</f>
        <v>0</v>
      </c>
      <c r="AK438" s="605">
        <f>+IF(Tabla3[[#This Row],[Amortización k | cupón de intereses]]="Amortización de K",IF(Tabla3[[#This Row],[Precio Clean]]&lt;1,Tabla3[[#This Row],[Valor Nominal]]*(Tabla3[[#This Row],[Precio Clean]]-1),0),0)</f>
        <v>0</v>
      </c>
    </row>
    <row r="439" spans="1:37">
      <c r="A439" s="502"/>
      <c r="B439" s="437" t="str">
        <f t="shared" si="267"/>
        <v>Banco Nacional de Fomento</v>
      </c>
      <c r="C439" s="437" t="str">
        <f t="shared" si="267"/>
        <v>BNF_6,50%_05122028_BB3253-54_250K</v>
      </c>
      <c r="D439" s="437" t="s">
        <v>453</v>
      </c>
      <c r="E439" s="437" t="s">
        <v>487</v>
      </c>
      <c r="F439" s="437" t="s">
        <v>297</v>
      </c>
      <c r="G439" s="437" t="s">
        <v>298</v>
      </c>
      <c r="H439" s="437">
        <f t="shared" si="268"/>
        <v>2</v>
      </c>
      <c r="I439" s="445">
        <v>4051.36</v>
      </c>
      <c r="J439" s="462"/>
      <c r="K439" s="450"/>
      <c r="L439" s="462"/>
      <c r="M439" s="493"/>
      <c r="N439" s="493"/>
      <c r="O439" s="516">
        <f t="shared" si="269"/>
        <v>6.5537092089653012E-2</v>
      </c>
      <c r="P439" s="516">
        <f t="shared" si="269"/>
        <v>6.3985356657171089E-2</v>
      </c>
      <c r="Q439" s="450">
        <f t="shared" si="269"/>
        <v>46072</v>
      </c>
      <c r="R439" s="450">
        <v>46636</v>
      </c>
      <c r="S439" s="509" t="s">
        <v>146</v>
      </c>
      <c r="T439" s="510">
        <f>Tabla3[[#This Row],[Cantidad]]*Tabla3[[#This Row],[Cortes]]</f>
        <v>8102.72</v>
      </c>
      <c r="U439" s="511">
        <f t="shared" si="265"/>
        <v>7396.9543048254918</v>
      </c>
      <c r="V439" s="511">
        <f t="shared" si="266"/>
        <v>7395.667975197277</v>
      </c>
      <c r="W439" s="497">
        <f>IF(Tabla3[[#This Row],[Fecha de operación]]=$C$1,0,U439-V439)</f>
        <v>1.286329628214844</v>
      </c>
      <c r="X439" s="512" t="str">
        <f t="shared" si="255"/>
        <v>Vigente</v>
      </c>
      <c r="Y439" s="517" t="s">
        <v>450</v>
      </c>
      <c r="Z439" s="449">
        <f t="shared" si="256"/>
        <v>524</v>
      </c>
      <c r="AA439" s="518">
        <f t="shared" si="270"/>
        <v>2.4679568486554686</v>
      </c>
      <c r="AB439" s="518">
        <f t="shared" si="270"/>
        <v>2.4281729992894578</v>
      </c>
      <c r="AC439" s="449" t="s">
        <v>451</v>
      </c>
      <c r="AD439" s="449" t="s">
        <v>454</v>
      </c>
      <c r="AG439" s="605">
        <f>+IF(Tabla3[[#This Row],[Amortización k | cupón de intereses]]="Amortización de K",Tabla3[[#This Row],[Valor Nominal]],0)</f>
        <v>0</v>
      </c>
      <c r="AH439" s="605">
        <f>+IF(AND(Tabla3[[#This Row],[Amortización k | cupón de intereses]]="Cupón de interés",Tabla3[[#This Row],[Estado]]="Vigente"),Tabla3[[#This Row],[Valor Nominal]],0)</f>
        <v>8102.72</v>
      </c>
      <c r="AI439" s="618">
        <f>+IF(Tabla3[[#This Row],[Amortización k | cupón de intereses]]="Amortización de K",SUMIFS($AH$7:$AH$557,Tabla3[Código Emisión],Tabla3[[#This Row],[Código Emisión]],Tabla3[Fecha de operación],Tabla3[[#This Row],[Fecha de operación]]),0)-Tabla3[[#This Row],[Accrued]]*Tabla3[[#This Row],[Valor Nominal]]</f>
        <v>0</v>
      </c>
      <c r="AJ439" s="605">
        <f>+IF(Tabla3[[#This Row],[Amortización k | cupón de intereses]]="Amortización de K",IF(Tabla3[[#This Row],[Precio Clean]]&gt;1,Tabla3[[#This Row],[Valor Nominal]]*(Tabla3[[#This Row],[Precio Clean]]-1),0),0)</f>
        <v>0</v>
      </c>
      <c r="AK439" s="605">
        <f>+IF(Tabla3[[#This Row],[Amortización k | cupón de intereses]]="Amortización de K",IF(Tabla3[[#This Row],[Precio Clean]]&lt;1,Tabla3[[#This Row],[Valor Nominal]]*(Tabla3[[#This Row],[Precio Clean]]-1),0),0)</f>
        <v>0</v>
      </c>
    </row>
    <row r="440" spans="1:37">
      <c r="A440" s="502"/>
      <c r="B440" s="437" t="str">
        <f t="shared" si="267"/>
        <v>Banco Nacional de Fomento</v>
      </c>
      <c r="C440" s="437" t="str">
        <f t="shared" si="267"/>
        <v>BNF_6,50%_05122028_BB3253-54_250K</v>
      </c>
      <c r="D440" s="437" t="s">
        <v>453</v>
      </c>
      <c r="E440" s="437" t="s">
        <v>487</v>
      </c>
      <c r="F440" s="437" t="s">
        <v>297</v>
      </c>
      <c r="G440" s="437" t="s">
        <v>298</v>
      </c>
      <c r="H440" s="437">
        <f t="shared" si="268"/>
        <v>2</v>
      </c>
      <c r="I440" s="445">
        <v>4184.93</v>
      </c>
      <c r="J440" s="462"/>
      <c r="K440" s="450"/>
      <c r="L440" s="462"/>
      <c r="M440" s="493"/>
      <c r="N440" s="493"/>
      <c r="O440" s="516">
        <f t="shared" si="269"/>
        <v>6.5537092089653012E-2</v>
      </c>
      <c r="P440" s="516">
        <f t="shared" si="269"/>
        <v>6.3985356657171089E-2</v>
      </c>
      <c r="Q440" s="450">
        <f t="shared" si="269"/>
        <v>46072</v>
      </c>
      <c r="R440" s="450">
        <v>46545</v>
      </c>
      <c r="S440" s="509" t="s">
        <v>146</v>
      </c>
      <c r="T440" s="510">
        <f>Tabla3[[#This Row],[Cantidad]]*Tabla3[[#This Row],[Cortes]]</f>
        <v>8369.86</v>
      </c>
      <c r="U440" s="511">
        <f t="shared" si="265"/>
        <v>7762.7135119521272</v>
      </c>
      <c r="V440" s="511">
        <f t="shared" si="266"/>
        <v>7761.3635768336626</v>
      </c>
      <c r="W440" s="497">
        <f>IF(Tabla3[[#This Row],[Fecha de operación]]=$C$1,0,U440-V440)</f>
        <v>1.3499351184646002</v>
      </c>
      <c r="X440" s="512" t="str">
        <f t="shared" si="255"/>
        <v>Vigente</v>
      </c>
      <c r="Y440" s="517" t="s">
        <v>450</v>
      </c>
      <c r="Z440" s="449">
        <f t="shared" si="256"/>
        <v>433</v>
      </c>
      <c r="AA440" s="518">
        <f t="shared" si="270"/>
        <v>2.4679568486554686</v>
      </c>
      <c r="AB440" s="518">
        <f t="shared" si="270"/>
        <v>2.4281729992894578</v>
      </c>
      <c r="AC440" s="449" t="s">
        <v>451</v>
      </c>
      <c r="AD440" s="449" t="s">
        <v>454</v>
      </c>
      <c r="AG440" s="605">
        <f>+IF(Tabla3[[#This Row],[Amortización k | cupón de intereses]]="Amortización de K",Tabla3[[#This Row],[Valor Nominal]],0)</f>
        <v>0</v>
      </c>
      <c r="AH440" s="605">
        <f>+IF(AND(Tabla3[[#This Row],[Amortización k | cupón de intereses]]="Cupón de interés",Tabla3[[#This Row],[Estado]]="Vigente"),Tabla3[[#This Row],[Valor Nominal]],0)</f>
        <v>8369.86</v>
      </c>
      <c r="AI440" s="618">
        <f>+IF(Tabla3[[#This Row],[Amortización k | cupón de intereses]]="Amortización de K",SUMIFS($AH$7:$AH$557,Tabla3[Código Emisión],Tabla3[[#This Row],[Código Emisión]],Tabla3[Fecha de operación],Tabla3[[#This Row],[Fecha de operación]]),0)-Tabla3[[#This Row],[Accrued]]*Tabla3[[#This Row],[Valor Nominal]]</f>
        <v>0</v>
      </c>
      <c r="AJ440" s="605">
        <f>+IF(Tabla3[[#This Row],[Amortización k | cupón de intereses]]="Amortización de K",IF(Tabla3[[#This Row],[Precio Clean]]&gt;1,Tabla3[[#This Row],[Valor Nominal]]*(Tabla3[[#This Row],[Precio Clean]]-1),0),0)</f>
        <v>0</v>
      </c>
      <c r="AK440" s="605">
        <f>+IF(Tabla3[[#This Row],[Amortización k | cupón de intereses]]="Amortización de K",IF(Tabla3[[#This Row],[Precio Clean]]&lt;1,Tabla3[[#This Row],[Valor Nominal]]*(Tabla3[[#This Row],[Precio Clean]]-1),0),0)</f>
        <v>0</v>
      </c>
    </row>
    <row r="441" spans="1:37">
      <c r="A441" s="502"/>
      <c r="B441" s="437" t="str">
        <f t="shared" si="267"/>
        <v>Banco Nacional de Fomento</v>
      </c>
      <c r="C441" s="437" t="str">
        <f t="shared" si="267"/>
        <v>BNF_6,50%_05122028_BB3253-54_250K</v>
      </c>
      <c r="D441" s="437" t="s">
        <v>453</v>
      </c>
      <c r="E441" s="437" t="s">
        <v>487</v>
      </c>
      <c r="F441" s="437" t="s">
        <v>297</v>
      </c>
      <c r="G441" s="437" t="s">
        <v>298</v>
      </c>
      <c r="H441" s="437">
        <f t="shared" si="268"/>
        <v>2</v>
      </c>
      <c r="I441" s="445">
        <v>3914.8</v>
      </c>
      <c r="J441" s="462"/>
      <c r="K441" s="450"/>
      <c r="L441" s="462"/>
      <c r="M441" s="493"/>
      <c r="N441" s="493"/>
      <c r="O441" s="516">
        <f t="shared" si="269"/>
        <v>6.5537092089653012E-2</v>
      </c>
      <c r="P441" s="516">
        <f t="shared" si="269"/>
        <v>6.3985356657171089E-2</v>
      </c>
      <c r="Q441" s="450">
        <f t="shared" si="269"/>
        <v>46072</v>
      </c>
      <c r="R441" s="450">
        <v>46451</v>
      </c>
      <c r="S441" s="509" t="s">
        <v>146</v>
      </c>
      <c r="T441" s="510">
        <f>Tabla3[[#This Row],[Cantidad]]*Tabla3[[#This Row],[Cortes]]</f>
        <v>7829.6</v>
      </c>
      <c r="U441" s="511">
        <f t="shared" si="265"/>
        <v>7381.3328840557251</v>
      </c>
      <c r="V441" s="511">
        <f t="shared" si="266"/>
        <v>7380.0492709910504</v>
      </c>
      <c r="W441" s="497">
        <f>IF(Tabla3[[#This Row],[Fecha de operación]]=$C$1,0,U441-V441)</f>
        <v>1.2836130646746824</v>
      </c>
      <c r="X441" s="512" t="str">
        <f t="shared" si="255"/>
        <v>Vigente</v>
      </c>
      <c r="Y441" s="517" t="s">
        <v>450</v>
      </c>
      <c r="Z441" s="449">
        <f t="shared" si="256"/>
        <v>339</v>
      </c>
      <c r="AA441" s="518">
        <f t="shared" si="270"/>
        <v>2.4679568486554686</v>
      </c>
      <c r="AB441" s="518">
        <f t="shared" si="270"/>
        <v>2.4281729992894578</v>
      </c>
      <c r="AC441" s="449" t="s">
        <v>451</v>
      </c>
      <c r="AD441" s="449" t="s">
        <v>454</v>
      </c>
      <c r="AG441" s="605">
        <f>+IF(Tabla3[[#This Row],[Amortización k | cupón de intereses]]="Amortización de K",Tabla3[[#This Row],[Valor Nominal]],0)</f>
        <v>0</v>
      </c>
      <c r="AH441" s="605">
        <f>+IF(AND(Tabla3[[#This Row],[Amortización k | cupón de intereses]]="Cupón de interés",Tabla3[[#This Row],[Estado]]="Vigente"),Tabla3[[#This Row],[Valor Nominal]],0)</f>
        <v>7829.6</v>
      </c>
      <c r="AI441" s="618">
        <f>+IF(Tabla3[[#This Row],[Amortización k | cupón de intereses]]="Amortización de K",SUMIFS($AH$7:$AH$557,Tabla3[Código Emisión],Tabla3[[#This Row],[Código Emisión]],Tabla3[Fecha de operación],Tabla3[[#This Row],[Fecha de operación]]),0)-Tabla3[[#This Row],[Accrued]]*Tabla3[[#This Row],[Valor Nominal]]</f>
        <v>0</v>
      </c>
      <c r="AJ441" s="605">
        <f>+IF(Tabla3[[#This Row],[Amortización k | cupón de intereses]]="Amortización de K",IF(Tabla3[[#This Row],[Precio Clean]]&gt;1,Tabla3[[#This Row],[Valor Nominal]]*(Tabla3[[#This Row],[Precio Clean]]-1),0),0)</f>
        <v>0</v>
      </c>
      <c r="AK441" s="605">
        <f>+IF(Tabla3[[#This Row],[Amortización k | cupón de intereses]]="Amortización de K",IF(Tabla3[[#This Row],[Precio Clean]]&lt;1,Tabla3[[#This Row],[Valor Nominal]]*(Tabla3[[#This Row],[Precio Clean]]-1),0),0)</f>
        <v>0</v>
      </c>
    </row>
    <row r="442" spans="1:37">
      <c r="A442" s="502"/>
      <c r="B442" s="437" t="str">
        <f t="shared" si="267"/>
        <v>Banco Nacional de Fomento</v>
      </c>
      <c r="C442" s="437" t="str">
        <f t="shared" si="267"/>
        <v>BNF_6,50%_05122028_BB3253-54_250K</v>
      </c>
      <c r="D442" s="437" t="s">
        <v>453</v>
      </c>
      <c r="E442" s="437" t="s">
        <v>487</v>
      </c>
      <c r="F442" s="437" t="s">
        <v>297</v>
      </c>
      <c r="G442" s="437" t="s">
        <v>298</v>
      </c>
      <c r="H442" s="437">
        <f t="shared" si="268"/>
        <v>2</v>
      </c>
      <c r="I442" s="445">
        <v>4051.36</v>
      </c>
      <c r="J442" s="462"/>
      <c r="K442" s="450"/>
      <c r="L442" s="462"/>
      <c r="M442" s="493"/>
      <c r="N442" s="493"/>
      <c r="O442" s="516">
        <f t="shared" si="269"/>
        <v>6.5537092089653012E-2</v>
      </c>
      <c r="P442" s="516">
        <f t="shared" si="269"/>
        <v>6.3985356657171089E-2</v>
      </c>
      <c r="Q442" s="450">
        <f t="shared" si="269"/>
        <v>46072</v>
      </c>
      <c r="R442" s="450">
        <v>46363</v>
      </c>
      <c r="S442" s="509" t="s">
        <v>146</v>
      </c>
      <c r="T442" s="510">
        <f>Tabla3[[#This Row],[Cantidad]]*Tabla3[[#This Row],[Cortes]]</f>
        <v>8102.72</v>
      </c>
      <c r="U442" s="511">
        <f t="shared" si="265"/>
        <v>7756.6236020793476</v>
      </c>
      <c r="V442" s="511">
        <f t="shared" si="266"/>
        <v>7755.2747259956122</v>
      </c>
      <c r="W442" s="497">
        <f>IF(Tabla3[[#This Row],[Fecha de operación]]=$C$1,0,U442-V442)</f>
        <v>1.3488760837353766</v>
      </c>
      <c r="X442" s="512" t="str">
        <f t="shared" si="255"/>
        <v>Vigente</v>
      </c>
      <c r="Y442" s="517" t="s">
        <v>450</v>
      </c>
      <c r="Z442" s="449">
        <f t="shared" si="256"/>
        <v>251</v>
      </c>
      <c r="AA442" s="518">
        <f t="shared" si="270"/>
        <v>2.4679568486554686</v>
      </c>
      <c r="AB442" s="518">
        <f t="shared" si="270"/>
        <v>2.4281729992894578</v>
      </c>
      <c r="AC442" s="449" t="s">
        <v>451</v>
      </c>
      <c r="AD442" s="449" t="s">
        <v>454</v>
      </c>
      <c r="AG442" s="605">
        <f>+IF(Tabla3[[#This Row],[Amortización k | cupón de intereses]]="Amortización de K",Tabla3[[#This Row],[Valor Nominal]],0)</f>
        <v>0</v>
      </c>
      <c r="AH442" s="605">
        <f>+IF(AND(Tabla3[[#This Row],[Amortización k | cupón de intereses]]="Cupón de interés",Tabla3[[#This Row],[Estado]]="Vigente"),Tabla3[[#This Row],[Valor Nominal]],0)</f>
        <v>8102.72</v>
      </c>
      <c r="AI442" s="618">
        <f>+IF(Tabla3[[#This Row],[Amortización k | cupón de intereses]]="Amortización de K",SUMIFS($AH$7:$AH$557,Tabla3[Código Emisión],Tabla3[[#This Row],[Código Emisión]],Tabla3[Fecha de operación],Tabla3[[#This Row],[Fecha de operación]]),0)-Tabla3[[#This Row],[Accrued]]*Tabla3[[#This Row],[Valor Nominal]]</f>
        <v>0</v>
      </c>
      <c r="AJ442" s="605">
        <f>+IF(Tabla3[[#This Row],[Amortización k | cupón de intereses]]="Amortización de K",IF(Tabla3[[#This Row],[Precio Clean]]&gt;1,Tabla3[[#This Row],[Valor Nominal]]*(Tabla3[[#This Row],[Precio Clean]]-1),0),0)</f>
        <v>0</v>
      </c>
      <c r="AK442" s="605">
        <f>+IF(Tabla3[[#This Row],[Amortización k | cupón de intereses]]="Amortización de K",IF(Tabla3[[#This Row],[Precio Clean]]&lt;1,Tabla3[[#This Row],[Valor Nominal]]*(Tabla3[[#This Row],[Precio Clean]]-1),0),0)</f>
        <v>0</v>
      </c>
    </row>
    <row r="443" spans="1:37">
      <c r="A443" s="502"/>
      <c r="B443" s="437" t="str">
        <f t="shared" si="267"/>
        <v>Banco Nacional de Fomento</v>
      </c>
      <c r="C443" s="437" t="str">
        <f t="shared" si="267"/>
        <v>BNF_6,50%_05122028_BB3253-54_250K</v>
      </c>
      <c r="D443" s="437" t="s">
        <v>453</v>
      </c>
      <c r="E443" s="437" t="s">
        <v>487</v>
      </c>
      <c r="F443" s="437" t="s">
        <v>297</v>
      </c>
      <c r="G443" s="437" t="s">
        <v>298</v>
      </c>
      <c r="H443" s="437">
        <f t="shared" si="268"/>
        <v>2</v>
      </c>
      <c r="I443" s="445">
        <v>4184.93</v>
      </c>
      <c r="J443" s="462"/>
      <c r="K443" s="450"/>
      <c r="L443" s="462"/>
      <c r="M443" s="493"/>
      <c r="N443" s="493"/>
      <c r="O443" s="516">
        <f t="shared" si="269"/>
        <v>6.5537092089653012E-2</v>
      </c>
      <c r="P443" s="516">
        <f t="shared" si="269"/>
        <v>6.3985356657171089E-2</v>
      </c>
      <c r="Q443" s="450">
        <f t="shared" si="269"/>
        <v>46072</v>
      </c>
      <c r="R443" s="450">
        <v>46272</v>
      </c>
      <c r="S443" s="509" t="s">
        <v>146</v>
      </c>
      <c r="T443" s="510">
        <f>Tabla3[[#This Row],[Cantidad]]*Tabla3[[#This Row],[Cortes]]</f>
        <v>8369.86</v>
      </c>
      <c r="U443" s="511">
        <f t="shared" si="265"/>
        <v>8140.1674745655537</v>
      </c>
      <c r="V443" s="511">
        <f t="shared" si="266"/>
        <v>8138.7519002400068</v>
      </c>
      <c r="W443" s="497">
        <f>IF(Tabla3[[#This Row],[Fecha de operación]]=$C$1,0,U443-V443)</f>
        <v>1.4155743255469133</v>
      </c>
      <c r="X443" s="512" t="str">
        <f t="shared" si="255"/>
        <v>Vigente</v>
      </c>
      <c r="Y443" s="517" t="s">
        <v>450</v>
      </c>
      <c r="Z443" s="449">
        <f t="shared" si="256"/>
        <v>160</v>
      </c>
      <c r="AA443" s="518">
        <f t="shared" si="270"/>
        <v>2.4679568486554686</v>
      </c>
      <c r="AB443" s="518">
        <f t="shared" si="270"/>
        <v>2.4281729992894578</v>
      </c>
      <c r="AC443" s="449" t="s">
        <v>451</v>
      </c>
      <c r="AD443" s="449" t="s">
        <v>454</v>
      </c>
      <c r="AG443" s="605">
        <f>+IF(Tabla3[[#This Row],[Amortización k | cupón de intereses]]="Amortización de K",Tabla3[[#This Row],[Valor Nominal]],0)</f>
        <v>0</v>
      </c>
      <c r="AH443" s="605">
        <f>+IF(AND(Tabla3[[#This Row],[Amortización k | cupón de intereses]]="Cupón de interés",Tabla3[[#This Row],[Estado]]="Vigente"),Tabla3[[#This Row],[Valor Nominal]],0)</f>
        <v>8369.86</v>
      </c>
      <c r="AI443" s="618">
        <f>+IF(Tabla3[[#This Row],[Amortización k | cupón de intereses]]="Amortización de K",SUMIFS($AH$7:$AH$557,Tabla3[Código Emisión],Tabla3[[#This Row],[Código Emisión]],Tabla3[Fecha de operación],Tabla3[[#This Row],[Fecha de operación]]),0)-Tabla3[[#This Row],[Accrued]]*Tabla3[[#This Row],[Valor Nominal]]</f>
        <v>0</v>
      </c>
      <c r="AJ443" s="605">
        <f>+IF(Tabla3[[#This Row],[Amortización k | cupón de intereses]]="Amortización de K",IF(Tabla3[[#This Row],[Precio Clean]]&gt;1,Tabla3[[#This Row],[Valor Nominal]]*(Tabla3[[#This Row],[Precio Clean]]-1),0),0)</f>
        <v>0</v>
      </c>
      <c r="AK443" s="605">
        <f>+IF(Tabla3[[#This Row],[Amortización k | cupón de intereses]]="Amortización de K",IF(Tabla3[[#This Row],[Precio Clean]]&lt;1,Tabla3[[#This Row],[Valor Nominal]]*(Tabla3[[#This Row],[Precio Clean]]-1),0),0)</f>
        <v>0</v>
      </c>
    </row>
    <row r="444" spans="1:37">
      <c r="A444" s="502"/>
      <c r="B444" s="437" t="str">
        <f t="shared" si="267"/>
        <v>Banco Nacional de Fomento</v>
      </c>
      <c r="C444" s="437" t="str">
        <f t="shared" si="267"/>
        <v>BNF_6,50%_05122028_BB3253-54_250K</v>
      </c>
      <c r="D444" s="437" t="s">
        <v>453</v>
      </c>
      <c r="E444" s="437" t="s">
        <v>487</v>
      </c>
      <c r="F444" s="437" t="s">
        <v>297</v>
      </c>
      <c r="G444" s="437" t="s">
        <v>298</v>
      </c>
      <c r="H444" s="437">
        <f t="shared" si="268"/>
        <v>2</v>
      </c>
      <c r="I444" s="445">
        <v>4095.89</v>
      </c>
      <c r="J444" s="462"/>
      <c r="K444" s="450"/>
      <c r="L444" s="462"/>
      <c r="M444" s="493"/>
      <c r="N444" s="493"/>
      <c r="O444" s="516">
        <f t="shared" si="269"/>
        <v>6.5537092089653012E-2</v>
      </c>
      <c r="P444" s="516">
        <f t="shared" si="269"/>
        <v>6.3985356657171089E-2</v>
      </c>
      <c r="Q444" s="450">
        <f t="shared" si="269"/>
        <v>46072</v>
      </c>
      <c r="R444" s="450">
        <v>46178</v>
      </c>
      <c r="S444" s="509" t="s">
        <v>146</v>
      </c>
      <c r="T444" s="510">
        <f>Tabla3[[#This Row],[Cantidad]]*Tabla3[[#This Row],[Cortes]]</f>
        <v>8191.78</v>
      </c>
      <c r="U444" s="511">
        <f t="shared" si="265"/>
        <v>8098.2891301260834</v>
      </c>
      <c r="V444" s="511">
        <f t="shared" si="266"/>
        <v>8096.8808384405256</v>
      </c>
      <c r="W444" s="497">
        <f>IF(Tabla3[[#This Row],[Fecha de operación]]=$C$1,0,U444-V444)</f>
        <v>1.4082916855577423</v>
      </c>
      <c r="X444" s="512" t="str">
        <f t="shared" si="255"/>
        <v>Vigente</v>
      </c>
      <c r="Y444" s="517" t="s">
        <v>450</v>
      </c>
      <c r="Z444" s="449">
        <f t="shared" si="256"/>
        <v>66</v>
      </c>
      <c r="AA444" s="518">
        <f t="shared" si="270"/>
        <v>2.4679568486554686</v>
      </c>
      <c r="AB444" s="518">
        <f t="shared" si="270"/>
        <v>2.4281729992894578</v>
      </c>
      <c r="AC444" s="449" t="s">
        <v>451</v>
      </c>
      <c r="AD444" s="449" t="s">
        <v>454</v>
      </c>
      <c r="AG444" s="605">
        <f>+IF(Tabla3[[#This Row],[Amortización k | cupón de intereses]]="Amortización de K",Tabla3[[#This Row],[Valor Nominal]],0)</f>
        <v>0</v>
      </c>
      <c r="AH444" s="605">
        <f>+IF(AND(Tabla3[[#This Row],[Amortización k | cupón de intereses]]="Cupón de interés",Tabla3[[#This Row],[Estado]]="Vigente"),Tabla3[[#This Row],[Valor Nominal]],0)</f>
        <v>8191.78</v>
      </c>
      <c r="AI444" s="618">
        <f>+IF(Tabla3[[#This Row],[Amortización k | cupón de intereses]]="Amortización de K",SUMIFS($AH$7:$AH$557,Tabla3[Código Emisión],Tabla3[[#This Row],[Código Emisión]],Tabla3[Fecha de operación],Tabla3[[#This Row],[Fecha de operación]]),0)-Tabla3[[#This Row],[Accrued]]*Tabla3[[#This Row],[Valor Nominal]]</f>
        <v>0</v>
      </c>
      <c r="AJ444" s="605">
        <f>+IF(Tabla3[[#This Row],[Amortización k | cupón de intereses]]="Amortización de K",IF(Tabla3[[#This Row],[Precio Clean]]&gt;1,Tabla3[[#This Row],[Valor Nominal]]*(Tabla3[[#This Row],[Precio Clean]]-1),0),0)</f>
        <v>0</v>
      </c>
      <c r="AK444" s="605">
        <f>+IF(Tabla3[[#This Row],[Amortización k | cupón de intereses]]="Amortización de K",IF(Tabla3[[#This Row],[Precio Clean]]&lt;1,Tabla3[[#This Row],[Valor Nominal]]*(Tabla3[[#This Row],[Precio Clean]]-1),0),0)</f>
        <v>0</v>
      </c>
    </row>
    <row r="445" spans="1:37">
      <c r="A445" s="502"/>
      <c r="B445" s="437" t="str">
        <f t="shared" si="267"/>
        <v>Banco Nacional de Fomento</v>
      </c>
      <c r="C445" s="437" t="str">
        <f t="shared" si="267"/>
        <v>BNF_6,50%_05122028_BB3253-54_250K</v>
      </c>
      <c r="D445" s="437" t="s">
        <v>453</v>
      </c>
      <c r="E445" s="437" t="s">
        <v>487</v>
      </c>
      <c r="F445" s="437" t="s">
        <v>297</v>
      </c>
      <c r="G445" s="437" t="s">
        <v>298</v>
      </c>
      <c r="H445" s="437">
        <f t="shared" si="268"/>
        <v>2</v>
      </c>
      <c r="I445" s="445">
        <v>4006.84</v>
      </c>
      <c r="J445" s="462"/>
      <c r="K445" s="450"/>
      <c r="L445" s="462"/>
      <c r="M445" s="493"/>
      <c r="N445" s="493"/>
      <c r="O445" s="516">
        <f t="shared" si="269"/>
        <v>6.5537092089653012E-2</v>
      </c>
      <c r="P445" s="516">
        <f t="shared" si="269"/>
        <v>6.3985356657171089E-2</v>
      </c>
      <c r="Q445" s="450">
        <f t="shared" si="269"/>
        <v>46072</v>
      </c>
      <c r="R445" s="450">
        <v>46086</v>
      </c>
      <c r="S445" s="509" t="s">
        <v>146</v>
      </c>
      <c r="T445" s="641">
        <f>Tabla3[[#This Row],[Cantidad]]*Tabla3[[#This Row],[Cortes]]</f>
        <v>8013.68</v>
      </c>
      <c r="U445" s="511" t="b">
        <f t="shared" si="265"/>
        <v>0</v>
      </c>
      <c r="V445" s="511" t="b">
        <f t="shared" si="266"/>
        <v>0</v>
      </c>
      <c r="W445" s="497">
        <f>IF(Tabla3[[#This Row],[Fecha de operación]]=$C$1,0,U445-V445)</f>
        <v>0</v>
      </c>
      <c r="X445" s="512" t="str">
        <f t="shared" si="255"/>
        <v>Vencido</v>
      </c>
      <c r="Y445" s="517" t="s">
        <v>450</v>
      </c>
      <c r="Z445" s="449">
        <f t="shared" si="256"/>
        <v>-26</v>
      </c>
      <c r="AA445" s="518">
        <f t="shared" si="270"/>
        <v>2.4679568486554686</v>
      </c>
      <c r="AB445" s="518">
        <f t="shared" si="270"/>
        <v>2.4281729992894578</v>
      </c>
      <c r="AC445" s="449" t="s">
        <v>451</v>
      </c>
      <c r="AD445" s="449" t="s">
        <v>454</v>
      </c>
      <c r="AG445" s="605">
        <f>+IF(Tabla3[[#This Row],[Amortización k | cupón de intereses]]="Amortización de K",Tabla3[[#This Row],[Valor Nominal]],0)</f>
        <v>0</v>
      </c>
      <c r="AH445" s="605">
        <f>+IF(AND(Tabla3[[#This Row],[Amortización k | cupón de intereses]]="Cupón de interés",Tabla3[[#This Row],[Estado]]="Vigente"),Tabla3[[#This Row],[Valor Nominal]],0)</f>
        <v>0</v>
      </c>
      <c r="AI445" s="618">
        <f>+IF(Tabla3[[#This Row],[Amortización k | cupón de intereses]]="Amortización de K",SUMIFS($AH$7:$AH$557,Tabla3[Código Emisión],Tabla3[[#This Row],[Código Emisión]],Tabla3[Fecha de operación],Tabla3[[#This Row],[Fecha de operación]]),0)-Tabla3[[#This Row],[Accrued]]*Tabla3[[#This Row],[Valor Nominal]]</f>
        <v>0</v>
      </c>
      <c r="AJ445" s="605">
        <f>+IF(Tabla3[[#This Row],[Amortización k | cupón de intereses]]="Amortización de K",IF(Tabla3[[#This Row],[Precio Clean]]&gt;1,Tabla3[[#This Row],[Valor Nominal]]*(Tabla3[[#This Row],[Precio Clean]]-1),0),0)</f>
        <v>0</v>
      </c>
      <c r="AK445" s="605">
        <f>+IF(Tabla3[[#This Row],[Amortización k | cupón de intereses]]="Amortización de K",IF(Tabla3[[#This Row],[Precio Clean]]&lt;1,Tabla3[[#This Row],[Valor Nominal]]*(Tabla3[[#This Row],[Precio Clean]]-1),0),0)</f>
        <v>0</v>
      </c>
    </row>
    <row r="446" spans="1:37" ht="15">
      <c r="A446" s="500">
        <f>+A433+1</f>
        <v>44</v>
      </c>
      <c r="B446" s="475" t="s">
        <v>504</v>
      </c>
      <c r="C446" s="475" t="s">
        <v>562</v>
      </c>
      <c r="D446" s="475" t="s">
        <v>453</v>
      </c>
      <c r="E446" s="475" t="s">
        <v>487</v>
      </c>
      <c r="F446" s="475" t="s">
        <v>297</v>
      </c>
      <c r="G446" s="475" t="s">
        <v>298</v>
      </c>
      <c r="H446" s="475">
        <v>5</v>
      </c>
      <c r="I446" s="477">
        <v>100000</v>
      </c>
      <c r="J446" s="478">
        <v>6.5000000000000002E-2</v>
      </c>
      <c r="K446" s="479">
        <v>46055</v>
      </c>
      <c r="L446" s="478">
        <f>+Tabla3[[#This Row],[Tasa de Interés]]*($U$5-Tabla3[[#This Row],[Last coupon]])/365</f>
        <v>1.0150684931506849E-2</v>
      </c>
      <c r="M446" s="480">
        <f>+Tabla3[[#This Row],[Precio Dirty]]-Tabla3[[#This Row],[Accrued]]</f>
        <v>1.0063707713837764</v>
      </c>
      <c r="N446" s="481">
        <f>SUMIFS(U:U,C:C,C446,Q:Q,Q446)/SUMIFS(T:T,C:C,C446,Q:Q,Q446,AD:AD,"Amortización de K")</f>
        <v>1.0165214563152833</v>
      </c>
      <c r="O446" s="482">
        <v>6.2958493828773499E-2</v>
      </c>
      <c r="P446" s="482">
        <v>6.199756918263466E-2</v>
      </c>
      <c r="Q446" s="484">
        <v>46086</v>
      </c>
      <c r="R446" s="484">
        <v>46972</v>
      </c>
      <c r="S446" s="504" t="s">
        <v>146</v>
      </c>
      <c r="T446" s="505">
        <f>Tabla3[[#This Row],[Cantidad]]*Tabla3[[#This Row],[Cortes]]</f>
        <v>500000</v>
      </c>
      <c r="U446" s="576">
        <f t="shared" si="265"/>
        <v>433005.31488862989</v>
      </c>
      <c r="V446" s="576">
        <f t="shared" si="266"/>
        <v>432932.88917878346</v>
      </c>
      <c r="W446" s="505">
        <f>IF(Tabla3[[#This Row],[Fecha de operación]]=$C$1,0,U446-V446)</f>
        <v>72.425709846429527</v>
      </c>
      <c r="X446" s="507" t="str">
        <f t="shared" si="255"/>
        <v>Vigente</v>
      </c>
      <c r="Y446" s="489" t="s">
        <v>488</v>
      </c>
      <c r="Z446" s="488">
        <f t="shared" si="256"/>
        <v>860</v>
      </c>
      <c r="AA446" s="508">
        <f>IF(Y446="Mensual",DURATION($C$1,$C$1+Z446*12,J446/12,O446/12,1)/12,DURATION($C$1,R446,J446,O446,IF(Y446="Cupón cero",1,IF(Y446="Al vencimiento",1,IF(Y446="Anual",1,IF(Y446="Semestral",2,IF(Y446="Trimestral",4,"")))))))</f>
        <v>2.1979022861667334</v>
      </c>
      <c r="AB446" s="508">
        <f>IF(Y446="Mensual",MDURATION($C$1,$C$1+Z446*12,J446/12,O446/12,1)/12,MDURATION($C$1,R446,J446,O446,IF(Y446="Cupón cero",1,IF(Y446="Al vencimiento",1,IF(Y446="Anual",1,IF(Y446="Semestral",2,IF(Y446="Trimestral",4,"")))))))</f>
        <v>2.1308255039950024</v>
      </c>
      <c r="AC446" s="488" t="s">
        <v>451</v>
      </c>
      <c r="AD446" s="488" t="s">
        <v>452</v>
      </c>
      <c r="AF446" s="551"/>
      <c r="AG446" s="605">
        <f>+IF(Tabla3[[#This Row],[Amortización k | cupón de intereses]]="Amortización de K",Tabla3[[#This Row],[Valor Nominal]],0)</f>
        <v>500000</v>
      </c>
      <c r="AH446" s="605">
        <f>+IF(AND(Tabla3[[#This Row],[Amortización k | cupón de intereses]]="Cupón de interés",Tabla3[[#This Row],[Estado]]="Vigente"),Tabla3[[#This Row],[Valor Nominal]],0)</f>
        <v>0</v>
      </c>
      <c r="AI446" s="618">
        <f>+IF(Tabla3[[#This Row],[Amortización k | cupón de intereses]]="Amortización de K",SUMIFS($AH$7:$AH$557,Tabla3[Código Emisión],Tabla3[[#This Row],[Código Emisión]],Tabla3[Fecha de operación],Tabla3[[#This Row],[Fecha de operación]]),0)-Tabla3[[#This Row],[Accrued]]*Tabla3[[#This Row],[Valor Nominal]]</f>
        <v>76575.34246575342</v>
      </c>
      <c r="AJ446" s="605">
        <f>+IF(Tabla3[[#This Row],[Amortización k | cupón de intereses]]="Amortización de K",IF(Tabla3[[#This Row],[Precio Clean]]&gt;1,Tabla3[[#This Row],[Valor Nominal]]*(Tabla3[[#This Row],[Precio Clean]]-1),0),0)</f>
        <v>3185.3856918881984</v>
      </c>
      <c r="AK446" s="605">
        <f>+IF(Tabla3[[#This Row],[Amortización k | cupón de intereses]]="Amortización de K",IF(Tabla3[[#This Row],[Precio Clean]]&lt;1,Tabla3[[#This Row],[Valor Nominal]]*(Tabla3[[#This Row],[Precio Clean]]-1),0),0)</f>
        <v>0</v>
      </c>
    </row>
    <row r="447" spans="1:37">
      <c r="A447" s="502"/>
      <c r="B447" s="437" t="str">
        <f t="shared" ref="B447:C451" si="271">+B446</f>
        <v>Sudameris Bank SAECA</v>
      </c>
      <c r="C447" s="437" t="str">
        <f t="shared" si="271"/>
        <v>SUD_6,50%_07082028_BN7267-75_100K</v>
      </c>
      <c r="D447" s="437" t="s">
        <v>453</v>
      </c>
      <c r="E447" s="437" t="s">
        <v>487</v>
      </c>
      <c r="F447" s="437" t="s">
        <v>297</v>
      </c>
      <c r="G447" s="437" t="s">
        <v>298</v>
      </c>
      <c r="H447" s="437">
        <f t="shared" ref="H447:H475" si="272">+H446</f>
        <v>5</v>
      </c>
      <c r="I447" s="445">
        <v>3490.4109589041091</v>
      </c>
      <c r="J447" s="462"/>
      <c r="K447" s="450"/>
      <c r="L447" s="462"/>
      <c r="M447" s="493"/>
      <c r="N447" s="493"/>
      <c r="O447" s="516">
        <f t="shared" ref="O447:Q451" si="273">+O446</f>
        <v>6.2958493828773499E-2</v>
      </c>
      <c r="P447" s="516">
        <f t="shared" si="273"/>
        <v>6.199756918263466E-2</v>
      </c>
      <c r="Q447" s="450">
        <f t="shared" si="273"/>
        <v>46086</v>
      </c>
      <c r="R447" s="450">
        <v>46972</v>
      </c>
      <c r="S447" s="509" t="s">
        <v>146</v>
      </c>
      <c r="T447" s="510">
        <f>Tabla3[[#This Row],[Cantidad]]*Tabla3[[#This Row],[Cortes]]</f>
        <v>17452.054794520547</v>
      </c>
      <c r="U447" s="511">
        <f t="shared" si="265"/>
        <v>15113.664963509986</v>
      </c>
      <c r="V447" s="511">
        <f t="shared" si="266"/>
        <v>15111.137008596441</v>
      </c>
      <c r="W447" s="497">
        <f>IF(Tabla3[[#This Row],[Fecha de operación]]=$C$1,0,U447-V447)</f>
        <v>2.5279549135448178</v>
      </c>
      <c r="X447" s="512" t="str">
        <f t="shared" si="255"/>
        <v>Vigente</v>
      </c>
      <c r="Y447" s="517" t="str">
        <f>+Y446</f>
        <v>Semestral</v>
      </c>
      <c r="Z447" s="449">
        <f t="shared" si="256"/>
        <v>860</v>
      </c>
      <c r="AA447" s="518">
        <f t="shared" ref="AA447:AB451" si="274">+AA446</f>
        <v>2.1979022861667334</v>
      </c>
      <c r="AB447" s="518">
        <f t="shared" si="274"/>
        <v>2.1308255039950024</v>
      </c>
      <c r="AC447" s="449" t="s">
        <v>451</v>
      </c>
      <c r="AD447" s="449" t="s">
        <v>454</v>
      </c>
      <c r="AG447" s="605">
        <f>+IF(Tabla3[[#This Row],[Amortización k | cupón de intereses]]="Amortización de K",Tabla3[[#This Row],[Valor Nominal]],0)</f>
        <v>0</v>
      </c>
      <c r="AH447" s="605">
        <f>+IF(AND(Tabla3[[#This Row],[Amortización k | cupón de intereses]]="Cupón de interés",Tabla3[[#This Row],[Estado]]="Vigente"),Tabla3[[#This Row],[Valor Nominal]],0)</f>
        <v>17452.054794520547</v>
      </c>
      <c r="AI447" s="618">
        <f>+IF(Tabla3[[#This Row],[Amortización k | cupón de intereses]]="Amortización de K",SUMIFS($AH$7:$AH$557,Tabla3[Código Emisión],Tabla3[[#This Row],[Código Emisión]],Tabla3[Fecha de operación],Tabla3[[#This Row],[Fecha de operación]]),0)-Tabla3[[#This Row],[Accrued]]*Tabla3[[#This Row],[Valor Nominal]]</f>
        <v>0</v>
      </c>
      <c r="AJ447" s="605">
        <f>+IF(Tabla3[[#This Row],[Amortización k | cupón de intereses]]="Amortización de K",IF(Tabla3[[#This Row],[Precio Clean]]&gt;1,Tabla3[[#This Row],[Valor Nominal]]*(Tabla3[[#This Row],[Precio Clean]]-1),0),0)</f>
        <v>0</v>
      </c>
      <c r="AK447" s="605">
        <f>+IF(Tabla3[[#This Row],[Amortización k | cupón de intereses]]="Amortización de K",IF(Tabla3[[#This Row],[Precio Clean]]&lt;1,Tabla3[[#This Row],[Valor Nominal]]*(Tabla3[[#This Row],[Precio Clean]]-1),0),0)</f>
        <v>0</v>
      </c>
    </row>
    <row r="448" spans="1:37">
      <c r="A448" s="502"/>
      <c r="B448" s="437" t="str">
        <f t="shared" si="271"/>
        <v>Sudameris Bank SAECA</v>
      </c>
      <c r="C448" s="437" t="str">
        <f t="shared" si="271"/>
        <v>SUD_6,50%_07082028_BN7267-75_100K</v>
      </c>
      <c r="D448" s="437" t="s">
        <v>453</v>
      </c>
      <c r="E448" s="437" t="s">
        <v>487</v>
      </c>
      <c r="F448" s="437" t="s">
        <v>297</v>
      </c>
      <c r="G448" s="437" t="s">
        <v>298</v>
      </c>
      <c r="H448" s="437">
        <f t="shared" si="272"/>
        <v>5</v>
      </c>
      <c r="I448" s="445">
        <v>3223.2876712328766</v>
      </c>
      <c r="J448" s="462"/>
      <c r="K448" s="450"/>
      <c r="L448" s="462"/>
      <c r="M448" s="493"/>
      <c r="N448" s="493"/>
      <c r="O448" s="516">
        <f t="shared" si="273"/>
        <v>6.2958493828773499E-2</v>
      </c>
      <c r="P448" s="516">
        <f t="shared" si="273"/>
        <v>6.199756918263466E-2</v>
      </c>
      <c r="Q448" s="450">
        <f t="shared" si="273"/>
        <v>46086</v>
      </c>
      <c r="R448" s="450">
        <v>46776</v>
      </c>
      <c r="S448" s="509" t="s">
        <v>146</v>
      </c>
      <c r="T448" s="510">
        <f>Tabla3[[#This Row],[Cantidad]]*Tabla3[[#This Row],[Cortes]]</f>
        <v>16116.438356164383</v>
      </c>
      <c r="U448" s="511">
        <f t="shared" si="265"/>
        <v>14422.189164830004</v>
      </c>
      <c r="V448" s="511">
        <f t="shared" si="266"/>
        <v>14419.776868140136</v>
      </c>
      <c r="W448" s="497">
        <f>IF(Tabla3[[#This Row],[Fecha de operación]]=$C$1,0,U448-V448)</f>
        <v>2.4122966898685263</v>
      </c>
      <c r="X448" s="512" t="str">
        <f t="shared" si="255"/>
        <v>Vigente</v>
      </c>
      <c r="Y448" s="517" t="str">
        <f t="shared" ref="Y448:Y451" si="275">+Y447</f>
        <v>Semestral</v>
      </c>
      <c r="Z448" s="449">
        <f t="shared" si="256"/>
        <v>664</v>
      </c>
      <c r="AA448" s="518">
        <f t="shared" si="274"/>
        <v>2.1979022861667334</v>
      </c>
      <c r="AB448" s="518">
        <f t="shared" si="274"/>
        <v>2.1308255039950024</v>
      </c>
      <c r="AC448" s="449" t="s">
        <v>451</v>
      </c>
      <c r="AD448" s="449" t="s">
        <v>454</v>
      </c>
      <c r="AG448" s="605">
        <f>+IF(Tabla3[[#This Row],[Amortización k | cupón de intereses]]="Amortización de K",Tabla3[[#This Row],[Valor Nominal]],0)</f>
        <v>0</v>
      </c>
      <c r="AH448" s="605">
        <f>+IF(AND(Tabla3[[#This Row],[Amortización k | cupón de intereses]]="Cupón de interés",Tabla3[[#This Row],[Estado]]="Vigente"),Tabla3[[#This Row],[Valor Nominal]],0)</f>
        <v>16116.438356164383</v>
      </c>
      <c r="AI448" s="618">
        <f>+IF(Tabla3[[#This Row],[Amortización k | cupón de intereses]]="Amortización de K",SUMIFS($AH$7:$AH$557,Tabla3[Código Emisión],Tabla3[[#This Row],[Código Emisión]],Tabla3[Fecha de operación],Tabla3[[#This Row],[Fecha de operación]]),0)-Tabla3[[#This Row],[Accrued]]*Tabla3[[#This Row],[Valor Nominal]]</f>
        <v>0</v>
      </c>
      <c r="AJ448" s="605">
        <f>+IF(Tabla3[[#This Row],[Amortización k | cupón de intereses]]="Amortización de K",IF(Tabla3[[#This Row],[Precio Clean]]&gt;1,Tabla3[[#This Row],[Valor Nominal]]*(Tabla3[[#This Row],[Precio Clean]]-1),0),0)</f>
        <v>0</v>
      </c>
      <c r="AK448" s="605">
        <f>+IF(Tabla3[[#This Row],[Amortización k | cupón de intereses]]="Amortización de K",IF(Tabla3[[#This Row],[Precio Clean]]&lt;1,Tabla3[[#This Row],[Valor Nominal]]*(Tabla3[[#This Row],[Precio Clean]]-1),0),0)</f>
        <v>0</v>
      </c>
    </row>
    <row r="449" spans="1:37">
      <c r="A449" s="502"/>
      <c r="B449" s="437" t="str">
        <f t="shared" si="271"/>
        <v>Sudameris Bank SAECA</v>
      </c>
      <c r="C449" s="437" t="str">
        <f t="shared" si="271"/>
        <v>SUD_6,50%_07082028_BN7267-75_100K</v>
      </c>
      <c r="D449" s="437" t="s">
        <v>453</v>
      </c>
      <c r="E449" s="437" t="s">
        <v>487</v>
      </c>
      <c r="F449" s="437" t="s">
        <v>297</v>
      </c>
      <c r="G449" s="437" t="s">
        <v>298</v>
      </c>
      <c r="H449" s="437">
        <f t="shared" si="272"/>
        <v>5</v>
      </c>
      <c r="I449" s="445">
        <v>3205.4794520547944</v>
      </c>
      <c r="J449" s="462"/>
      <c r="K449" s="450"/>
      <c r="L449" s="462"/>
      <c r="M449" s="493"/>
      <c r="N449" s="493"/>
      <c r="O449" s="516">
        <f t="shared" si="273"/>
        <v>6.2958493828773499E-2</v>
      </c>
      <c r="P449" s="516">
        <f t="shared" si="273"/>
        <v>6.199756918263466E-2</v>
      </c>
      <c r="Q449" s="450">
        <f t="shared" si="273"/>
        <v>46086</v>
      </c>
      <c r="R449" s="450">
        <v>46595</v>
      </c>
      <c r="S449" s="509" t="s">
        <v>146</v>
      </c>
      <c r="T449" s="510">
        <f>Tabla3[[#This Row],[Cantidad]]*Tabla3[[#This Row],[Cortes]]</f>
        <v>16027.397260273972</v>
      </c>
      <c r="U449" s="511">
        <f t="shared" si="265"/>
        <v>14783.39904893906</v>
      </c>
      <c r="V449" s="511">
        <f t="shared" si="266"/>
        <v>14780.926335248845</v>
      </c>
      <c r="W449" s="497">
        <f>IF(Tabla3[[#This Row],[Fecha de operación]]=$C$1,0,U449-V449)</f>
        <v>2.4727136902147322</v>
      </c>
      <c r="X449" s="512" t="str">
        <f t="shared" si="255"/>
        <v>Vigente</v>
      </c>
      <c r="Y449" s="517" t="str">
        <f t="shared" si="275"/>
        <v>Semestral</v>
      </c>
      <c r="Z449" s="449">
        <f t="shared" si="256"/>
        <v>483</v>
      </c>
      <c r="AA449" s="518">
        <f t="shared" si="274"/>
        <v>2.1979022861667334</v>
      </c>
      <c r="AB449" s="518">
        <f t="shared" si="274"/>
        <v>2.1308255039950024</v>
      </c>
      <c r="AC449" s="449" t="s">
        <v>451</v>
      </c>
      <c r="AD449" s="449" t="s">
        <v>454</v>
      </c>
      <c r="AG449" s="605">
        <f>+IF(Tabla3[[#This Row],[Amortización k | cupón de intereses]]="Amortización de K",Tabla3[[#This Row],[Valor Nominal]],0)</f>
        <v>0</v>
      </c>
      <c r="AH449" s="605">
        <f>+IF(AND(Tabla3[[#This Row],[Amortización k | cupón de intereses]]="Cupón de interés",Tabla3[[#This Row],[Estado]]="Vigente"),Tabla3[[#This Row],[Valor Nominal]],0)</f>
        <v>16027.397260273972</v>
      </c>
      <c r="AI449" s="618">
        <f>+IF(Tabla3[[#This Row],[Amortización k | cupón de intereses]]="Amortización de K",SUMIFS($AH$7:$AH$557,Tabla3[Código Emisión],Tabla3[[#This Row],[Código Emisión]],Tabla3[Fecha de operación],Tabla3[[#This Row],[Fecha de operación]]),0)-Tabla3[[#This Row],[Accrued]]*Tabla3[[#This Row],[Valor Nominal]]</f>
        <v>0</v>
      </c>
      <c r="AJ449" s="605">
        <f>+IF(Tabla3[[#This Row],[Amortización k | cupón de intereses]]="Amortización de K",IF(Tabla3[[#This Row],[Precio Clean]]&gt;1,Tabla3[[#This Row],[Valor Nominal]]*(Tabla3[[#This Row],[Precio Clean]]-1),0),0)</f>
        <v>0</v>
      </c>
      <c r="AK449" s="605">
        <f>+IF(Tabla3[[#This Row],[Amortización k | cupón de intereses]]="Amortización de K",IF(Tabla3[[#This Row],[Precio Clean]]&lt;1,Tabla3[[#This Row],[Valor Nominal]]*(Tabla3[[#This Row],[Precio Clean]]-1),0),0)</f>
        <v>0</v>
      </c>
    </row>
    <row r="450" spans="1:37">
      <c r="A450" s="502"/>
      <c r="B450" s="437" t="str">
        <f t="shared" si="271"/>
        <v>Sudameris Bank SAECA</v>
      </c>
      <c r="C450" s="437" t="str">
        <f t="shared" si="271"/>
        <v>SUD_6,50%_07082028_BN7267-75_100K</v>
      </c>
      <c r="D450" s="437" t="s">
        <v>453</v>
      </c>
      <c r="E450" s="437" t="s">
        <v>487</v>
      </c>
      <c r="F450" s="437" t="s">
        <v>297</v>
      </c>
      <c r="G450" s="437" t="s">
        <v>298</v>
      </c>
      <c r="H450" s="437">
        <f t="shared" si="272"/>
        <v>5</v>
      </c>
      <c r="I450" s="445">
        <v>3169.8630136986299</v>
      </c>
      <c r="J450" s="462"/>
      <c r="K450" s="450"/>
      <c r="L450" s="462"/>
      <c r="M450" s="493"/>
      <c r="N450" s="493"/>
      <c r="O450" s="516">
        <f t="shared" si="273"/>
        <v>6.2958493828773499E-2</v>
      </c>
      <c r="P450" s="516">
        <f t="shared" si="273"/>
        <v>6.199756918263466E-2</v>
      </c>
      <c r="Q450" s="450">
        <f t="shared" si="273"/>
        <v>46086</v>
      </c>
      <c r="R450" s="450">
        <v>46415</v>
      </c>
      <c r="S450" s="509" t="s">
        <v>146</v>
      </c>
      <c r="T450" s="510">
        <f>Tabla3[[#This Row],[Cantidad]]*Tabla3[[#This Row],[Cortes]]</f>
        <v>15849.31506849315</v>
      </c>
      <c r="U450" s="511">
        <f t="shared" si="265"/>
        <v>15066.012796409264</v>
      </c>
      <c r="V450" s="511">
        <f t="shared" si="266"/>
        <v>15063.492811933749</v>
      </c>
      <c r="W450" s="497">
        <f>IF(Tabla3[[#This Row],[Fecha de operación]]=$C$1,0,U450-V450)</f>
        <v>2.5199844755152299</v>
      </c>
      <c r="X450" s="512" t="str">
        <f t="shared" si="255"/>
        <v>Vigente</v>
      </c>
      <c r="Y450" s="517" t="str">
        <f t="shared" si="275"/>
        <v>Semestral</v>
      </c>
      <c r="Z450" s="449">
        <f t="shared" si="256"/>
        <v>303</v>
      </c>
      <c r="AA450" s="518">
        <f t="shared" si="274"/>
        <v>2.1979022861667334</v>
      </c>
      <c r="AB450" s="518">
        <f t="shared" si="274"/>
        <v>2.1308255039950024</v>
      </c>
      <c r="AC450" s="449" t="s">
        <v>451</v>
      </c>
      <c r="AD450" s="449" t="s">
        <v>454</v>
      </c>
      <c r="AG450" s="605">
        <f>+IF(Tabla3[[#This Row],[Amortización k | cupón de intereses]]="Amortización de K",Tabla3[[#This Row],[Valor Nominal]],0)</f>
        <v>0</v>
      </c>
      <c r="AH450" s="605">
        <f>+IF(AND(Tabla3[[#This Row],[Amortización k | cupón de intereses]]="Cupón de interés",Tabla3[[#This Row],[Estado]]="Vigente"),Tabla3[[#This Row],[Valor Nominal]],0)</f>
        <v>15849.31506849315</v>
      </c>
      <c r="AI450" s="618">
        <f>+IF(Tabla3[[#This Row],[Amortización k | cupón de intereses]]="Amortización de K",SUMIFS($AH$7:$AH$557,Tabla3[Código Emisión],Tabla3[[#This Row],[Código Emisión]],Tabla3[Fecha de operación],Tabla3[[#This Row],[Fecha de operación]]),0)-Tabla3[[#This Row],[Accrued]]*Tabla3[[#This Row],[Valor Nominal]]</f>
        <v>0</v>
      </c>
      <c r="AJ450" s="605">
        <f>+IF(Tabla3[[#This Row],[Amortización k | cupón de intereses]]="Amortización de K",IF(Tabla3[[#This Row],[Precio Clean]]&gt;1,Tabla3[[#This Row],[Valor Nominal]]*(Tabla3[[#This Row],[Precio Clean]]-1),0),0)</f>
        <v>0</v>
      </c>
      <c r="AK450" s="605">
        <f>+IF(Tabla3[[#This Row],[Amortización k | cupón de intereses]]="Amortización de K",IF(Tabla3[[#This Row],[Precio Clean]]&lt;1,Tabla3[[#This Row],[Valor Nominal]]*(Tabla3[[#This Row],[Precio Clean]]-1),0),0)</f>
        <v>0</v>
      </c>
    </row>
    <row r="451" spans="1:37">
      <c r="A451" s="502"/>
      <c r="B451" s="437" t="str">
        <f t="shared" si="271"/>
        <v>Sudameris Bank SAECA</v>
      </c>
      <c r="C451" s="437" t="str">
        <f t="shared" si="271"/>
        <v>SUD_6,50%_07082028_BN7267-75_100K</v>
      </c>
      <c r="D451" s="437" t="s">
        <v>453</v>
      </c>
      <c r="E451" s="437" t="s">
        <v>487</v>
      </c>
      <c r="F451" s="437" t="s">
        <v>297</v>
      </c>
      <c r="G451" s="437" t="s">
        <v>298</v>
      </c>
      <c r="H451" s="437">
        <f t="shared" si="272"/>
        <v>5</v>
      </c>
      <c r="I451" s="445">
        <v>3241.0958904109584</v>
      </c>
      <c r="J451" s="462"/>
      <c r="K451" s="450"/>
      <c r="L451" s="462"/>
      <c r="M451" s="493"/>
      <c r="N451" s="493"/>
      <c r="O451" s="516">
        <f t="shared" si="273"/>
        <v>6.2958493828773499E-2</v>
      </c>
      <c r="P451" s="516">
        <f t="shared" si="273"/>
        <v>6.199756918263466E-2</v>
      </c>
      <c r="Q451" s="450">
        <f t="shared" si="273"/>
        <v>46086</v>
      </c>
      <c r="R451" s="450">
        <v>46237</v>
      </c>
      <c r="S451" s="509" t="s">
        <v>146</v>
      </c>
      <c r="T451" s="510">
        <f>Tabla3[[#This Row],[Cantidad]]*Tabla3[[#This Row],[Cortes]]</f>
        <v>16205.479452054791</v>
      </c>
      <c r="U451" s="511">
        <f t="shared" si="265"/>
        <v>15870.147295323506</v>
      </c>
      <c r="V451" s="511">
        <f t="shared" si="266"/>
        <v>15867.492809007266</v>
      </c>
      <c r="W451" s="497">
        <f>IF(Tabla3[[#This Row],[Fecha de operación]]=$C$1,0,U451-V451)</f>
        <v>2.6544863162398542</v>
      </c>
      <c r="X451" s="512" t="str">
        <f t="shared" si="255"/>
        <v>Vigente</v>
      </c>
      <c r="Y451" s="517" t="str">
        <f t="shared" si="275"/>
        <v>Semestral</v>
      </c>
      <c r="Z451" s="449">
        <f t="shared" si="256"/>
        <v>125</v>
      </c>
      <c r="AA451" s="518">
        <f t="shared" si="274"/>
        <v>2.1979022861667334</v>
      </c>
      <c r="AB451" s="518">
        <f t="shared" si="274"/>
        <v>2.1308255039950024</v>
      </c>
      <c r="AC451" s="449" t="s">
        <v>451</v>
      </c>
      <c r="AD451" s="449" t="s">
        <v>454</v>
      </c>
      <c r="AG451" s="605">
        <f>+IF(Tabla3[[#This Row],[Amortización k | cupón de intereses]]="Amortización de K",Tabla3[[#This Row],[Valor Nominal]],0)</f>
        <v>0</v>
      </c>
      <c r="AH451" s="605">
        <f>+IF(AND(Tabla3[[#This Row],[Amortización k | cupón de intereses]]="Cupón de interés",Tabla3[[#This Row],[Estado]]="Vigente"),Tabla3[[#This Row],[Valor Nominal]],0)</f>
        <v>16205.479452054791</v>
      </c>
      <c r="AI451" s="618">
        <f>+IF(Tabla3[[#This Row],[Amortización k | cupón de intereses]]="Amortización de K",SUMIFS($AH$7:$AH$557,Tabla3[Código Emisión],Tabla3[[#This Row],[Código Emisión]],Tabla3[Fecha de operación],Tabla3[[#This Row],[Fecha de operación]]),0)-Tabla3[[#This Row],[Accrued]]*Tabla3[[#This Row],[Valor Nominal]]</f>
        <v>0</v>
      </c>
      <c r="AJ451" s="605">
        <f>+IF(Tabla3[[#This Row],[Amortización k | cupón de intereses]]="Amortización de K",IF(Tabla3[[#This Row],[Precio Clean]]&gt;1,Tabla3[[#This Row],[Valor Nominal]]*(Tabla3[[#This Row],[Precio Clean]]-1),0),0)</f>
        <v>0</v>
      </c>
      <c r="AK451" s="605">
        <f>+IF(Tabla3[[#This Row],[Amortización k | cupón de intereses]]="Amortización de K",IF(Tabla3[[#This Row],[Precio Clean]]&lt;1,Tabla3[[#This Row],[Valor Nominal]]*(Tabla3[[#This Row],[Precio Clean]]-1),0),0)</f>
        <v>0</v>
      </c>
    </row>
    <row r="452" spans="1:37" ht="15">
      <c r="A452" s="500">
        <f>+A446+1</f>
        <v>45</v>
      </c>
      <c r="B452" s="475" t="s">
        <v>485</v>
      </c>
      <c r="C452" s="475" t="s">
        <v>620</v>
      </c>
      <c r="D452" s="475" t="s">
        <v>453</v>
      </c>
      <c r="E452" s="475" t="s">
        <v>487</v>
      </c>
      <c r="F452" s="475" t="s">
        <v>297</v>
      </c>
      <c r="G452" s="475" t="s">
        <v>298</v>
      </c>
      <c r="H452" s="475">
        <v>2</v>
      </c>
      <c r="I452" s="477">
        <v>100000</v>
      </c>
      <c r="J452" s="478">
        <v>6.5000000000000002E-2</v>
      </c>
      <c r="K452" s="479">
        <v>46086</v>
      </c>
      <c r="L452" s="478">
        <f>+Tabla3[[#This Row],[Tasa de Interés]]*($U$5-Tabla3[[#This Row],[Last coupon]])/365</f>
        <v>4.6301369863013695E-3</v>
      </c>
      <c r="M452" s="480">
        <f>+Tabla3[[#This Row],[Precio Dirty]]-Tabla3[[#This Row],[Accrued]]</f>
        <v>1.0024544054163445</v>
      </c>
      <c r="N452" s="481">
        <f>SUMIFS(U:U,C:C,C452,Q:Q,Q452)/SUMIFS(T:T,C:C,C452,Q:Q,Q452,AD:AD,"Amortización de K")</f>
        <v>1.0070845424026458</v>
      </c>
      <c r="O452" s="482">
        <v>6.5537145733833332E-2</v>
      </c>
      <c r="P452" s="482">
        <v>6.3985407807234829E-2</v>
      </c>
      <c r="Q452" s="484">
        <v>46086</v>
      </c>
      <c r="R452" s="484">
        <v>47092</v>
      </c>
      <c r="S452" s="504" t="s">
        <v>146</v>
      </c>
      <c r="T452" s="505">
        <f>Tabla3[[#This Row],[Cantidad]]*Tabla3[[#This Row],[Cortes]]</f>
        <v>200000</v>
      </c>
      <c r="U452" s="576">
        <f t="shared" si="265"/>
        <v>168659.26691084789</v>
      </c>
      <c r="V452" s="576">
        <f t="shared" si="266"/>
        <v>168629.9370576127</v>
      </c>
      <c r="W452" s="505">
        <f>IF(Tabla3[[#This Row],[Fecha de operación]]=$C$1,0,U452-V452)</f>
        <v>29.329853235190967</v>
      </c>
      <c r="X452" s="507" t="str">
        <f t="shared" si="255"/>
        <v>Vigente</v>
      </c>
      <c r="Y452" s="489" t="s">
        <v>450</v>
      </c>
      <c r="Z452" s="488">
        <f t="shared" si="256"/>
        <v>980</v>
      </c>
      <c r="AA452" s="508">
        <f>IF(Y452="Mensual",DURATION($C$1,$C$1+Z452*12,J452/12,O452/12,1)/12,DURATION($C$1,R452,J452,O452,IF(Y452="Cupón cero",1,IF(Y452="Al vencimiento",1,IF(Y452="Anual",1,IF(Y452="Semestral",2,IF(Y452="Trimestral",4,"")))))))</f>
        <v>2.4679568313323283</v>
      </c>
      <c r="AB452" s="508">
        <f>IF(Y452="Mensual",MDURATION($C$1,$C$1+Z452*12,J452/12,O452/12,1)/12,MDURATION($C$1,R452,J452,O452,IF(Y452="Cupón cero",1,IF(Y452="Al vencimiento",1,IF(Y452="Anual",1,IF(Y452="Semestral",2,IF(Y452="Trimestral",4,"")))))))</f>
        <v>2.4281729502061751</v>
      </c>
      <c r="AC452" s="488" t="s">
        <v>451</v>
      </c>
      <c r="AD452" s="488" t="s">
        <v>452</v>
      </c>
      <c r="AG452" s="605">
        <f>+IF(Tabla3[[#This Row],[Amortización k | cupón de intereses]]="Amortización de K",Tabla3[[#This Row],[Valor Nominal]],0)</f>
        <v>200000</v>
      </c>
      <c r="AH452" s="605">
        <f>+IF(AND(Tabla3[[#This Row],[Amortización k | cupón de intereses]]="Cupón de interés",Tabla3[[#This Row],[Estado]]="Vigente"),Tabla3[[#This Row],[Valor Nominal]],0)</f>
        <v>0</v>
      </c>
      <c r="AI452" s="618">
        <f>+IF(Tabla3[[#This Row],[Amortización k | cupón de intereses]]="Amortización de K",SUMIFS($AH$7:$AH$557,Tabla3[Código Emisión],Tabla3[[#This Row],[Código Emisión]],Tabla3[Fecha de operación],Tabla3[[#This Row],[Fecha de operación]]),0)-Tabla3[[#This Row],[Accrued]]*Tabla3[[#This Row],[Valor Nominal]]</f>
        <v>34903.972602739726</v>
      </c>
      <c r="AJ452" s="605">
        <f>+IF(Tabla3[[#This Row],[Amortización k | cupón de intereses]]="Amortización de K",IF(Tabla3[[#This Row],[Precio Clean]]&gt;1,Tabla3[[#This Row],[Valor Nominal]]*(Tabla3[[#This Row],[Precio Clean]]-1),0),0)</f>
        <v>490.88108326889034</v>
      </c>
      <c r="AK452" s="605">
        <f>+IF(Tabla3[[#This Row],[Amortización k | cupón de intereses]]="Amortización de K",IF(Tabla3[[#This Row],[Precio Clean]]&lt;1,Tabla3[[#This Row],[Valor Nominal]]*(Tabla3[[#This Row],[Precio Clean]]-1),0),0)</f>
        <v>0</v>
      </c>
    </row>
    <row r="453" spans="1:37">
      <c r="A453" s="502"/>
      <c r="B453" s="437" t="str">
        <f t="shared" ref="B453:C463" si="276">+B452</f>
        <v>Banco Nacional de Fomento</v>
      </c>
      <c r="C453" s="437" t="str">
        <f t="shared" si="276"/>
        <v>BNF_6,50%_05122028_BB3245-46_100K</v>
      </c>
      <c r="D453" s="437" t="s">
        <v>453</v>
      </c>
      <c r="E453" s="437" t="s">
        <v>487</v>
      </c>
      <c r="F453" s="437" t="s">
        <v>297</v>
      </c>
      <c r="G453" s="437" t="s">
        <v>298</v>
      </c>
      <c r="H453" s="437">
        <f t="shared" si="272"/>
        <v>2</v>
      </c>
      <c r="I453" s="445">
        <v>1620.54</v>
      </c>
      <c r="J453" s="462"/>
      <c r="K453" s="450"/>
      <c r="L453" s="462"/>
      <c r="M453" s="493"/>
      <c r="N453" s="493"/>
      <c r="O453" s="516">
        <f t="shared" ref="O453:Q463" si="277">+O452</f>
        <v>6.5537145733833332E-2</v>
      </c>
      <c r="P453" s="516">
        <f t="shared" si="277"/>
        <v>6.3985407807234829E-2</v>
      </c>
      <c r="Q453" s="450">
        <f t="shared" si="277"/>
        <v>46086</v>
      </c>
      <c r="R453" s="450">
        <v>47092</v>
      </c>
      <c r="S453" s="509" t="s">
        <v>146</v>
      </c>
      <c r="T453" s="510">
        <f>Tabla3[[#This Row],[Cantidad]]*Tabla3[[#This Row],[Cortes]]</f>
        <v>3241.08</v>
      </c>
      <c r="U453" s="511">
        <f t="shared" si="265"/>
        <v>2733.1908839970542</v>
      </c>
      <c r="V453" s="511">
        <f t="shared" si="266"/>
        <v>2732.7155819934369</v>
      </c>
      <c r="W453" s="497">
        <f>IF(Tabla3[[#This Row],[Fecha de operación]]=$C$1,0,U453-V453)</f>
        <v>0.47530200361734387</v>
      </c>
      <c r="X453" s="512" t="str">
        <f t="shared" si="255"/>
        <v>Vigente</v>
      </c>
      <c r="Y453" s="517" t="s">
        <v>450</v>
      </c>
      <c r="Z453" s="449">
        <f t="shared" si="256"/>
        <v>980</v>
      </c>
      <c r="AA453" s="518">
        <f t="shared" ref="AA453:AB463" si="278">+AA452</f>
        <v>2.4679568313323283</v>
      </c>
      <c r="AB453" s="518">
        <f t="shared" si="278"/>
        <v>2.4281729502061751</v>
      </c>
      <c r="AC453" s="449" t="s">
        <v>451</v>
      </c>
      <c r="AD453" s="449" t="s">
        <v>454</v>
      </c>
      <c r="AG453" s="605">
        <f>+IF(Tabla3[[#This Row],[Amortización k | cupón de intereses]]="Amortización de K",Tabla3[[#This Row],[Valor Nominal]],0)</f>
        <v>0</v>
      </c>
      <c r="AH453" s="605">
        <f>+IF(AND(Tabla3[[#This Row],[Amortización k | cupón de intereses]]="Cupón de interés",Tabla3[[#This Row],[Estado]]="Vigente"),Tabla3[[#This Row],[Valor Nominal]],0)</f>
        <v>3241.08</v>
      </c>
      <c r="AI453" s="618">
        <f>+IF(Tabla3[[#This Row],[Amortización k | cupón de intereses]]="Amortización de K",SUMIFS($AH$7:$AH$557,Tabla3[Código Emisión],Tabla3[[#This Row],[Código Emisión]],Tabla3[Fecha de operación],Tabla3[[#This Row],[Fecha de operación]]),0)-Tabla3[[#This Row],[Accrued]]*Tabla3[[#This Row],[Valor Nominal]]</f>
        <v>0</v>
      </c>
      <c r="AJ453" s="605">
        <f>+IF(Tabla3[[#This Row],[Amortización k | cupón de intereses]]="Amortización de K",IF(Tabla3[[#This Row],[Precio Clean]]&gt;1,Tabla3[[#This Row],[Valor Nominal]]*(Tabla3[[#This Row],[Precio Clean]]-1),0),0)</f>
        <v>0</v>
      </c>
      <c r="AK453" s="605">
        <f>+IF(Tabla3[[#This Row],[Amortización k | cupón de intereses]]="Amortización de K",IF(Tabla3[[#This Row],[Precio Clean]]&lt;1,Tabla3[[#This Row],[Valor Nominal]]*(Tabla3[[#This Row],[Precio Clean]]-1),0),0)</f>
        <v>0</v>
      </c>
    </row>
    <row r="454" spans="1:37">
      <c r="A454" s="502"/>
      <c r="B454" s="437" t="str">
        <f t="shared" si="276"/>
        <v>Banco Nacional de Fomento</v>
      </c>
      <c r="C454" s="437" t="str">
        <f t="shared" si="276"/>
        <v>BNF_6,50%_05122028_BB3245-46_100K</v>
      </c>
      <c r="D454" s="437" t="s">
        <v>453</v>
      </c>
      <c r="E454" s="437" t="s">
        <v>487</v>
      </c>
      <c r="F454" s="437" t="s">
        <v>297</v>
      </c>
      <c r="G454" s="437" t="s">
        <v>298</v>
      </c>
      <c r="H454" s="437">
        <f t="shared" si="272"/>
        <v>2</v>
      </c>
      <c r="I454" s="445">
        <v>1638.35</v>
      </c>
      <c r="J454" s="462"/>
      <c r="K454" s="450"/>
      <c r="L454" s="462"/>
      <c r="M454" s="493"/>
      <c r="N454" s="493"/>
      <c r="O454" s="516">
        <f t="shared" si="277"/>
        <v>6.5537145733833332E-2</v>
      </c>
      <c r="P454" s="516">
        <f t="shared" si="277"/>
        <v>6.3985407807234829E-2</v>
      </c>
      <c r="Q454" s="450">
        <f t="shared" si="277"/>
        <v>46086</v>
      </c>
      <c r="R454" s="450">
        <v>47001</v>
      </c>
      <c r="S454" s="509" t="s">
        <v>146</v>
      </c>
      <c r="T454" s="510">
        <f>Tabla3[[#This Row],[Cantidad]]*Tabla3[[#This Row],[Cortes]]</f>
        <v>3276.7</v>
      </c>
      <c r="U454" s="511">
        <f t="shared" si="265"/>
        <v>2807.308623594728</v>
      </c>
      <c r="V454" s="511">
        <f t="shared" si="266"/>
        <v>2806.8204325132415</v>
      </c>
      <c r="W454" s="497">
        <f>IF(Tabla3[[#This Row],[Fecha de operación]]=$C$1,0,U454-V454)</f>
        <v>0.48819108148654777</v>
      </c>
      <c r="X454" s="512" t="str">
        <f t="shared" si="255"/>
        <v>Vigente</v>
      </c>
      <c r="Y454" s="517" t="s">
        <v>450</v>
      </c>
      <c r="Z454" s="449">
        <f t="shared" si="256"/>
        <v>889</v>
      </c>
      <c r="AA454" s="518">
        <f t="shared" si="278"/>
        <v>2.4679568313323283</v>
      </c>
      <c r="AB454" s="518">
        <f t="shared" si="278"/>
        <v>2.4281729502061751</v>
      </c>
      <c r="AC454" s="449" t="s">
        <v>451</v>
      </c>
      <c r="AD454" s="449" t="s">
        <v>454</v>
      </c>
      <c r="AG454" s="605">
        <f>+IF(Tabla3[[#This Row],[Amortización k | cupón de intereses]]="Amortización de K",Tabla3[[#This Row],[Valor Nominal]],0)</f>
        <v>0</v>
      </c>
      <c r="AH454" s="605">
        <f>+IF(AND(Tabla3[[#This Row],[Amortización k | cupón de intereses]]="Cupón de interés",Tabla3[[#This Row],[Estado]]="Vigente"),Tabla3[[#This Row],[Valor Nominal]],0)</f>
        <v>3276.7</v>
      </c>
      <c r="AI454" s="618">
        <f>+IF(Tabla3[[#This Row],[Amortización k | cupón de intereses]]="Amortización de K",SUMIFS($AH$7:$AH$557,Tabla3[Código Emisión],Tabla3[[#This Row],[Código Emisión]],Tabla3[Fecha de operación],Tabla3[[#This Row],[Fecha de operación]]),0)-Tabla3[[#This Row],[Accrued]]*Tabla3[[#This Row],[Valor Nominal]]</f>
        <v>0</v>
      </c>
      <c r="AJ454" s="605">
        <f>+IF(Tabla3[[#This Row],[Amortización k | cupón de intereses]]="Amortización de K",IF(Tabla3[[#This Row],[Precio Clean]]&gt;1,Tabla3[[#This Row],[Valor Nominal]]*(Tabla3[[#This Row],[Precio Clean]]-1),0),0)</f>
        <v>0</v>
      </c>
      <c r="AK454" s="605">
        <f>+IF(Tabla3[[#This Row],[Amortización k | cupón de intereses]]="Amortización de K",IF(Tabla3[[#This Row],[Precio Clean]]&lt;1,Tabla3[[#This Row],[Valor Nominal]]*(Tabla3[[#This Row],[Precio Clean]]-1),0),0)</f>
        <v>0</v>
      </c>
    </row>
    <row r="455" spans="1:37">
      <c r="A455" s="502"/>
      <c r="B455" s="437" t="str">
        <f t="shared" si="276"/>
        <v>Banco Nacional de Fomento</v>
      </c>
      <c r="C455" s="437" t="str">
        <f t="shared" si="276"/>
        <v>BNF_6,50%_05122028_BB3245-46_100K</v>
      </c>
      <c r="D455" s="437" t="s">
        <v>453</v>
      </c>
      <c r="E455" s="437" t="s">
        <v>487</v>
      </c>
      <c r="F455" s="437" t="s">
        <v>297</v>
      </c>
      <c r="G455" s="437" t="s">
        <v>298</v>
      </c>
      <c r="H455" s="437">
        <f t="shared" si="272"/>
        <v>2</v>
      </c>
      <c r="I455" s="445">
        <v>1620.54</v>
      </c>
      <c r="J455" s="462"/>
      <c r="K455" s="450"/>
      <c r="L455" s="462"/>
      <c r="M455" s="493"/>
      <c r="N455" s="493"/>
      <c r="O455" s="516">
        <f t="shared" si="277"/>
        <v>6.5537145733833332E-2</v>
      </c>
      <c r="P455" s="516">
        <f t="shared" si="277"/>
        <v>6.3985407807234829E-2</v>
      </c>
      <c r="Q455" s="450">
        <f t="shared" si="277"/>
        <v>46086</v>
      </c>
      <c r="R455" s="450">
        <v>46909</v>
      </c>
      <c r="S455" s="509" t="s">
        <v>146</v>
      </c>
      <c r="T455" s="510">
        <f>Tabla3[[#This Row],[Cantidad]]*Tabla3[[#This Row],[Cortes]]</f>
        <v>3241.08</v>
      </c>
      <c r="U455" s="511">
        <f t="shared" si="265"/>
        <v>2821.5777754082305</v>
      </c>
      <c r="V455" s="511">
        <f t="shared" si="266"/>
        <v>2821.0871029206751</v>
      </c>
      <c r="W455" s="497">
        <f>IF(Tabla3[[#This Row],[Fecha de operación]]=$C$1,0,U455-V455)</f>
        <v>0.49067248755545734</v>
      </c>
      <c r="X455" s="512" t="str">
        <f t="shared" si="255"/>
        <v>Vigente</v>
      </c>
      <c r="Y455" s="517" t="s">
        <v>450</v>
      </c>
      <c r="Z455" s="449">
        <f t="shared" si="256"/>
        <v>797</v>
      </c>
      <c r="AA455" s="518">
        <f t="shared" si="278"/>
        <v>2.4679568313323283</v>
      </c>
      <c r="AB455" s="518">
        <f t="shared" si="278"/>
        <v>2.4281729502061751</v>
      </c>
      <c r="AC455" s="449" t="s">
        <v>451</v>
      </c>
      <c r="AD455" s="449" t="s">
        <v>454</v>
      </c>
      <c r="AG455" s="605">
        <f>+IF(Tabla3[[#This Row],[Amortización k | cupón de intereses]]="Amortización de K",Tabla3[[#This Row],[Valor Nominal]],0)</f>
        <v>0</v>
      </c>
      <c r="AH455" s="605">
        <f>+IF(AND(Tabla3[[#This Row],[Amortización k | cupón de intereses]]="Cupón de interés",Tabla3[[#This Row],[Estado]]="Vigente"),Tabla3[[#This Row],[Valor Nominal]],0)</f>
        <v>3241.08</v>
      </c>
      <c r="AI455" s="618">
        <f>+IF(Tabla3[[#This Row],[Amortización k | cupón de intereses]]="Amortización de K",SUMIFS($AH$7:$AH$557,Tabla3[Código Emisión],Tabla3[[#This Row],[Código Emisión]],Tabla3[Fecha de operación],Tabla3[[#This Row],[Fecha de operación]]),0)-Tabla3[[#This Row],[Accrued]]*Tabla3[[#This Row],[Valor Nominal]]</f>
        <v>0</v>
      </c>
      <c r="AJ455" s="605">
        <f>+IF(Tabla3[[#This Row],[Amortización k | cupón de intereses]]="Amortización de K",IF(Tabla3[[#This Row],[Precio Clean]]&gt;1,Tabla3[[#This Row],[Valor Nominal]]*(Tabla3[[#This Row],[Precio Clean]]-1),0),0)</f>
        <v>0</v>
      </c>
      <c r="AK455" s="605">
        <f>+IF(Tabla3[[#This Row],[Amortización k | cupón de intereses]]="Amortización de K",IF(Tabla3[[#This Row],[Precio Clean]]&lt;1,Tabla3[[#This Row],[Valor Nominal]]*(Tabla3[[#This Row],[Precio Clean]]-1),0),0)</f>
        <v>0</v>
      </c>
    </row>
    <row r="456" spans="1:37">
      <c r="A456" s="502"/>
      <c r="B456" s="437" t="str">
        <f t="shared" si="276"/>
        <v>Banco Nacional de Fomento</v>
      </c>
      <c r="C456" s="437" t="str">
        <f t="shared" si="276"/>
        <v>BNF_6,50%_05122028_BB3245-46_100K</v>
      </c>
      <c r="D456" s="437" t="s">
        <v>453</v>
      </c>
      <c r="E456" s="437" t="s">
        <v>487</v>
      </c>
      <c r="F456" s="437" t="s">
        <v>297</v>
      </c>
      <c r="G456" s="437" t="s">
        <v>298</v>
      </c>
      <c r="H456" s="437">
        <f t="shared" si="272"/>
        <v>2</v>
      </c>
      <c r="I456" s="445">
        <v>1620.54</v>
      </c>
      <c r="J456" s="462"/>
      <c r="K456" s="450"/>
      <c r="L456" s="462"/>
      <c r="M456" s="493"/>
      <c r="N456" s="493"/>
      <c r="O456" s="516">
        <f t="shared" si="277"/>
        <v>6.5537145733833332E-2</v>
      </c>
      <c r="P456" s="516">
        <f t="shared" si="277"/>
        <v>6.3985407807234829E-2</v>
      </c>
      <c r="Q456" s="450">
        <f t="shared" si="277"/>
        <v>46086</v>
      </c>
      <c r="R456" s="450">
        <v>46818</v>
      </c>
      <c r="S456" s="509" t="s">
        <v>146</v>
      </c>
      <c r="T456" s="510">
        <f>Tabla3[[#This Row],[Cantidad]]*Tabla3[[#This Row],[Cortes]]</f>
        <v>3241.08</v>
      </c>
      <c r="U456" s="511">
        <f t="shared" si="265"/>
        <v>2866.5880880704385</v>
      </c>
      <c r="V456" s="511">
        <f t="shared" si="266"/>
        <v>2866.0895882877176</v>
      </c>
      <c r="W456" s="497">
        <f>IF(Tabla3[[#This Row],[Fecha de operación]]=$C$1,0,U456-V456)</f>
        <v>0.49849978272095541</v>
      </c>
      <c r="X456" s="512" t="str">
        <f t="shared" si="255"/>
        <v>Vigente</v>
      </c>
      <c r="Y456" s="517" t="s">
        <v>450</v>
      </c>
      <c r="Z456" s="449">
        <f t="shared" si="256"/>
        <v>706</v>
      </c>
      <c r="AA456" s="518">
        <f t="shared" si="278"/>
        <v>2.4679568313323283</v>
      </c>
      <c r="AB456" s="518">
        <f t="shared" si="278"/>
        <v>2.4281729502061751</v>
      </c>
      <c r="AC456" s="449" t="s">
        <v>451</v>
      </c>
      <c r="AD456" s="449" t="s">
        <v>454</v>
      </c>
      <c r="AG456" s="605">
        <f>+IF(Tabla3[[#This Row],[Amortización k | cupón de intereses]]="Amortización de K",Tabla3[[#This Row],[Valor Nominal]],0)</f>
        <v>0</v>
      </c>
      <c r="AH456" s="605">
        <f>+IF(AND(Tabla3[[#This Row],[Amortización k | cupón de intereses]]="Cupón de interés",Tabla3[[#This Row],[Estado]]="Vigente"),Tabla3[[#This Row],[Valor Nominal]],0)</f>
        <v>3241.08</v>
      </c>
      <c r="AI456" s="618">
        <f>+IF(Tabla3[[#This Row],[Amortización k | cupón de intereses]]="Amortización de K",SUMIFS($AH$7:$AH$557,Tabla3[Código Emisión],Tabla3[[#This Row],[Código Emisión]],Tabla3[Fecha de operación],Tabla3[[#This Row],[Fecha de operación]]),0)-Tabla3[[#This Row],[Accrued]]*Tabla3[[#This Row],[Valor Nominal]]</f>
        <v>0</v>
      </c>
      <c r="AJ456" s="605">
        <f>+IF(Tabla3[[#This Row],[Amortización k | cupón de intereses]]="Amortización de K",IF(Tabla3[[#This Row],[Precio Clean]]&gt;1,Tabla3[[#This Row],[Valor Nominal]]*(Tabla3[[#This Row],[Precio Clean]]-1),0),0)</f>
        <v>0</v>
      </c>
      <c r="AK456" s="605">
        <f>+IF(Tabla3[[#This Row],[Amortización k | cupón de intereses]]="Amortización de K",IF(Tabla3[[#This Row],[Precio Clean]]&lt;1,Tabla3[[#This Row],[Valor Nominal]]*(Tabla3[[#This Row],[Precio Clean]]-1),0),0)</f>
        <v>0</v>
      </c>
    </row>
    <row r="457" spans="1:37">
      <c r="A457" s="502"/>
      <c r="B457" s="437" t="str">
        <f t="shared" si="276"/>
        <v>Banco Nacional de Fomento</v>
      </c>
      <c r="C457" s="437" t="str">
        <f t="shared" si="276"/>
        <v>BNF_6,50%_05122028_BB3245-46_100K</v>
      </c>
      <c r="D457" s="437" t="s">
        <v>453</v>
      </c>
      <c r="E457" s="437" t="s">
        <v>487</v>
      </c>
      <c r="F457" s="437" t="s">
        <v>297</v>
      </c>
      <c r="G457" s="437" t="s">
        <v>298</v>
      </c>
      <c r="H457" s="437">
        <f t="shared" si="272"/>
        <v>2</v>
      </c>
      <c r="I457" s="445">
        <v>1620.54</v>
      </c>
      <c r="J457" s="462"/>
      <c r="K457" s="450"/>
      <c r="L457" s="462"/>
      <c r="M457" s="493"/>
      <c r="N457" s="493"/>
      <c r="O457" s="516">
        <f t="shared" si="277"/>
        <v>6.5537145733833332E-2</v>
      </c>
      <c r="P457" s="516">
        <f t="shared" si="277"/>
        <v>6.3985407807234829E-2</v>
      </c>
      <c r="Q457" s="450">
        <f t="shared" si="277"/>
        <v>46086</v>
      </c>
      <c r="R457" s="450">
        <v>46727</v>
      </c>
      <c r="S457" s="509" t="s">
        <v>146</v>
      </c>
      <c r="T457" s="510">
        <f>Tabla3[[#This Row],[Cantidad]]*Tabla3[[#This Row],[Cortes]]</f>
        <v>3241.08</v>
      </c>
      <c r="U457" s="511">
        <f t="shared" si="265"/>
        <v>2912.3164132799548</v>
      </c>
      <c r="V457" s="511">
        <f t="shared" si="266"/>
        <v>2911.8099613396575</v>
      </c>
      <c r="W457" s="497">
        <f>IF(Tabla3[[#This Row],[Fecha de operación]]=$C$1,0,U457-V457)</f>
        <v>0.50645194029721097</v>
      </c>
      <c r="X457" s="512" t="str">
        <f t="shared" si="255"/>
        <v>Vigente</v>
      </c>
      <c r="Y457" s="517" t="s">
        <v>450</v>
      </c>
      <c r="Z457" s="449">
        <f t="shared" si="256"/>
        <v>615</v>
      </c>
      <c r="AA457" s="518">
        <f t="shared" si="278"/>
        <v>2.4679568313323283</v>
      </c>
      <c r="AB457" s="518">
        <f t="shared" si="278"/>
        <v>2.4281729502061751</v>
      </c>
      <c r="AC457" s="449" t="s">
        <v>451</v>
      </c>
      <c r="AD457" s="449" t="s">
        <v>454</v>
      </c>
      <c r="AG457" s="605">
        <f>+IF(Tabla3[[#This Row],[Amortización k | cupón de intereses]]="Amortización de K",Tabla3[[#This Row],[Valor Nominal]],0)</f>
        <v>0</v>
      </c>
      <c r="AH457" s="605">
        <f>+IF(AND(Tabla3[[#This Row],[Amortización k | cupón de intereses]]="Cupón de interés",Tabla3[[#This Row],[Estado]]="Vigente"),Tabla3[[#This Row],[Valor Nominal]],0)</f>
        <v>3241.08</v>
      </c>
      <c r="AI457" s="618">
        <f>+IF(Tabla3[[#This Row],[Amortización k | cupón de intereses]]="Amortización de K",SUMIFS($AH$7:$AH$557,Tabla3[Código Emisión],Tabla3[[#This Row],[Código Emisión]],Tabla3[Fecha de operación],Tabla3[[#This Row],[Fecha de operación]]),0)-Tabla3[[#This Row],[Accrued]]*Tabla3[[#This Row],[Valor Nominal]]</f>
        <v>0</v>
      </c>
      <c r="AJ457" s="605">
        <f>+IF(Tabla3[[#This Row],[Amortización k | cupón de intereses]]="Amortización de K",IF(Tabla3[[#This Row],[Precio Clean]]&gt;1,Tabla3[[#This Row],[Valor Nominal]]*(Tabla3[[#This Row],[Precio Clean]]-1),0),0)</f>
        <v>0</v>
      </c>
      <c r="AK457" s="605">
        <f>+IF(Tabla3[[#This Row],[Amortización k | cupón de intereses]]="Amortización de K",IF(Tabla3[[#This Row],[Precio Clean]]&lt;1,Tabla3[[#This Row],[Valor Nominal]]*(Tabla3[[#This Row],[Precio Clean]]-1),0),0)</f>
        <v>0</v>
      </c>
    </row>
    <row r="458" spans="1:37">
      <c r="A458" s="502"/>
      <c r="B458" s="437" t="str">
        <f t="shared" si="276"/>
        <v>Banco Nacional de Fomento</v>
      </c>
      <c r="C458" s="437" t="str">
        <f t="shared" si="276"/>
        <v>BNF_6,50%_05122028_BB3245-46_100K</v>
      </c>
      <c r="D458" s="437" t="s">
        <v>453</v>
      </c>
      <c r="E458" s="437" t="s">
        <v>487</v>
      </c>
      <c r="F458" s="437" t="s">
        <v>297</v>
      </c>
      <c r="G458" s="437" t="s">
        <v>298</v>
      </c>
      <c r="H458" s="437">
        <f t="shared" si="272"/>
        <v>2</v>
      </c>
      <c r="I458" s="445">
        <v>1620.54</v>
      </c>
      <c r="J458" s="462"/>
      <c r="K458" s="450"/>
      <c r="L458" s="462"/>
      <c r="M458" s="493"/>
      <c r="N458" s="493"/>
      <c r="O458" s="516">
        <f t="shared" si="277"/>
        <v>6.5537145733833332E-2</v>
      </c>
      <c r="P458" s="516">
        <f t="shared" si="277"/>
        <v>6.3985407807234829E-2</v>
      </c>
      <c r="Q458" s="450">
        <f t="shared" si="277"/>
        <v>46086</v>
      </c>
      <c r="R458" s="450">
        <v>46636</v>
      </c>
      <c r="S458" s="509" t="s">
        <v>146</v>
      </c>
      <c r="T458" s="510">
        <f>Tabla3[[#This Row],[Cantidad]]*Tabla3[[#This Row],[Cortes]]</f>
        <v>3241.08</v>
      </c>
      <c r="U458" s="511">
        <f t="shared" si="265"/>
        <v>2958.7742049011845</v>
      </c>
      <c r="V458" s="511">
        <f t="shared" si="266"/>
        <v>2958.2596739490746</v>
      </c>
      <c r="W458" s="497">
        <f>IF(Tabla3[[#This Row],[Fecha de operación]]=$C$1,0,U458-V458)</f>
        <v>0.51453095210990796</v>
      </c>
      <c r="X458" s="512" t="str">
        <f t="shared" si="255"/>
        <v>Vigente</v>
      </c>
      <c r="Y458" s="517" t="s">
        <v>450</v>
      </c>
      <c r="Z458" s="449">
        <f t="shared" si="256"/>
        <v>524</v>
      </c>
      <c r="AA458" s="518">
        <f t="shared" si="278"/>
        <v>2.4679568313323283</v>
      </c>
      <c r="AB458" s="518">
        <f t="shared" si="278"/>
        <v>2.4281729502061751</v>
      </c>
      <c r="AC458" s="449" t="s">
        <v>451</v>
      </c>
      <c r="AD458" s="449" t="s">
        <v>454</v>
      </c>
      <c r="AG458" s="605">
        <f>+IF(Tabla3[[#This Row],[Amortización k | cupón de intereses]]="Amortización de K",Tabla3[[#This Row],[Valor Nominal]],0)</f>
        <v>0</v>
      </c>
      <c r="AH458" s="605">
        <f>+IF(AND(Tabla3[[#This Row],[Amortización k | cupón de intereses]]="Cupón de interés",Tabla3[[#This Row],[Estado]]="Vigente"),Tabla3[[#This Row],[Valor Nominal]],0)</f>
        <v>3241.08</v>
      </c>
      <c r="AI458" s="618">
        <f>+IF(Tabla3[[#This Row],[Amortización k | cupón de intereses]]="Amortización de K",SUMIFS($AH$7:$AH$557,Tabla3[Código Emisión],Tabla3[[#This Row],[Código Emisión]],Tabla3[Fecha de operación],Tabla3[[#This Row],[Fecha de operación]]),0)-Tabla3[[#This Row],[Accrued]]*Tabla3[[#This Row],[Valor Nominal]]</f>
        <v>0</v>
      </c>
      <c r="AJ458" s="605">
        <f>+IF(Tabla3[[#This Row],[Amortización k | cupón de intereses]]="Amortización de K",IF(Tabla3[[#This Row],[Precio Clean]]&gt;1,Tabla3[[#This Row],[Valor Nominal]]*(Tabla3[[#This Row],[Precio Clean]]-1),0),0)</f>
        <v>0</v>
      </c>
      <c r="AK458" s="605">
        <f>+IF(Tabla3[[#This Row],[Amortización k | cupón de intereses]]="Amortización de K",IF(Tabla3[[#This Row],[Precio Clean]]&lt;1,Tabla3[[#This Row],[Valor Nominal]]*(Tabla3[[#This Row],[Precio Clean]]-1),0),0)</f>
        <v>0</v>
      </c>
    </row>
    <row r="459" spans="1:37">
      <c r="A459" s="502"/>
      <c r="B459" s="437" t="str">
        <f t="shared" si="276"/>
        <v>Banco Nacional de Fomento</v>
      </c>
      <c r="C459" s="437" t="str">
        <f t="shared" si="276"/>
        <v>BNF_6,50%_05122028_BB3245-46_100K</v>
      </c>
      <c r="D459" s="437" t="s">
        <v>453</v>
      </c>
      <c r="E459" s="437" t="s">
        <v>487</v>
      </c>
      <c r="F459" s="437" t="s">
        <v>297</v>
      </c>
      <c r="G459" s="437" t="s">
        <v>298</v>
      </c>
      <c r="H459" s="437">
        <f t="shared" si="272"/>
        <v>2</v>
      </c>
      <c r="I459" s="445">
        <v>1673.97</v>
      </c>
      <c r="J459" s="462"/>
      <c r="K459" s="450"/>
      <c r="L459" s="462"/>
      <c r="M459" s="493"/>
      <c r="N459" s="493"/>
      <c r="O459" s="516">
        <f t="shared" si="277"/>
        <v>6.5537145733833332E-2</v>
      </c>
      <c r="P459" s="516">
        <f t="shared" si="277"/>
        <v>6.3985407807234829E-2</v>
      </c>
      <c r="Q459" s="450">
        <f t="shared" si="277"/>
        <v>46086</v>
      </c>
      <c r="R459" s="450">
        <v>46545</v>
      </c>
      <c r="S459" s="509" t="s">
        <v>146</v>
      </c>
      <c r="T459" s="510">
        <f>Tabla3[[#This Row],[Cantidad]]*Tabla3[[#This Row],[Cortes]]</f>
        <v>3347.94</v>
      </c>
      <c r="U459" s="511">
        <f t="shared" si="265"/>
        <v>3105.0815094913733</v>
      </c>
      <c r="V459" s="511">
        <f t="shared" si="266"/>
        <v>3104.5415356931653</v>
      </c>
      <c r="W459" s="497">
        <f>IF(Tabla3[[#This Row],[Fecha de operación]]=$C$1,0,U459-V459)</f>
        <v>0.53997379820793867</v>
      </c>
      <c r="X459" s="512" t="str">
        <f t="shared" si="255"/>
        <v>Vigente</v>
      </c>
      <c r="Y459" s="517" t="s">
        <v>450</v>
      </c>
      <c r="Z459" s="449">
        <f t="shared" si="256"/>
        <v>433</v>
      </c>
      <c r="AA459" s="518">
        <f t="shared" si="278"/>
        <v>2.4679568313323283</v>
      </c>
      <c r="AB459" s="518">
        <f t="shared" si="278"/>
        <v>2.4281729502061751</v>
      </c>
      <c r="AC459" s="449" t="s">
        <v>451</v>
      </c>
      <c r="AD459" s="449" t="s">
        <v>454</v>
      </c>
      <c r="AG459" s="605">
        <f>+IF(Tabla3[[#This Row],[Amortización k | cupón de intereses]]="Amortización de K",Tabla3[[#This Row],[Valor Nominal]],0)</f>
        <v>0</v>
      </c>
      <c r="AH459" s="605">
        <f>+IF(AND(Tabla3[[#This Row],[Amortización k | cupón de intereses]]="Cupón de interés",Tabla3[[#This Row],[Estado]]="Vigente"),Tabla3[[#This Row],[Valor Nominal]],0)</f>
        <v>3347.94</v>
      </c>
      <c r="AI459" s="618">
        <f>+IF(Tabla3[[#This Row],[Amortización k | cupón de intereses]]="Amortización de K",SUMIFS($AH$7:$AH$557,Tabla3[Código Emisión],Tabla3[[#This Row],[Código Emisión]],Tabla3[Fecha de operación],Tabla3[[#This Row],[Fecha de operación]]),0)-Tabla3[[#This Row],[Accrued]]*Tabla3[[#This Row],[Valor Nominal]]</f>
        <v>0</v>
      </c>
      <c r="AJ459" s="605">
        <f>+IF(Tabla3[[#This Row],[Amortización k | cupón de intereses]]="Amortización de K",IF(Tabla3[[#This Row],[Precio Clean]]&gt;1,Tabla3[[#This Row],[Valor Nominal]]*(Tabla3[[#This Row],[Precio Clean]]-1),0),0)</f>
        <v>0</v>
      </c>
      <c r="AK459" s="605">
        <f>+IF(Tabla3[[#This Row],[Amortización k | cupón de intereses]]="Amortización de K",IF(Tabla3[[#This Row],[Precio Clean]]&lt;1,Tabla3[[#This Row],[Valor Nominal]]*(Tabla3[[#This Row],[Precio Clean]]-1),0),0)</f>
        <v>0</v>
      </c>
    </row>
    <row r="460" spans="1:37">
      <c r="A460" s="502"/>
      <c r="B460" s="437" t="str">
        <f t="shared" si="276"/>
        <v>Banco Nacional de Fomento</v>
      </c>
      <c r="C460" s="437" t="str">
        <f t="shared" si="276"/>
        <v>BNF_6,50%_05122028_BB3245-46_100K</v>
      </c>
      <c r="D460" s="437" t="s">
        <v>453</v>
      </c>
      <c r="E460" s="437" t="s">
        <v>487</v>
      </c>
      <c r="F460" s="437" t="s">
        <v>297</v>
      </c>
      <c r="G460" s="437" t="s">
        <v>298</v>
      </c>
      <c r="H460" s="437">
        <f t="shared" si="272"/>
        <v>2</v>
      </c>
      <c r="I460" s="445">
        <v>1567.12</v>
      </c>
      <c r="J460" s="462"/>
      <c r="K460" s="450"/>
      <c r="L460" s="462"/>
      <c r="M460" s="493"/>
      <c r="N460" s="493"/>
      <c r="O460" s="516">
        <f t="shared" si="277"/>
        <v>6.5537145733833332E-2</v>
      </c>
      <c r="P460" s="516">
        <f t="shared" si="277"/>
        <v>6.3985407807234829E-2</v>
      </c>
      <c r="Q460" s="450">
        <f t="shared" si="277"/>
        <v>46086</v>
      </c>
      <c r="R460" s="450">
        <v>46451</v>
      </c>
      <c r="S460" s="509" t="s">
        <v>146</v>
      </c>
      <c r="T460" s="510">
        <f>Tabla3[[#This Row],[Cantidad]]*Tabla3[[#This Row],[Cortes]]</f>
        <v>3134.24</v>
      </c>
      <c r="U460" s="511">
        <f t="shared" si="265"/>
        <v>2954.7956085585911</v>
      </c>
      <c r="V460" s="511">
        <f t="shared" si="266"/>
        <v>2954.281769484543</v>
      </c>
      <c r="W460" s="497">
        <f>IF(Tabla3[[#This Row],[Fecha de operación]]=$C$1,0,U460-V460)</f>
        <v>0.5138390740480645</v>
      </c>
      <c r="X460" s="512" t="str">
        <f t="shared" si="255"/>
        <v>Vigente</v>
      </c>
      <c r="Y460" s="517" t="s">
        <v>450</v>
      </c>
      <c r="Z460" s="449">
        <f t="shared" si="256"/>
        <v>339</v>
      </c>
      <c r="AA460" s="518">
        <f t="shared" si="278"/>
        <v>2.4679568313323283</v>
      </c>
      <c r="AB460" s="518">
        <f t="shared" si="278"/>
        <v>2.4281729502061751</v>
      </c>
      <c r="AC460" s="449" t="s">
        <v>451</v>
      </c>
      <c r="AD460" s="449" t="s">
        <v>454</v>
      </c>
      <c r="AG460" s="605">
        <f>+IF(Tabla3[[#This Row],[Amortización k | cupón de intereses]]="Amortización de K",Tabla3[[#This Row],[Valor Nominal]],0)</f>
        <v>0</v>
      </c>
      <c r="AH460" s="605">
        <f>+IF(AND(Tabla3[[#This Row],[Amortización k | cupón de intereses]]="Cupón de interés",Tabla3[[#This Row],[Estado]]="Vigente"),Tabla3[[#This Row],[Valor Nominal]],0)</f>
        <v>3134.24</v>
      </c>
      <c r="AI460" s="618">
        <f>+IF(Tabla3[[#This Row],[Amortización k | cupón de intereses]]="Amortización de K",SUMIFS($AH$7:$AH$557,Tabla3[Código Emisión],Tabla3[[#This Row],[Código Emisión]],Tabla3[Fecha de operación],Tabla3[[#This Row],[Fecha de operación]]),0)-Tabla3[[#This Row],[Accrued]]*Tabla3[[#This Row],[Valor Nominal]]</f>
        <v>0</v>
      </c>
      <c r="AJ460" s="605">
        <f>+IF(Tabla3[[#This Row],[Amortización k | cupón de intereses]]="Amortización de K",IF(Tabla3[[#This Row],[Precio Clean]]&gt;1,Tabla3[[#This Row],[Valor Nominal]]*(Tabla3[[#This Row],[Precio Clean]]-1),0),0)</f>
        <v>0</v>
      </c>
      <c r="AK460" s="605">
        <f>+IF(Tabla3[[#This Row],[Amortización k | cupón de intereses]]="Amortización de K",IF(Tabla3[[#This Row],[Precio Clean]]&lt;1,Tabla3[[#This Row],[Valor Nominal]]*(Tabla3[[#This Row],[Precio Clean]]-1),0),0)</f>
        <v>0</v>
      </c>
    </row>
    <row r="461" spans="1:37">
      <c r="A461" s="502"/>
      <c r="B461" s="437" t="str">
        <f t="shared" si="276"/>
        <v>Banco Nacional de Fomento</v>
      </c>
      <c r="C461" s="437" t="str">
        <f t="shared" si="276"/>
        <v>BNF_6,50%_05122028_BB3245-46_100K</v>
      </c>
      <c r="D461" s="437" t="s">
        <v>453</v>
      </c>
      <c r="E461" s="437" t="s">
        <v>487</v>
      </c>
      <c r="F461" s="437" t="s">
        <v>297</v>
      </c>
      <c r="G461" s="437" t="s">
        <v>298</v>
      </c>
      <c r="H461" s="437">
        <f t="shared" si="272"/>
        <v>2</v>
      </c>
      <c r="I461" s="445">
        <v>1620.54</v>
      </c>
      <c r="J461" s="462"/>
      <c r="K461" s="450"/>
      <c r="L461" s="462"/>
      <c r="M461" s="493"/>
      <c r="N461" s="493"/>
      <c r="O461" s="516">
        <f t="shared" si="277"/>
        <v>6.5537145733833332E-2</v>
      </c>
      <c r="P461" s="516">
        <f t="shared" si="277"/>
        <v>6.3985407807234829E-2</v>
      </c>
      <c r="Q461" s="450">
        <f t="shared" si="277"/>
        <v>46086</v>
      </c>
      <c r="R461" s="450">
        <v>46363</v>
      </c>
      <c r="S461" s="509" t="s">
        <v>146</v>
      </c>
      <c r="T461" s="510">
        <f>Tabla3[[#This Row],[Cantidad]]*Tabla3[[#This Row],[Cortes]]</f>
        <v>3241.08</v>
      </c>
      <c r="U461" s="511">
        <f t="shared" si="265"/>
        <v>3102.6416751252027</v>
      </c>
      <c r="V461" s="511">
        <f t="shared" si="266"/>
        <v>3102.102125614289</v>
      </c>
      <c r="W461" s="497">
        <f>IF(Tabla3[[#This Row],[Fecha de operación]]=$C$1,0,U461-V461)</f>
        <v>0.53954951091373005</v>
      </c>
      <c r="X461" s="512" t="str">
        <f t="shared" si="255"/>
        <v>Vigente</v>
      </c>
      <c r="Y461" s="517" t="s">
        <v>450</v>
      </c>
      <c r="Z461" s="449">
        <f t="shared" si="256"/>
        <v>251</v>
      </c>
      <c r="AA461" s="518">
        <f t="shared" si="278"/>
        <v>2.4679568313323283</v>
      </c>
      <c r="AB461" s="518">
        <f t="shared" si="278"/>
        <v>2.4281729502061751</v>
      </c>
      <c r="AC461" s="449" t="s">
        <v>451</v>
      </c>
      <c r="AD461" s="449" t="s">
        <v>454</v>
      </c>
      <c r="AG461" s="605">
        <f>+IF(Tabla3[[#This Row],[Amortización k | cupón de intereses]]="Amortización de K",Tabla3[[#This Row],[Valor Nominal]],0)</f>
        <v>0</v>
      </c>
      <c r="AH461" s="605">
        <f>+IF(AND(Tabla3[[#This Row],[Amortización k | cupón de intereses]]="Cupón de interés",Tabla3[[#This Row],[Estado]]="Vigente"),Tabla3[[#This Row],[Valor Nominal]],0)</f>
        <v>3241.08</v>
      </c>
      <c r="AI461" s="618">
        <f>+IF(Tabla3[[#This Row],[Amortización k | cupón de intereses]]="Amortización de K",SUMIFS($AH$7:$AH$557,Tabla3[Código Emisión],Tabla3[[#This Row],[Código Emisión]],Tabla3[Fecha de operación],Tabla3[[#This Row],[Fecha de operación]]),0)-Tabla3[[#This Row],[Accrued]]*Tabla3[[#This Row],[Valor Nominal]]</f>
        <v>0</v>
      </c>
      <c r="AJ461" s="605">
        <f>+IF(Tabla3[[#This Row],[Amortización k | cupón de intereses]]="Amortización de K",IF(Tabla3[[#This Row],[Precio Clean]]&gt;1,Tabla3[[#This Row],[Valor Nominal]]*(Tabla3[[#This Row],[Precio Clean]]-1),0),0)</f>
        <v>0</v>
      </c>
      <c r="AK461" s="605">
        <f>+IF(Tabla3[[#This Row],[Amortización k | cupón de intereses]]="Amortización de K",IF(Tabla3[[#This Row],[Precio Clean]]&lt;1,Tabla3[[#This Row],[Valor Nominal]]*(Tabla3[[#This Row],[Precio Clean]]-1),0),0)</f>
        <v>0</v>
      </c>
    </row>
    <row r="462" spans="1:37">
      <c r="A462" s="502"/>
      <c r="B462" s="437" t="str">
        <f t="shared" si="276"/>
        <v>Banco Nacional de Fomento</v>
      </c>
      <c r="C462" s="437" t="str">
        <f t="shared" si="276"/>
        <v>BNF_6,50%_05122028_BB3245-46_100K</v>
      </c>
      <c r="D462" s="437" t="s">
        <v>453</v>
      </c>
      <c r="E462" s="437" t="s">
        <v>487</v>
      </c>
      <c r="F462" s="437" t="s">
        <v>297</v>
      </c>
      <c r="G462" s="437" t="s">
        <v>298</v>
      </c>
      <c r="H462" s="437">
        <f t="shared" si="272"/>
        <v>2</v>
      </c>
      <c r="I462" s="445">
        <v>1673.97</v>
      </c>
      <c r="J462" s="462"/>
      <c r="K462" s="450"/>
      <c r="L462" s="462"/>
      <c r="M462" s="493"/>
      <c r="N462" s="493"/>
      <c r="O462" s="516">
        <f t="shared" si="277"/>
        <v>6.5537145733833332E-2</v>
      </c>
      <c r="P462" s="516">
        <f t="shared" si="277"/>
        <v>6.3985407807234829E-2</v>
      </c>
      <c r="Q462" s="450">
        <f t="shared" si="277"/>
        <v>46086</v>
      </c>
      <c r="R462" s="450">
        <v>46272</v>
      </c>
      <c r="S462" s="509" t="s">
        <v>146</v>
      </c>
      <c r="T462" s="510">
        <f>Tabla3[[#This Row],[Cantidad]]*Tabla3[[#This Row],[Cortes]]</f>
        <v>3347.94</v>
      </c>
      <c r="U462" s="511">
        <f t="shared" si="265"/>
        <v>3256.0630277396772</v>
      </c>
      <c r="V462" s="511">
        <f t="shared" si="266"/>
        <v>3255.4967982494313</v>
      </c>
      <c r="W462" s="497">
        <f>IF(Tabla3[[#This Row],[Fecha de operación]]=$C$1,0,U462-V462)</f>
        <v>0.56622949024585978</v>
      </c>
      <c r="X462" s="512" t="str">
        <f t="shared" si="255"/>
        <v>Vigente</v>
      </c>
      <c r="Y462" s="517" t="s">
        <v>450</v>
      </c>
      <c r="Z462" s="449">
        <f t="shared" si="256"/>
        <v>160</v>
      </c>
      <c r="AA462" s="518">
        <f t="shared" si="278"/>
        <v>2.4679568313323283</v>
      </c>
      <c r="AB462" s="518">
        <f t="shared" si="278"/>
        <v>2.4281729502061751</v>
      </c>
      <c r="AC462" s="449" t="s">
        <v>451</v>
      </c>
      <c r="AD462" s="449" t="s">
        <v>454</v>
      </c>
      <c r="AG462" s="605">
        <f>+IF(Tabla3[[#This Row],[Amortización k | cupón de intereses]]="Amortización de K",Tabla3[[#This Row],[Valor Nominal]],0)</f>
        <v>0</v>
      </c>
      <c r="AH462" s="605">
        <f>+IF(AND(Tabla3[[#This Row],[Amortización k | cupón de intereses]]="Cupón de interés",Tabla3[[#This Row],[Estado]]="Vigente"),Tabla3[[#This Row],[Valor Nominal]],0)</f>
        <v>3347.94</v>
      </c>
      <c r="AI462" s="618">
        <f>+IF(Tabla3[[#This Row],[Amortización k | cupón de intereses]]="Amortización de K",SUMIFS($AH$7:$AH$557,Tabla3[Código Emisión],Tabla3[[#This Row],[Código Emisión]],Tabla3[Fecha de operación],Tabla3[[#This Row],[Fecha de operación]]),0)-Tabla3[[#This Row],[Accrued]]*Tabla3[[#This Row],[Valor Nominal]]</f>
        <v>0</v>
      </c>
      <c r="AJ462" s="605">
        <f>+IF(Tabla3[[#This Row],[Amortización k | cupón de intereses]]="Amortización de K",IF(Tabla3[[#This Row],[Precio Clean]]&gt;1,Tabla3[[#This Row],[Valor Nominal]]*(Tabla3[[#This Row],[Precio Clean]]-1),0),0)</f>
        <v>0</v>
      </c>
      <c r="AK462" s="605">
        <f>+IF(Tabla3[[#This Row],[Amortización k | cupón de intereses]]="Amortización de K",IF(Tabla3[[#This Row],[Precio Clean]]&lt;1,Tabla3[[#This Row],[Valor Nominal]]*(Tabla3[[#This Row],[Precio Clean]]-1),0),0)</f>
        <v>0</v>
      </c>
    </row>
    <row r="463" spans="1:37">
      <c r="A463" s="502"/>
      <c r="B463" s="437" t="str">
        <f t="shared" si="276"/>
        <v>Banco Nacional de Fomento</v>
      </c>
      <c r="C463" s="437" t="str">
        <f t="shared" si="276"/>
        <v>BNF_6,50%_05122028_BB3245-46_100K</v>
      </c>
      <c r="D463" s="437" t="s">
        <v>453</v>
      </c>
      <c r="E463" s="437" t="s">
        <v>487</v>
      </c>
      <c r="F463" s="437" t="s">
        <v>297</v>
      </c>
      <c r="G463" s="437" t="s">
        <v>298</v>
      </c>
      <c r="H463" s="437">
        <f t="shared" si="272"/>
        <v>2</v>
      </c>
      <c r="I463" s="445">
        <v>1638.35</v>
      </c>
      <c r="J463" s="462"/>
      <c r="K463" s="450"/>
      <c r="L463" s="462"/>
      <c r="M463" s="493"/>
      <c r="N463" s="493"/>
      <c r="O463" s="516">
        <f t="shared" si="277"/>
        <v>6.5537145733833332E-2</v>
      </c>
      <c r="P463" s="516">
        <f t="shared" si="277"/>
        <v>6.3985407807234829E-2</v>
      </c>
      <c r="Q463" s="450">
        <f t="shared" si="277"/>
        <v>46086</v>
      </c>
      <c r="R463" s="450">
        <v>46178</v>
      </c>
      <c r="S463" s="509" t="s">
        <v>146</v>
      </c>
      <c r="T463" s="510">
        <f>Tabla3[[#This Row],[Cantidad]]*Tabla3[[#This Row],[Cortes]]</f>
        <v>3276.7</v>
      </c>
      <c r="U463" s="511">
        <f t="shared" si="265"/>
        <v>3239.3037595148494</v>
      </c>
      <c r="V463" s="511">
        <f t="shared" si="266"/>
        <v>3238.7404444620156</v>
      </c>
      <c r="W463" s="497">
        <f>IF(Tabla3[[#This Row],[Fecha de operación]]=$C$1,0,U463-V463)</f>
        <v>0.56331505283378647</v>
      </c>
      <c r="X463" s="512" t="str">
        <f t="shared" si="255"/>
        <v>Vigente</v>
      </c>
      <c r="Y463" s="517" t="s">
        <v>450</v>
      </c>
      <c r="Z463" s="449">
        <f t="shared" si="256"/>
        <v>66</v>
      </c>
      <c r="AA463" s="518">
        <f t="shared" si="278"/>
        <v>2.4679568313323283</v>
      </c>
      <c r="AB463" s="518">
        <f t="shared" si="278"/>
        <v>2.4281729502061751</v>
      </c>
      <c r="AC463" s="449" t="s">
        <v>451</v>
      </c>
      <c r="AD463" s="449" t="s">
        <v>454</v>
      </c>
      <c r="AG463" s="605">
        <f>+IF(Tabla3[[#This Row],[Amortización k | cupón de intereses]]="Amortización de K",Tabla3[[#This Row],[Valor Nominal]],0)</f>
        <v>0</v>
      </c>
      <c r="AH463" s="605">
        <f>+IF(AND(Tabla3[[#This Row],[Amortización k | cupón de intereses]]="Cupón de interés",Tabla3[[#This Row],[Estado]]="Vigente"),Tabla3[[#This Row],[Valor Nominal]],0)</f>
        <v>3276.7</v>
      </c>
      <c r="AI463" s="618">
        <f>+IF(Tabla3[[#This Row],[Amortización k | cupón de intereses]]="Amortización de K",SUMIFS($AH$7:$AH$557,Tabla3[Código Emisión],Tabla3[[#This Row],[Código Emisión]],Tabla3[Fecha de operación],Tabla3[[#This Row],[Fecha de operación]]),0)-Tabla3[[#This Row],[Accrued]]*Tabla3[[#This Row],[Valor Nominal]]</f>
        <v>0</v>
      </c>
      <c r="AJ463" s="605">
        <f>+IF(Tabla3[[#This Row],[Amortización k | cupón de intereses]]="Amortización de K",IF(Tabla3[[#This Row],[Precio Clean]]&gt;1,Tabla3[[#This Row],[Valor Nominal]]*(Tabla3[[#This Row],[Precio Clean]]-1),0),0)</f>
        <v>0</v>
      </c>
      <c r="AK463" s="605">
        <f>+IF(Tabla3[[#This Row],[Amortización k | cupón de intereses]]="Amortización de K",IF(Tabla3[[#This Row],[Precio Clean]]&lt;1,Tabla3[[#This Row],[Valor Nominal]]*(Tabla3[[#This Row],[Precio Clean]]-1),0),0)</f>
        <v>0</v>
      </c>
    </row>
    <row r="464" spans="1:37" ht="15">
      <c r="A464" s="500">
        <f>+A452+1</f>
        <v>46</v>
      </c>
      <c r="B464" s="475" t="s">
        <v>485</v>
      </c>
      <c r="C464" s="475" t="s">
        <v>571</v>
      </c>
      <c r="D464" s="475" t="s">
        <v>453</v>
      </c>
      <c r="E464" s="475" t="s">
        <v>487</v>
      </c>
      <c r="F464" s="475" t="s">
        <v>297</v>
      </c>
      <c r="G464" s="475" t="s">
        <v>298</v>
      </c>
      <c r="H464" s="475">
        <v>4</v>
      </c>
      <c r="I464" s="477">
        <v>50000</v>
      </c>
      <c r="J464" s="478">
        <v>6.5000000000000002E-2</v>
      </c>
      <c r="K464" s="479">
        <v>46086</v>
      </c>
      <c r="L464" s="478">
        <f>+Tabla3[[#This Row],[Tasa de Interés]]*($U$5-Tabla3[[#This Row],[Last coupon]])/365</f>
        <v>4.6301369863013695E-3</v>
      </c>
      <c r="M464" s="480">
        <f>+Tabla3[[#This Row],[Precio Dirty]]-Tabla3[[#This Row],[Accrued]]</f>
        <v>0.99997146019084782</v>
      </c>
      <c r="N464" s="481">
        <f>SUMIFS(U:U,C:C,C464,Q:Q,Q464)/SUMIFS(T:T,C:C,C464,Q:Q,Q464,AD:AD,"Amortización de K")</f>
        <v>1.0046015971771491</v>
      </c>
      <c r="O464" s="482">
        <v>6.660045683383943E-2</v>
      </c>
      <c r="P464" s="482">
        <v>6.4998919460218296E-2</v>
      </c>
      <c r="Q464" s="484">
        <v>46086</v>
      </c>
      <c r="R464" s="484">
        <v>47092</v>
      </c>
      <c r="S464" s="504" t="s">
        <v>146</v>
      </c>
      <c r="T464" s="505">
        <f>Tabla3[[#This Row],[Cantidad]]*Tabla3[[#This Row],[Cortes]]</f>
        <v>200000</v>
      </c>
      <c r="U464" s="576">
        <f t="shared" si="265"/>
        <v>168208.20393407583</v>
      </c>
      <c r="V464" s="576">
        <f t="shared" si="266"/>
        <v>168178.49294894919</v>
      </c>
      <c r="W464" s="505">
        <f>IF(Tabla3[[#This Row],[Fecha de operación]]=$C$1,0,U464-V464)</f>
        <v>29.710985126643209</v>
      </c>
      <c r="X464" s="507" t="str">
        <f t="shared" si="255"/>
        <v>Vigente</v>
      </c>
      <c r="Y464" s="489" t="s">
        <v>450</v>
      </c>
      <c r="Z464" s="488">
        <f t="shared" si="256"/>
        <v>980</v>
      </c>
      <c r="AA464" s="508">
        <f>IF(Y464="Mensual",DURATION($C$1,$C$1+Z464*12,J464/12,O464/12,1)/12,DURATION($C$1,R464,J464,O464,IF(Y464="Cupón cero",1,IF(Y464="Al vencimiento",1,IF(Y464="Anual",1,IF(Y464="Semestral",2,IF(Y464="Trimestral",4,"")))))))</f>
        <v>2.4676132192300604</v>
      </c>
      <c r="AB464" s="508">
        <f>IF(Y464="Mensual",MDURATION($C$1,$C$1+Z464*12,J464/12,O464/12,1)/12,MDURATION($C$1,R464,J464,O464,IF(Y464="Cupón cero",1,IF(Y464="Al vencimiento",1,IF(Y464="Anual",1,IF(Y464="Semestral",2,IF(Y464="Trimestral",4,"")))))))</f>
        <v>2.4272000610075048</v>
      </c>
      <c r="AC464" s="488" t="s">
        <v>451</v>
      </c>
      <c r="AD464" s="488" t="s">
        <v>452</v>
      </c>
      <c r="AG464" s="605">
        <f>+IF(Tabla3[[#This Row],[Amortización k | cupón de intereses]]="Amortización de K",Tabla3[[#This Row],[Valor Nominal]],0)</f>
        <v>200000</v>
      </c>
      <c r="AH464" s="605">
        <f>+IF(AND(Tabla3[[#This Row],[Amortización k | cupón de intereses]]="Cupón de interés",Tabla3[[#This Row],[Estado]]="Vigente"),Tabla3[[#This Row],[Valor Nominal]],0)</f>
        <v>0</v>
      </c>
      <c r="AI464" s="618">
        <f>+IF(Tabla3[[#This Row],[Amortización k | cupón de intereses]]="Amortización de K",SUMIFS($AH$7:$AH$557,Tabla3[Código Emisión],Tabla3[[#This Row],[Código Emisión]],Tabla3[Fecha de operación],Tabla3[[#This Row],[Fecha de operación]]),0)-Tabla3[[#This Row],[Accrued]]*Tabla3[[#This Row],[Valor Nominal]]</f>
        <v>34903.892602739725</v>
      </c>
      <c r="AJ464" s="605">
        <f>+IF(Tabla3[[#This Row],[Amortización k | cupón de intereses]]="Amortización de K",IF(Tabla3[[#This Row],[Precio Clean]]&gt;1,Tabla3[[#This Row],[Valor Nominal]]*(Tabla3[[#This Row],[Precio Clean]]-1),0),0)</f>
        <v>0</v>
      </c>
      <c r="AK464" s="605">
        <f>+IF(Tabla3[[#This Row],[Amortización k | cupón de intereses]]="Amortización de K",IF(Tabla3[[#This Row],[Precio Clean]]&lt;1,Tabla3[[#This Row],[Valor Nominal]]*(Tabla3[[#This Row],[Precio Clean]]-1),0),0)</f>
        <v>-5.7079618304367585</v>
      </c>
    </row>
    <row r="465" spans="1:37">
      <c r="A465" s="502"/>
      <c r="B465" s="437" t="str">
        <f t="shared" ref="B465:C475" si="279">+B464</f>
        <v>Banco Nacional de Fomento</v>
      </c>
      <c r="C465" s="437" t="str">
        <f t="shared" si="279"/>
        <v>BNF_6,50%_05122028_BB3247-52_50K</v>
      </c>
      <c r="D465" s="437" t="s">
        <v>453</v>
      </c>
      <c r="E465" s="437" t="s">
        <v>487</v>
      </c>
      <c r="F465" s="437" t="s">
        <v>297</v>
      </c>
      <c r="G465" s="437" t="s">
        <v>298</v>
      </c>
      <c r="H465" s="437">
        <f t="shared" si="272"/>
        <v>4</v>
      </c>
      <c r="I465" s="445">
        <v>810.27</v>
      </c>
      <c r="J465" s="462"/>
      <c r="K465" s="450"/>
      <c r="L465" s="462"/>
      <c r="M465" s="493"/>
      <c r="N465" s="493"/>
      <c r="O465" s="516">
        <f t="shared" ref="O465:Q475" si="280">+O464</f>
        <v>6.660045683383943E-2</v>
      </c>
      <c r="P465" s="516">
        <f t="shared" si="280"/>
        <v>6.4998919460218296E-2</v>
      </c>
      <c r="Q465" s="450">
        <f t="shared" si="280"/>
        <v>46086</v>
      </c>
      <c r="R465" s="450">
        <v>47092</v>
      </c>
      <c r="S465" s="509" t="s">
        <v>146</v>
      </c>
      <c r="T465" s="510">
        <f>Tabla3[[#This Row],[Cantidad]]*Tabla3[[#This Row],[Cortes]]</f>
        <v>3241.08</v>
      </c>
      <c r="U465" s="511">
        <f t="shared" si="265"/>
        <v>2725.8812280332727</v>
      </c>
      <c r="V465" s="511">
        <f t="shared" si="266"/>
        <v>2725.3997496349011</v>
      </c>
      <c r="W465" s="497">
        <f>IF(Tabla3[[#This Row],[Fecha de operación]]=$C$1,0,U465-V465)</f>
        <v>0.48147839837156425</v>
      </c>
      <c r="X465" s="512" t="str">
        <f t="shared" si="255"/>
        <v>Vigente</v>
      </c>
      <c r="Y465" s="517" t="s">
        <v>450</v>
      </c>
      <c r="Z465" s="449">
        <f t="shared" si="256"/>
        <v>980</v>
      </c>
      <c r="AA465" s="518">
        <f t="shared" ref="AA465:AB475" si="281">+AA464</f>
        <v>2.4676132192300604</v>
      </c>
      <c r="AB465" s="518">
        <f t="shared" si="281"/>
        <v>2.4272000610075048</v>
      </c>
      <c r="AC465" s="449" t="s">
        <v>451</v>
      </c>
      <c r="AD465" s="449" t="s">
        <v>454</v>
      </c>
      <c r="AG465" s="605">
        <f>+IF(Tabla3[[#This Row],[Amortización k | cupón de intereses]]="Amortización de K",Tabla3[[#This Row],[Valor Nominal]],0)</f>
        <v>0</v>
      </c>
      <c r="AH465" s="605">
        <f>+IF(AND(Tabla3[[#This Row],[Amortización k | cupón de intereses]]="Cupón de interés",Tabla3[[#This Row],[Estado]]="Vigente"),Tabla3[[#This Row],[Valor Nominal]],0)</f>
        <v>3241.08</v>
      </c>
      <c r="AI465" s="618">
        <f>+IF(Tabla3[[#This Row],[Amortización k | cupón de intereses]]="Amortización de K",SUMIFS($AH$7:$AH$557,Tabla3[Código Emisión],Tabla3[[#This Row],[Código Emisión]],Tabla3[Fecha de operación],Tabla3[[#This Row],[Fecha de operación]]),0)-Tabla3[[#This Row],[Accrued]]*Tabla3[[#This Row],[Valor Nominal]]</f>
        <v>0</v>
      </c>
      <c r="AJ465" s="605">
        <f>+IF(Tabla3[[#This Row],[Amortización k | cupón de intereses]]="Amortización de K",IF(Tabla3[[#This Row],[Precio Clean]]&gt;1,Tabla3[[#This Row],[Valor Nominal]]*(Tabla3[[#This Row],[Precio Clean]]-1),0),0)</f>
        <v>0</v>
      </c>
      <c r="AK465" s="605">
        <f>+IF(Tabla3[[#This Row],[Amortización k | cupón de intereses]]="Amortización de K",IF(Tabla3[[#This Row],[Precio Clean]]&lt;1,Tabla3[[#This Row],[Valor Nominal]]*(Tabla3[[#This Row],[Precio Clean]]-1),0),0)</f>
        <v>0</v>
      </c>
    </row>
    <row r="466" spans="1:37">
      <c r="A466" s="502"/>
      <c r="B466" s="437" t="str">
        <f t="shared" si="279"/>
        <v>Banco Nacional de Fomento</v>
      </c>
      <c r="C466" s="437" t="str">
        <f t="shared" si="279"/>
        <v>BNF_6,50%_05122028_BB3247-52_50K</v>
      </c>
      <c r="D466" s="437" t="s">
        <v>453</v>
      </c>
      <c r="E466" s="437" t="s">
        <v>487</v>
      </c>
      <c r="F466" s="437" t="s">
        <v>297</v>
      </c>
      <c r="G466" s="437" t="s">
        <v>298</v>
      </c>
      <c r="H466" s="437">
        <f t="shared" si="272"/>
        <v>4</v>
      </c>
      <c r="I466" s="445">
        <v>819.17</v>
      </c>
      <c r="J466" s="462"/>
      <c r="K466" s="450"/>
      <c r="L466" s="462"/>
      <c r="M466" s="493"/>
      <c r="N466" s="493"/>
      <c r="O466" s="516">
        <f t="shared" si="280"/>
        <v>6.660045683383943E-2</v>
      </c>
      <c r="P466" s="516">
        <f t="shared" si="280"/>
        <v>6.4998919460218296E-2</v>
      </c>
      <c r="Q466" s="450">
        <f t="shared" si="280"/>
        <v>46086</v>
      </c>
      <c r="R466" s="450">
        <v>47001</v>
      </c>
      <c r="S466" s="509" t="s">
        <v>146</v>
      </c>
      <c r="T466" s="510">
        <f>Tabla3[[#This Row],[Cantidad]]*Tabla3[[#This Row],[Cortes]]</f>
        <v>3276.68</v>
      </c>
      <c r="U466" s="511">
        <f t="shared" si="265"/>
        <v>2800.4799669490126</v>
      </c>
      <c r="V466" s="511">
        <f t="shared" si="266"/>
        <v>2799.9853120112657</v>
      </c>
      <c r="W466" s="497">
        <f>IF(Tabla3[[#This Row],[Fecha de operación]]=$C$1,0,U466-V466)</f>
        <v>0.49465493774687275</v>
      </c>
      <c r="X466" s="512" t="str">
        <f t="shared" si="255"/>
        <v>Vigente</v>
      </c>
      <c r="Y466" s="517" t="s">
        <v>450</v>
      </c>
      <c r="Z466" s="449">
        <f t="shared" si="256"/>
        <v>889</v>
      </c>
      <c r="AA466" s="518">
        <f t="shared" si="281"/>
        <v>2.4676132192300604</v>
      </c>
      <c r="AB466" s="518">
        <f t="shared" si="281"/>
        <v>2.4272000610075048</v>
      </c>
      <c r="AC466" s="449" t="s">
        <v>451</v>
      </c>
      <c r="AD466" s="449" t="s">
        <v>454</v>
      </c>
      <c r="AG466" s="605">
        <f>+IF(Tabla3[[#This Row],[Amortización k | cupón de intereses]]="Amortización de K",Tabla3[[#This Row],[Valor Nominal]],0)</f>
        <v>0</v>
      </c>
      <c r="AH466" s="605">
        <f>+IF(AND(Tabla3[[#This Row],[Amortización k | cupón de intereses]]="Cupón de interés",Tabla3[[#This Row],[Estado]]="Vigente"),Tabla3[[#This Row],[Valor Nominal]],0)</f>
        <v>3276.68</v>
      </c>
      <c r="AI466" s="618">
        <f>+IF(Tabla3[[#This Row],[Amortización k | cupón de intereses]]="Amortización de K",SUMIFS($AH$7:$AH$557,Tabla3[Código Emisión],Tabla3[[#This Row],[Código Emisión]],Tabla3[Fecha de operación],Tabla3[[#This Row],[Fecha de operación]]),0)-Tabla3[[#This Row],[Accrued]]*Tabla3[[#This Row],[Valor Nominal]]</f>
        <v>0</v>
      </c>
      <c r="AJ466" s="605">
        <f>+IF(Tabla3[[#This Row],[Amortización k | cupón de intereses]]="Amortización de K",IF(Tabla3[[#This Row],[Precio Clean]]&gt;1,Tabla3[[#This Row],[Valor Nominal]]*(Tabla3[[#This Row],[Precio Clean]]-1),0),0)</f>
        <v>0</v>
      </c>
      <c r="AK466" s="605">
        <f>+IF(Tabla3[[#This Row],[Amortización k | cupón de intereses]]="Amortización de K",IF(Tabla3[[#This Row],[Precio Clean]]&lt;1,Tabla3[[#This Row],[Valor Nominal]]*(Tabla3[[#This Row],[Precio Clean]]-1),0),0)</f>
        <v>0</v>
      </c>
    </row>
    <row r="467" spans="1:37">
      <c r="A467" s="502"/>
      <c r="B467" s="437" t="str">
        <f t="shared" si="279"/>
        <v>Banco Nacional de Fomento</v>
      </c>
      <c r="C467" s="437" t="str">
        <f t="shared" si="279"/>
        <v>BNF_6,50%_05122028_BB3247-52_50K</v>
      </c>
      <c r="D467" s="437" t="s">
        <v>453</v>
      </c>
      <c r="E467" s="437" t="s">
        <v>487</v>
      </c>
      <c r="F467" s="437" t="s">
        <v>297</v>
      </c>
      <c r="G467" s="437" t="s">
        <v>298</v>
      </c>
      <c r="H467" s="437">
        <f t="shared" si="272"/>
        <v>4</v>
      </c>
      <c r="I467" s="445">
        <v>810.27</v>
      </c>
      <c r="J467" s="462"/>
      <c r="K467" s="450"/>
      <c r="L467" s="462"/>
      <c r="M467" s="493"/>
      <c r="N467" s="493"/>
      <c r="O467" s="516">
        <f t="shared" si="280"/>
        <v>6.660045683383943E-2</v>
      </c>
      <c r="P467" s="516">
        <f t="shared" si="280"/>
        <v>6.4998919460218296E-2</v>
      </c>
      <c r="Q467" s="450">
        <f t="shared" si="280"/>
        <v>46086</v>
      </c>
      <c r="R467" s="450">
        <v>46909</v>
      </c>
      <c r="S467" s="509" t="s">
        <v>146</v>
      </c>
      <c r="T467" s="510">
        <f>Tabla3[[#This Row],[Cantidad]]*Tabla3[[#This Row],[Cortes]]</f>
        <v>3241.08</v>
      </c>
      <c r="U467" s="511">
        <f t="shared" si="265"/>
        <v>2815.4393103156394</v>
      </c>
      <c r="V467" s="511">
        <f t="shared" si="266"/>
        <v>2814.9420130761628</v>
      </c>
      <c r="W467" s="497">
        <f>IF(Tabla3[[#This Row],[Fecha de operación]]=$C$1,0,U467-V467)</f>
        <v>0.49729723947666571</v>
      </c>
      <c r="X467" s="512" t="str">
        <f t="shared" si="255"/>
        <v>Vigente</v>
      </c>
      <c r="Y467" s="517" t="s">
        <v>450</v>
      </c>
      <c r="Z467" s="449">
        <f t="shared" si="256"/>
        <v>797</v>
      </c>
      <c r="AA467" s="518">
        <f t="shared" si="281"/>
        <v>2.4676132192300604</v>
      </c>
      <c r="AB467" s="518">
        <f t="shared" si="281"/>
        <v>2.4272000610075048</v>
      </c>
      <c r="AC467" s="449" t="s">
        <v>451</v>
      </c>
      <c r="AD467" s="449" t="s">
        <v>454</v>
      </c>
      <c r="AG467" s="605">
        <f>+IF(Tabla3[[#This Row],[Amortización k | cupón de intereses]]="Amortización de K",Tabla3[[#This Row],[Valor Nominal]],0)</f>
        <v>0</v>
      </c>
      <c r="AH467" s="605">
        <f>+IF(AND(Tabla3[[#This Row],[Amortización k | cupón de intereses]]="Cupón de interés",Tabla3[[#This Row],[Estado]]="Vigente"),Tabla3[[#This Row],[Valor Nominal]],0)</f>
        <v>3241.08</v>
      </c>
      <c r="AI467" s="618">
        <f>+IF(Tabla3[[#This Row],[Amortización k | cupón de intereses]]="Amortización de K",SUMIFS($AH$7:$AH$557,Tabla3[Código Emisión],Tabla3[[#This Row],[Código Emisión]],Tabla3[Fecha de operación],Tabla3[[#This Row],[Fecha de operación]]),0)-Tabla3[[#This Row],[Accrued]]*Tabla3[[#This Row],[Valor Nominal]]</f>
        <v>0</v>
      </c>
      <c r="AJ467" s="605">
        <f>+IF(Tabla3[[#This Row],[Amortización k | cupón de intereses]]="Amortización de K",IF(Tabla3[[#This Row],[Precio Clean]]&gt;1,Tabla3[[#This Row],[Valor Nominal]]*(Tabla3[[#This Row],[Precio Clean]]-1),0),0)</f>
        <v>0</v>
      </c>
      <c r="AK467" s="605">
        <f>+IF(Tabla3[[#This Row],[Amortización k | cupón de intereses]]="Amortización de K",IF(Tabla3[[#This Row],[Precio Clean]]&lt;1,Tabla3[[#This Row],[Valor Nominal]]*(Tabla3[[#This Row],[Precio Clean]]-1),0),0)</f>
        <v>0</v>
      </c>
    </row>
    <row r="468" spans="1:37">
      <c r="A468" s="502"/>
      <c r="B468" s="437" t="str">
        <f t="shared" si="279"/>
        <v>Banco Nacional de Fomento</v>
      </c>
      <c r="C468" s="437" t="str">
        <f t="shared" si="279"/>
        <v>BNF_6,50%_05122028_BB3247-52_50K</v>
      </c>
      <c r="D468" s="437" t="s">
        <v>453</v>
      </c>
      <c r="E468" s="437" t="s">
        <v>487</v>
      </c>
      <c r="F468" s="437" t="s">
        <v>297</v>
      </c>
      <c r="G468" s="437" t="s">
        <v>298</v>
      </c>
      <c r="H468" s="437">
        <f t="shared" si="272"/>
        <v>4</v>
      </c>
      <c r="I468" s="445">
        <v>810.27</v>
      </c>
      <c r="J468" s="462"/>
      <c r="K468" s="450"/>
      <c r="L468" s="462"/>
      <c r="M468" s="493"/>
      <c r="N468" s="493"/>
      <c r="O468" s="516">
        <f t="shared" si="280"/>
        <v>6.660045683383943E-2</v>
      </c>
      <c r="P468" s="516">
        <f t="shared" si="280"/>
        <v>6.4998919460218296E-2</v>
      </c>
      <c r="Q468" s="450">
        <f t="shared" si="280"/>
        <v>46086</v>
      </c>
      <c r="R468" s="450">
        <v>46818</v>
      </c>
      <c r="S468" s="509" t="s">
        <v>146</v>
      </c>
      <c r="T468" s="510">
        <f>Tabla3[[#This Row],[Cantidad]]*Tabla3[[#This Row],[Cortes]]</f>
        <v>3241.08</v>
      </c>
      <c r="U468" s="511">
        <f t="shared" si="265"/>
        <v>2861.0630736525268</v>
      </c>
      <c r="V468" s="511">
        <f t="shared" si="266"/>
        <v>2860.5577177873579</v>
      </c>
      <c r="W468" s="497">
        <f>IF(Tabla3[[#This Row],[Fecha de operación]]=$C$1,0,U468-V468)</f>
        <v>0.50535586516889452</v>
      </c>
      <c r="X468" s="512" t="str">
        <f t="shared" si="255"/>
        <v>Vigente</v>
      </c>
      <c r="Y468" s="517" t="s">
        <v>450</v>
      </c>
      <c r="Z468" s="449">
        <f t="shared" si="256"/>
        <v>706</v>
      </c>
      <c r="AA468" s="518">
        <f t="shared" si="281"/>
        <v>2.4676132192300604</v>
      </c>
      <c r="AB468" s="518">
        <f t="shared" si="281"/>
        <v>2.4272000610075048</v>
      </c>
      <c r="AC468" s="449" t="s">
        <v>451</v>
      </c>
      <c r="AD468" s="449" t="s">
        <v>454</v>
      </c>
      <c r="AG468" s="605">
        <f>+IF(Tabla3[[#This Row],[Amortización k | cupón de intereses]]="Amortización de K",Tabla3[[#This Row],[Valor Nominal]],0)</f>
        <v>0</v>
      </c>
      <c r="AH468" s="605">
        <f>+IF(AND(Tabla3[[#This Row],[Amortización k | cupón de intereses]]="Cupón de interés",Tabla3[[#This Row],[Estado]]="Vigente"),Tabla3[[#This Row],[Valor Nominal]],0)</f>
        <v>3241.08</v>
      </c>
      <c r="AI468" s="618">
        <f>+IF(Tabla3[[#This Row],[Amortización k | cupón de intereses]]="Amortización de K",SUMIFS($AH$7:$AH$557,Tabla3[Código Emisión],Tabla3[[#This Row],[Código Emisión]],Tabla3[Fecha de operación],Tabla3[[#This Row],[Fecha de operación]]),0)-Tabla3[[#This Row],[Accrued]]*Tabla3[[#This Row],[Valor Nominal]]</f>
        <v>0</v>
      </c>
      <c r="AJ468" s="605">
        <f>+IF(Tabla3[[#This Row],[Amortización k | cupón de intereses]]="Amortización de K",IF(Tabla3[[#This Row],[Precio Clean]]&gt;1,Tabla3[[#This Row],[Valor Nominal]]*(Tabla3[[#This Row],[Precio Clean]]-1),0),0)</f>
        <v>0</v>
      </c>
      <c r="AK468" s="605">
        <f>+IF(Tabla3[[#This Row],[Amortización k | cupón de intereses]]="Amortización de K",IF(Tabla3[[#This Row],[Precio Clean]]&lt;1,Tabla3[[#This Row],[Valor Nominal]]*(Tabla3[[#This Row],[Precio Clean]]-1),0),0)</f>
        <v>0</v>
      </c>
    </row>
    <row r="469" spans="1:37">
      <c r="A469" s="502"/>
      <c r="B469" s="437" t="str">
        <f t="shared" si="279"/>
        <v>Banco Nacional de Fomento</v>
      </c>
      <c r="C469" s="437" t="str">
        <f t="shared" si="279"/>
        <v>BNF_6,50%_05122028_BB3247-52_50K</v>
      </c>
      <c r="D469" s="437" t="s">
        <v>453</v>
      </c>
      <c r="E469" s="437" t="s">
        <v>487</v>
      </c>
      <c r="F469" s="437" t="s">
        <v>297</v>
      </c>
      <c r="G469" s="437" t="s">
        <v>298</v>
      </c>
      <c r="H469" s="437">
        <f t="shared" si="272"/>
        <v>4</v>
      </c>
      <c r="I469" s="445">
        <v>810.27</v>
      </c>
      <c r="J469" s="462"/>
      <c r="K469" s="450"/>
      <c r="L469" s="462"/>
      <c r="M469" s="493"/>
      <c r="N469" s="493"/>
      <c r="O469" s="516">
        <f t="shared" si="280"/>
        <v>6.660045683383943E-2</v>
      </c>
      <c r="P469" s="516">
        <f t="shared" si="280"/>
        <v>6.4998919460218296E-2</v>
      </c>
      <c r="Q469" s="450">
        <f t="shared" si="280"/>
        <v>46086</v>
      </c>
      <c r="R469" s="450">
        <v>46727</v>
      </c>
      <c r="S469" s="509" t="s">
        <v>146</v>
      </c>
      <c r="T469" s="510">
        <f>Tabla3[[#This Row],[Cantidad]]*Tabla3[[#This Row],[Cortes]]</f>
        <v>3241.08</v>
      </c>
      <c r="U469" s="511">
        <f t="shared" si="265"/>
        <v>2907.4261630950755</v>
      </c>
      <c r="V469" s="511">
        <f t="shared" si="266"/>
        <v>2906.9126180154171</v>
      </c>
      <c r="W469" s="497">
        <f>IF(Tabla3[[#This Row],[Fecha de operación]]=$C$1,0,U469-V469)</f>
        <v>0.51354507965834273</v>
      </c>
      <c r="X469" s="512" t="str">
        <f t="shared" si="255"/>
        <v>Vigente</v>
      </c>
      <c r="Y469" s="517" t="s">
        <v>450</v>
      </c>
      <c r="Z469" s="449">
        <f t="shared" si="256"/>
        <v>615</v>
      </c>
      <c r="AA469" s="518">
        <f t="shared" si="281"/>
        <v>2.4676132192300604</v>
      </c>
      <c r="AB469" s="518">
        <f t="shared" si="281"/>
        <v>2.4272000610075048</v>
      </c>
      <c r="AC469" s="449" t="s">
        <v>451</v>
      </c>
      <c r="AD469" s="449" t="s">
        <v>454</v>
      </c>
      <c r="AG469" s="605">
        <f>+IF(Tabla3[[#This Row],[Amortización k | cupón de intereses]]="Amortización de K",Tabla3[[#This Row],[Valor Nominal]],0)</f>
        <v>0</v>
      </c>
      <c r="AH469" s="605">
        <f>+IF(AND(Tabla3[[#This Row],[Amortización k | cupón de intereses]]="Cupón de interés",Tabla3[[#This Row],[Estado]]="Vigente"),Tabla3[[#This Row],[Valor Nominal]],0)</f>
        <v>3241.08</v>
      </c>
      <c r="AI469" s="618">
        <f>+IF(Tabla3[[#This Row],[Amortización k | cupón de intereses]]="Amortización de K",SUMIFS($AH$7:$AH$557,Tabla3[Código Emisión],Tabla3[[#This Row],[Código Emisión]],Tabla3[Fecha de operación],Tabla3[[#This Row],[Fecha de operación]]),0)-Tabla3[[#This Row],[Accrued]]*Tabla3[[#This Row],[Valor Nominal]]</f>
        <v>0</v>
      </c>
      <c r="AJ469" s="605">
        <f>+IF(Tabla3[[#This Row],[Amortización k | cupón de intereses]]="Amortización de K",IF(Tabla3[[#This Row],[Precio Clean]]&gt;1,Tabla3[[#This Row],[Valor Nominal]]*(Tabla3[[#This Row],[Precio Clean]]-1),0),0)</f>
        <v>0</v>
      </c>
      <c r="AK469" s="605">
        <f>+IF(Tabla3[[#This Row],[Amortización k | cupón de intereses]]="Amortización de K",IF(Tabla3[[#This Row],[Precio Clean]]&lt;1,Tabla3[[#This Row],[Valor Nominal]]*(Tabla3[[#This Row],[Precio Clean]]-1),0),0)</f>
        <v>0</v>
      </c>
    </row>
    <row r="470" spans="1:37">
      <c r="A470" s="502"/>
      <c r="B470" s="437" t="str">
        <f t="shared" si="279"/>
        <v>Banco Nacional de Fomento</v>
      </c>
      <c r="C470" s="437" t="str">
        <f t="shared" si="279"/>
        <v>BNF_6,50%_05122028_BB3247-52_50K</v>
      </c>
      <c r="D470" s="437" t="s">
        <v>453</v>
      </c>
      <c r="E470" s="437" t="s">
        <v>487</v>
      </c>
      <c r="F470" s="437" t="s">
        <v>297</v>
      </c>
      <c r="G470" s="437" t="s">
        <v>298</v>
      </c>
      <c r="H470" s="437">
        <f t="shared" si="272"/>
        <v>4</v>
      </c>
      <c r="I470" s="445">
        <v>810.27</v>
      </c>
      <c r="J470" s="462"/>
      <c r="K470" s="450"/>
      <c r="L470" s="462"/>
      <c r="M470" s="493"/>
      <c r="N470" s="493"/>
      <c r="O470" s="516">
        <f t="shared" si="280"/>
        <v>6.660045683383943E-2</v>
      </c>
      <c r="P470" s="516">
        <f t="shared" si="280"/>
        <v>6.4998919460218296E-2</v>
      </c>
      <c r="Q470" s="450">
        <f t="shared" si="280"/>
        <v>46086</v>
      </c>
      <c r="R470" s="450">
        <v>46636</v>
      </c>
      <c r="S470" s="509" t="s">
        <v>146</v>
      </c>
      <c r="T470" s="510">
        <f>Tabla3[[#This Row],[Cantidad]]*Tabla3[[#This Row],[Cortes]]</f>
        <v>3241.08</v>
      </c>
      <c r="U470" s="511">
        <f t="shared" si="265"/>
        <v>2954.5405593097303</v>
      </c>
      <c r="V470" s="511">
        <f t="shared" si="266"/>
        <v>2954.0186923106144</v>
      </c>
      <c r="W470" s="497">
        <f>IF(Tabla3[[#This Row],[Fecha de operación]]=$C$1,0,U470-V470)</f>
        <v>0.5218669991159004</v>
      </c>
      <c r="X470" s="512" t="str">
        <f t="shared" si="255"/>
        <v>Vigente</v>
      </c>
      <c r="Y470" s="517" t="s">
        <v>450</v>
      </c>
      <c r="Z470" s="449">
        <f t="shared" si="256"/>
        <v>524</v>
      </c>
      <c r="AA470" s="518">
        <f t="shared" si="281"/>
        <v>2.4676132192300604</v>
      </c>
      <c r="AB470" s="518">
        <f t="shared" si="281"/>
        <v>2.4272000610075048</v>
      </c>
      <c r="AC470" s="449" t="s">
        <v>451</v>
      </c>
      <c r="AD470" s="449" t="s">
        <v>454</v>
      </c>
      <c r="AG470" s="605">
        <f>+IF(Tabla3[[#This Row],[Amortización k | cupón de intereses]]="Amortización de K",Tabla3[[#This Row],[Valor Nominal]],0)</f>
        <v>0</v>
      </c>
      <c r="AH470" s="605">
        <f>+IF(AND(Tabla3[[#This Row],[Amortización k | cupón de intereses]]="Cupón de interés",Tabla3[[#This Row],[Estado]]="Vigente"),Tabla3[[#This Row],[Valor Nominal]],0)</f>
        <v>3241.08</v>
      </c>
      <c r="AI470" s="618">
        <f>+IF(Tabla3[[#This Row],[Amortización k | cupón de intereses]]="Amortización de K",SUMIFS($AH$7:$AH$557,Tabla3[Código Emisión],Tabla3[[#This Row],[Código Emisión]],Tabla3[Fecha de operación],Tabla3[[#This Row],[Fecha de operación]]),0)-Tabla3[[#This Row],[Accrued]]*Tabla3[[#This Row],[Valor Nominal]]</f>
        <v>0</v>
      </c>
      <c r="AJ470" s="605">
        <f>+IF(Tabla3[[#This Row],[Amortización k | cupón de intereses]]="Amortización de K",IF(Tabla3[[#This Row],[Precio Clean]]&gt;1,Tabla3[[#This Row],[Valor Nominal]]*(Tabla3[[#This Row],[Precio Clean]]-1),0),0)</f>
        <v>0</v>
      </c>
      <c r="AK470" s="605">
        <f>+IF(Tabla3[[#This Row],[Amortización k | cupón de intereses]]="Amortización de K",IF(Tabla3[[#This Row],[Precio Clean]]&lt;1,Tabla3[[#This Row],[Valor Nominal]]*(Tabla3[[#This Row],[Precio Clean]]-1),0),0)</f>
        <v>0</v>
      </c>
    </row>
    <row r="471" spans="1:37">
      <c r="A471" s="502"/>
      <c r="B471" s="437" t="str">
        <f t="shared" si="279"/>
        <v>Banco Nacional de Fomento</v>
      </c>
      <c r="C471" s="437" t="str">
        <f t="shared" si="279"/>
        <v>BNF_6,50%_05122028_BB3247-52_50K</v>
      </c>
      <c r="D471" s="437" t="s">
        <v>453</v>
      </c>
      <c r="E471" s="437" t="s">
        <v>487</v>
      </c>
      <c r="F471" s="437" t="s">
        <v>297</v>
      </c>
      <c r="G471" s="437" t="s">
        <v>298</v>
      </c>
      <c r="H471" s="437">
        <f t="shared" si="272"/>
        <v>4</v>
      </c>
      <c r="I471" s="445">
        <v>836.98</v>
      </c>
      <c r="J471" s="462"/>
      <c r="K471" s="450"/>
      <c r="L471" s="462"/>
      <c r="M471" s="493"/>
      <c r="N471" s="493"/>
      <c r="O471" s="516">
        <f t="shared" si="280"/>
        <v>6.660045683383943E-2</v>
      </c>
      <c r="P471" s="516">
        <f t="shared" si="280"/>
        <v>6.4998919460218296E-2</v>
      </c>
      <c r="Q471" s="450">
        <f t="shared" si="280"/>
        <v>46086</v>
      </c>
      <c r="R471" s="450">
        <v>46545</v>
      </c>
      <c r="S471" s="509" t="s">
        <v>146</v>
      </c>
      <c r="T471" s="510">
        <f>Tabla3[[#This Row],[Cantidad]]*Tabla3[[#This Row],[Cortes]]</f>
        <v>3347.92</v>
      </c>
      <c r="U471" s="511">
        <f t="shared" si="265"/>
        <v>3101.3911208492095</v>
      </c>
      <c r="V471" s="511">
        <f t="shared" si="266"/>
        <v>3100.843315312331</v>
      </c>
      <c r="W471" s="497">
        <f>IF(Tabla3[[#This Row],[Fecha de operación]]=$C$1,0,U471-V471)</f>
        <v>0.54780553687851352</v>
      </c>
      <c r="X471" s="512" t="str">
        <f t="shared" si="255"/>
        <v>Vigente</v>
      </c>
      <c r="Y471" s="517" t="s">
        <v>450</v>
      </c>
      <c r="Z471" s="449">
        <f t="shared" si="256"/>
        <v>433</v>
      </c>
      <c r="AA471" s="518">
        <f t="shared" si="281"/>
        <v>2.4676132192300604</v>
      </c>
      <c r="AB471" s="518">
        <f t="shared" si="281"/>
        <v>2.4272000610075048</v>
      </c>
      <c r="AC471" s="449" t="s">
        <v>451</v>
      </c>
      <c r="AD471" s="449" t="s">
        <v>454</v>
      </c>
      <c r="AG471" s="605">
        <f>+IF(Tabla3[[#This Row],[Amortización k | cupón de intereses]]="Amortización de K",Tabla3[[#This Row],[Valor Nominal]],0)</f>
        <v>0</v>
      </c>
      <c r="AH471" s="605">
        <f>+IF(AND(Tabla3[[#This Row],[Amortización k | cupón de intereses]]="Cupón de interés",Tabla3[[#This Row],[Estado]]="Vigente"),Tabla3[[#This Row],[Valor Nominal]],0)</f>
        <v>3347.92</v>
      </c>
      <c r="AI471" s="618">
        <f>+IF(Tabla3[[#This Row],[Amortización k | cupón de intereses]]="Amortización de K",SUMIFS($AH$7:$AH$557,Tabla3[Código Emisión],Tabla3[[#This Row],[Código Emisión]],Tabla3[Fecha de operación],Tabla3[[#This Row],[Fecha de operación]]),0)-Tabla3[[#This Row],[Accrued]]*Tabla3[[#This Row],[Valor Nominal]]</f>
        <v>0</v>
      </c>
      <c r="AJ471" s="605">
        <f>+IF(Tabla3[[#This Row],[Amortización k | cupón de intereses]]="Amortización de K",IF(Tabla3[[#This Row],[Precio Clean]]&gt;1,Tabla3[[#This Row],[Valor Nominal]]*(Tabla3[[#This Row],[Precio Clean]]-1),0),0)</f>
        <v>0</v>
      </c>
      <c r="AK471" s="605">
        <f>+IF(Tabla3[[#This Row],[Amortización k | cupón de intereses]]="Amortización de K",IF(Tabla3[[#This Row],[Precio Clean]]&lt;1,Tabla3[[#This Row],[Valor Nominal]]*(Tabla3[[#This Row],[Precio Clean]]-1),0),0)</f>
        <v>0</v>
      </c>
    </row>
    <row r="472" spans="1:37">
      <c r="A472" s="502"/>
      <c r="B472" s="437" t="str">
        <f t="shared" si="279"/>
        <v>Banco Nacional de Fomento</v>
      </c>
      <c r="C472" s="437" t="str">
        <f t="shared" si="279"/>
        <v>BNF_6,50%_05122028_BB3247-52_50K</v>
      </c>
      <c r="D472" s="437" t="s">
        <v>453</v>
      </c>
      <c r="E472" s="437" t="s">
        <v>487</v>
      </c>
      <c r="F472" s="437" t="s">
        <v>297</v>
      </c>
      <c r="G472" s="437" t="s">
        <v>298</v>
      </c>
      <c r="H472" s="437">
        <f t="shared" si="272"/>
        <v>4</v>
      </c>
      <c r="I472" s="445">
        <v>783.56</v>
      </c>
      <c r="J472" s="462"/>
      <c r="K472" s="450"/>
      <c r="L472" s="462"/>
      <c r="M472" s="493"/>
      <c r="N472" s="493"/>
      <c r="O472" s="516">
        <f t="shared" si="280"/>
        <v>6.660045683383943E-2</v>
      </c>
      <c r="P472" s="516">
        <f t="shared" si="280"/>
        <v>6.4998919460218296E-2</v>
      </c>
      <c r="Q472" s="450">
        <f t="shared" si="280"/>
        <v>46086</v>
      </c>
      <c r="R472" s="450">
        <v>46451</v>
      </c>
      <c r="S472" s="509" t="s">
        <v>146</v>
      </c>
      <c r="T472" s="510">
        <f>Tabla3[[#This Row],[Cantidad]]*Tabla3[[#This Row],[Cortes]]</f>
        <v>3134.24</v>
      </c>
      <c r="U472" s="511">
        <f t="shared" si="265"/>
        <v>2952.0596577392566</v>
      </c>
      <c r="V472" s="511">
        <f t="shared" si="266"/>
        <v>2951.5382289472441</v>
      </c>
      <c r="W472" s="497">
        <f>IF(Tabla3[[#This Row],[Fecha de operación]]=$C$1,0,U472-V472)</f>
        <v>0.5214287920125571</v>
      </c>
      <c r="X472" s="512" t="str">
        <f t="shared" si="255"/>
        <v>Vigente</v>
      </c>
      <c r="Y472" s="517" t="s">
        <v>450</v>
      </c>
      <c r="Z472" s="449">
        <f t="shared" si="256"/>
        <v>339</v>
      </c>
      <c r="AA472" s="518">
        <f t="shared" si="281"/>
        <v>2.4676132192300604</v>
      </c>
      <c r="AB472" s="518">
        <f t="shared" si="281"/>
        <v>2.4272000610075048</v>
      </c>
      <c r="AC472" s="449" t="s">
        <v>451</v>
      </c>
      <c r="AD472" s="449" t="s">
        <v>454</v>
      </c>
      <c r="AG472" s="605">
        <f>+IF(Tabla3[[#This Row],[Amortización k | cupón de intereses]]="Amortización de K",Tabla3[[#This Row],[Valor Nominal]],0)</f>
        <v>0</v>
      </c>
      <c r="AH472" s="605">
        <f>+IF(AND(Tabla3[[#This Row],[Amortización k | cupón de intereses]]="Cupón de interés",Tabla3[[#This Row],[Estado]]="Vigente"),Tabla3[[#This Row],[Valor Nominal]],0)</f>
        <v>3134.24</v>
      </c>
      <c r="AI472" s="618">
        <f>+IF(Tabla3[[#This Row],[Amortización k | cupón de intereses]]="Amortización de K",SUMIFS($AH$7:$AH$557,Tabla3[Código Emisión],Tabla3[[#This Row],[Código Emisión]],Tabla3[Fecha de operación],Tabla3[[#This Row],[Fecha de operación]]),0)-Tabla3[[#This Row],[Accrued]]*Tabla3[[#This Row],[Valor Nominal]]</f>
        <v>0</v>
      </c>
      <c r="AJ472" s="605">
        <f>+IF(Tabla3[[#This Row],[Amortización k | cupón de intereses]]="Amortización de K",IF(Tabla3[[#This Row],[Precio Clean]]&gt;1,Tabla3[[#This Row],[Valor Nominal]]*(Tabla3[[#This Row],[Precio Clean]]-1),0),0)</f>
        <v>0</v>
      </c>
      <c r="AK472" s="605">
        <f>+IF(Tabla3[[#This Row],[Amortización k | cupón de intereses]]="Amortización de K",IF(Tabla3[[#This Row],[Precio Clean]]&lt;1,Tabla3[[#This Row],[Valor Nominal]]*(Tabla3[[#This Row],[Precio Clean]]-1),0),0)</f>
        <v>0</v>
      </c>
    </row>
    <row r="473" spans="1:37">
      <c r="A473" s="502"/>
      <c r="B473" s="437" t="str">
        <f t="shared" si="279"/>
        <v>Banco Nacional de Fomento</v>
      </c>
      <c r="C473" s="437" t="str">
        <f t="shared" si="279"/>
        <v>BNF_6,50%_05122028_BB3247-52_50K</v>
      </c>
      <c r="D473" s="437" t="s">
        <v>453</v>
      </c>
      <c r="E473" s="437" t="s">
        <v>487</v>
      </c>
      <c r="F473" s="437" t="s">
        <v>297</v>
      </c>
      <c r="G473" s="437" t="s">
        <v>298</v>
      </c>
      <c r="H473" s="437">
        <f t="shared" si="272"/>
        <v>4</v>
      </c>
      <c r="I473" s="445">
        <v>810.27</v>
      </c>
      <c r="J473" s="462"/>
      <c r="K473" s="450"/>
      <c r="L473" s="462"/>
      <c r="M473" s="493"/>
      <c r="N473" s="493"/>
      <c r="O473" s="516">
        <f t="shared" si="280"/>
        <v>6.660045683383943E-2</v>
      </c>
      <c r="P473" s="516">
        <f t="shared" si="280"/>
        <v>6.4998919460218296E-2</v>
      </c>
      <c r="Q473" s="450">
        <f t="shared" si="280"/>
        <v>46086</v>
      </c>
      <c r="R473" s="450">
        <v>46363</v>
      </c>
      <c r="S473" s="509" t="s">
        <v>146</v>
      </c>
      <c r="T473" s="510">
        <f>Tabla3[[#This Row],[Cantidad]]*Tabla3[[#This Row],[Cortes]]</f>
        <v>3241.08</v>
      </c>
      <c r="U473" s="511">
        <f t="shared" si="265"/>
        <v>3100.5143263512964</v>
      </c>
      <c r="V473" s="511">
        <f t="shared" si="266"/>
        <v>3099.966675684559</v>
      </c>
      <c r="W473" s="497">
        <f>IF(Tabla3[[#This Row],[Fecha de operación]]=$C$1,0,U473-V473)</f>
        <v>0.54765066673735419</v>
      </c>
      <c r="X473" s="512" t="str">
        <f t="shared" si="255"/>
        <v>Vigente</v>
      </c>
      <c r="Y473" s="517" t="s">
        <v>450</v>
      </c>
      <c r="Z473" s="449">
        <f t="shared" si="256"/>
        <v>251</v>
      </c>
      <c r="AA473" s="518">
        <f t="shared" si="281"/>
        <v>2.4676132192300604</v>
      </c>
      <c r="AB473" s="518">
        <f t="shared" si="281"/>
        <v>2.4272000610075048</v>
      </c>
      <c r="AC473" s="449" t="s">
        <v>451</v>
      </c>
      <c r="AD473" s="449" t="s">
        <v>454</v>
      </c>
      <c r="AG473" s="605">
        <f>+IF(Tabla3[[#This Row],[Amortización k | cupón de intereses]]="Amortización de K",Tabla3[[#This Row],[Valor Nominal]],0)</f>
        <v>0</v>
      </c>
      <c r="AH473" s="605">
        <f>+IF(AND(Tabla3[[#This Row],[Amortización k | cupón de intereses]]="Cupón de interés",Tabla3[[#This Row],[Estado]]="Vigente"),Tabla3[[#This Row],[Valor Nominal]],0)</f>
        <v>3241.08</v>
      </c>
      <c r="AI473" s="618">
        <f>+IF(Tabla3[[#This Row],[Amortización k | cupón de intereses]]="Amortización de K",SUMIFS($AH$7:$AH$557,Tabla3[Código Emisión],Tabla3[[#This Row],[Código Emisión]],Tabla3[Fecha de operación],Tabla3[[#This Row],[Fecha de operación]]),0)-Tabla3[[#This Row],[Accrued]]*Tabla3[[#This Row],[Valor Nominal]]</f>
        <v>0</v>
      </c>
      <c r="AJ473" s="605">
        <f>+IF(Tabla3[[#This Row],[Amortización k | cupón de intereses]]="Amortización de K",IF(Tabla3[[#This Row],[Precio Clean]]&gt;1,Tabla3[[#This Row],[Valor Nominal]]*(Tabla3[[#This Row],[Precio Clean]]-1),0),0)</f>
        <v>0</v>
      </c>
      <c r="AK473" s="605">
        <f>+IF(Tabla3[[#This Row],[Amortización k | cupón de intereses]]="Amortización de K",IF(Tabla3[[#This Row],[Precio Clean]]&lt;1,Tabla3[[#This Row],[Valor Nominal]]*(Tabla3[[#This Row],[Precio Clean]]-1),0),0)</f>
        <v>0</v>
      </c>
    </row>
    <row r="474" spans="1:37">
      <c r="A474" s="502"/>
      <c r="B474" s="437" t="str">
        <f t="shared" si="279"/>
        <v>Banco Nacional de Fomento</v>
      </c>
      <c r="C474" s="437" t="str">
        <f t="shared" si="279"/>
        <v>BNF_6,50%_05122028_BB3247-52_50K</v>
      </c>
      <c r="D474" s="437" t="s">
        <v>453</v>
      </c>
      <c r="E474" s="437" t="s">
        <v>487</v>
      </c>
      <c r="F474" s="437" t="s">
        <v>297</v>
      </c>
      <c r="G474" s="437" t="s">
        <v>298</v>
      </c>
      <c r="H474" s="437">
        <f t="shared" si="272"/>
        <v>4</v>
      </c>
      <c r="I474" s="445">
        <v>836.98</v>
      </c>
      <c r="J474" s="462"/>
      <c r="K474" s="450"/>
      <c r="L474" s="462"/>
      <c r="M474" s="493"/>
      <c r="N474" s="493"/>
      <c r="O474" s="516">
        <f t="shared" si="280"/>
        <v>6.660045683383943E-2</v>
      </c>
      <c r="P474" s="516">
        <f t="shared" si="280"/>
        <v>6.4998919460218296E-2</v>
      </c>
      <c r="Q474" s="450">
        <f t="shared" si="280"/>
        <v>46086</v>
      </c>
      <c r="R474" s="450">
        <v>46272</v>
      </c>
      <c r="S474" s="509" t="s">
        <v>146</v>
      </c>
      <c r="T474" s="510">
        <f>Tabla3[[#This Row],[Cantidad]]*Tabla3[[#This Row],[Cortes]]</f>
        <v>3347.92</v>
      </c>
      <c r="U474" s="511">
        <f t="shared" si="265"/>
        <v>3254.620273027575</v>
      </c>
      <c r="V474" s="511">
        <f t="shared" si="266"/>
        <v>3254.0454022884364</v>
      </c>
      <c r="W474" s="497">
        <f>IF(Tabla3[[#This Row],[Fecha de operación]]=$C$1,0,U474-V474)</f>
        <v>0.57487073913853237</v>
      </c>
      <c r="X474" s="512" t="str">
        <f t="shared" si="255"/>
        <v>Vigente</v>
      </c>
      <c r="Y474" s="517" t="s">
        <v>450</v>
      </c>
      <c r="Z474" s="449">
        <f t="shared" si="256"/>
        <v>160</v>
      </c>
      <c r="AA474" s="518">
        <f t="shared" si="281"/>
        <v>2.4676132192300604</v>
      </c>
      <c r="AB474" s="518">
        <f t="shared" si="281"/>
        <v>2.4272000610075048</v>
      </c>
      <c r="AC474" s="449" t="s">
        <v>451</v>
      </c>
      <c r="AD474" s="449" t="s">
        <v>454</v>
      </c>
      <c r="AG474" s="605">
        <f>+IF(Tabla3[[#This Row],[Amortización k | cupón de intereses]]="Amortización de K",Tabla3[[#This Row],[Valor Nominal]],0)</f>
        <v>0</v>
      </c>
      <c r="AH474" s="605">
        <f>+IF(AND(Tabla3[[#This Row],[Amortización k | cupón de intereses]]="Cupón de interés",Tabla3[[#This Row],[Estado]]="Vigente"),Tabla3[[#This Row],[Valor Nominal]],0)</f>
        <v>3347.92</v>
      </c>
      <c r="AI474" s="618">
        <f>+IF(Tabla3[[#This Row],[Amortización k | cupón de intereses]]="Amortización de K",SUMIFS($AH$7:$AH$557,Tabla3[Código Emisión],Tabla3[[#This Row],[Código Emisión]],Tabla3[Fecha de operación],Tabla3[[#This Row],[Fecha de operación]]),0)-Tabla3[[#This Row],[Accrued]]*Tabla3[[#This Row],[Valor Nominal]]</f>
        <v>0</v>
      </c>
      <c r="AJ474" s="605">
        <f>+IF(Tabla3[[#This Row],[Amortización k | cupón de intereses]]="Amortización de K",IF(Tabla3[[#This Row],[Precio Clean]]&gt;1,Tabla3[[#This Row],[Valor Nominal]]*(Tabla3[[#This Row],[Precio Clean]]-1),0),0)</f>
        <v>0</v>
      </c>
      <c r="AK474" s="605">
        <f>+IF(Tabla3[[#This Row],[Amortización k | cupón de intereses]]="Amortización de K",IF(Tabla3[[#This Row],[Precio Clean]]&lt;1,Tabla3[[#This Row],[Valor Nominal]]*(Tabla3[[#This Row],[Precio Clean]]-1),0),0)</f>
        <v>0</v>
      </c>
    </row>
    <row r="475" spans="1:37">
      <c r="A475" s="502"/>
      <c r="B475" s="437" t="str">
        <f t="shared" si="279"/>
        <v>Banco Nacional de Fomento</v>
      </c>
      <c r="C475" s="437" t="str">
        <f t="shared" si="279"/>
        <v>BNF_6,50%_05122028_BB3247-52_50K</v>
      </c>
      <c r="D475" s="437" t="s">
        <v>453</v>
      </c>
      <c r="E475" s="437" t="s">
        <v>487</v>
      </c>
      <c r="F475" s="437" t="s">
        <v>297</v>
      </c>
      <c r="G475" s="437" t="s">
        <v>298</v>
      </c>
      <c r="H475" s="437">
        <f t="shared" si="272"/>
        <v>4</v>
      </c>
      <c r="I475" s="445">
        <v>819.17</v>
      </c>
      <c r="J475" s="462"/>
      <c r="K475" s="450"/>
      <c r="L475" s="462"/>
      <c r="M475" s="493"/>
      <c r="N475" s="493"/>
      <c r="O475" s="516">
        <f t="shared" si="280"/>
        <v>6.660045683383943E-2</v>
      </c>
      <c r="P475" s="516">
        <f t="shared" si="280"/>
        <v>6.4998919460218296E-2</v>
      </c>
      <c r="Q475" s="450">
        <f t="shared" si="280"/>
        <v>46086</v>
      </c>
      <c r="R475" s="450">
        <v>46178</v>
      </c>
      <c r="S475" s="509" t="s">
        <v>146</v>
      </c>
      <c r="T475" s="510">
        <f>Tabla3[[#This Row],[Cantidad]]*Tabla3[[#This Row],[Cortes]]</f>
        <v>3276.68</v>
      </c>
      <c r="U475" s="511">
        <f t="shared" si="265"/>
        <v>3238.6998220313853</v>
      </c>
      <c r="V475" s="511">
        <f t="shared" si="266"/>
        <v>3238.1277633565319</v>
      </c>
      <c r="W475" s="497">
        <f>IF(Tabla3[[#This Row],[Fecha de operación]]=$C$1,0,U475-V475)</f>
        <v>0.57205867485345152</v>
      </c>
      <c r="X475" s="512" t="str">
        <f t="shared" si="255"/>
        <v>Vigente</v>
      </c>
      <c r="Y475" s="517" t="s">
        <v>450</v>
      </c>
      <c r="Z475" s="449">
        <f t="shared" si="256"/>
        <v>66</v>
      </c>
      <c r="AA475" s="518">
        <f t="shared" si="281"/>
        <v>2.4676132192300604</v>
      </c>
      <c r="AB475" s="518">
        <f t="shared" si="281"/>
        <v>2.4272000610075048</v>
      </c>
      <c r="AC475" s="449" t="s">
        <v>451</v>
      </c>
      <c r="AD475" s="449" t="s">
        <v>454</v>
      </c>
      <c r="AG475" s="605">
        <f>+IF(Tabla3[[#This Row],[Amortización k | cupón de intereses]]="Amortización de K",Tabla3[[#This Row],[Valor Nominal]],0)</f>
        <v>0</v>
      </c>
      <c r="AH475" s="605">
        <f>+IF(AND(Tabla3[[#This Row],[Amortización k | cupón de intereses]]="Cupón de interés",Tabla3[[#This Row],[Estado]]="Vigente"),Tabla3[[#This Row],[Valor Nominal]],0)</f>
        <v>3276.68</v>
      </c>
      <c r="AI475" s="618">
        <f>+IF(Tabla3[[#This Row],[Amortización k | cupón de intereses]]="Amortización de K",SUMIFS($AH$7:$AH$557,Tabla3[Código Emisión],Tabla3[[#This Row],[Código Emisión]],Tabla3[Fecha de operación],Tabla3[[#This Row],[Fecha de operación]]),0)-Tabla3[[#This Row],[Accrued]]*Tabla3[[#This Row],[Valor Nominal]]</f>
        <v>0</v>
      </c>
      <c r="AJ475" s="605">
        <f>+IF(Tabla3[[#This Row],[Amortización k | cupón de intereses]]="Amortización de K",IF(Tabla3[[#This Row],[Precio Clean]]&gt;1,Tabla3[[#This Row],[Valor Nominal]]*(Tabla3[[#This Row],[Precio Clean]]-1),0),0)</f>
        <v>0</v>
      </c>
      <c r="AK475" s="605">
        <f>+IF(Tabla3[[#This Row],[Amortización k | cupón de intereses]]="Amortización de K",IF(Tabla3[[#This Row],[Precio Clean]]&lt;1,Tabla3[[#This Row],[Valor Nominal]]*(Tabla3[[#This Row],[Precio Clean]]-1),0),0)</f>
        <v>0</v>
      </c>
    </row>
    <row r="476" spans="1:37" ht="15">
      <c r="A476" s="500">
        <f>+A464+1</f>
        <v>47</v>
      </c>
      <c r="B476" s="475" t="s">
        <v>522</v>
      </c>
      <c r="C476" s="475" t="s">
        <v>621</v>
      </c>
      <c r="D476" s="475" t="s">
        <v>453</v>
      </c>
      <c r="E476" s="475" t="s">
        <v>449</v>
      </c>
      <c r="F476" s="475" t="s">
        <v>297</v>
      </c>
      <c r="G476" s="475" t="s">
        <v>298</v>
      </c>
      <c r="H476" s="475">
        <v>30</v>
      </c>
      <c r="I476" s="477">
        <v>50000</v>
      </c>
      <c r="J476" s="478">
        <v>6.5000000000000002E-2</v>
      </c>
      <c r="K476" s="479">
        <v>46091</v>
      </c>
      <c r="L476" s="478">
        <f>+Tabla3[[#This Row],[Tasa de Interés]]*($U$5-Tabla3[[#This Row],[Last coupon]])/365</f>
        <v>3.7397260273972603E-3</v>
      </c>
      <c r="M476" s="480">
        <f>+Tabla3[[#This Row],[Precio Dirty]]-Tabla3[[#This Row],[Accrued]]</f>
        <v>1.0013915667106981</v>
      </c>
      <c r="N476" s="481">
        <f>SUMIFS(U:U,C:C,C476,Q:Q,Q476)/SUMIFS(T:T,C:C,C476,Q:Q,Q476,AD:AD,"Amortización de K")</f>
        <v>1.0051312927380953</v>
      </c>
      <c r="O476" s="482">
        <v>6.605923473834989E-2</v>
      </c>
      <c r="P476" s="482">
        <v>6.4483131504643687E-2</v>
      </c>
      <c r="Q476" s="484">
        <v>46091</v>
      </c>
      <c r="R476" s="484">
        <v>47189</v>
      </c>
      <c r="S476" s="504" t="s">
        <v>146</v>
      </c>
      <c r="T476" s="505">
        <f>Tabla3[[#This Row],[Cantidad]]*Tabla3[[#This Row],[Cortes]]</f>
        <v>1500000</v>
      </c>
      <c r="U476" s="576">
        <f t="shared" si="265"/>
        <v>1241987.6798839115</v>
      </c>
      <c r="V476" s="576">
        <f t="shared" si="266"/>
        <v>1241770.0316275489</v>
      </c>
      <c r="W476" s="510">
        <f>IF(Tabla3[[#This Row],[Fecha de operación]]=$C$1,0,U476-V476)</f>
        <v>217.64825636264868</v>
      </c>
      <c r="X476" s="507" t="str">
        <f t="shared" si="255"/>
        <v>Vigente</v>
      </c>
      <c r="Y476" s="489" t="s">
        <v>450</v>
      </c>
      <c r="Z476" s="488">
        <f t="shared" si="256"/>
        <v>1077</v>
      </c>
      <c r="AA476" s="508">
        <f>IF(Y476="Mensual",DURATION($C$1,$C$1+Z476*12,J476/12,O476/12,1)/12,DURATION($C$1,R476,J476,O476,IF(Y476="Cupón cero",1,IF(Y476="Al vencimiento",1,IF(Y476="Anual",1,IF(Y476="Semestral",2,IF(Y476="Trimestral",4,"")))))))</f>
        <v>2.6965115127258117</v>
      </c>
      <c r="AB476" s="508">
        <f>IF(Y476="Mensual",MDURATION($C$1,$C$1+Z476*12,J476/12,O476/12,1)/12,MDURATION($C$1,R476,J476,O476,IF(Y476="Cupón cero",1,IF(Y476="Al vencimiento",1,IF(Y476="Anual",1,IF(Y476="Semestral",2,IF(Y476="Trimestral",4,"")))))))</f>
        <v>2.6527026361920001</v>
      </c>
      <c r="AC476" s="488" t="s">
        <v>451</v>
      </c>
      <c r="AD476" s="488" t="s">
        <v>452</v>
      </c>
      <c r="AF476" s="437">
        <f>+Tabla3[[#This Row],[Duration]]*50000*0.05%</f>
        <v>67.412787818145304</v>
      </c>
      <c r="AG476" s="605">
        <f>+IF(Tabla3[[#This Row],[Amortización k | cupón de intereses]]="Amortización de K",Tabla3[[#This Row],[Valor Nominal]],0)</f>
        <v>1500000</v>
      </c>
      <c r="AH476" s="605">
        <f>+IF(AND(Tabla3[[#This Row],[Amortización k | cupón de intereses]]="Cupón de interés",Tabla3[[#This Row],[Estado]]="Vigente"),Tabla3[[#This Row],[Valor Nominal]],0)</f>
        <v>0</v>
      </c>
      <c r="AI476" s="618">
        <f>+IF(Tabla3[[#This Row],[Amortización k | cupón de intereses]]="Amortización de K",SUMIFS($AH$7:$AH$557,Tabla3[Código Emisión],Tabla3[[#This Row],[Código Emisión]],Tabla3[Fecha de operación],Tabla3[[#This Row],[Fecha de operación]]),0)-Tabla3[[#This Row],[Accrued]]*Tabla3[[#This Row],[Valor Nominal]]</f>
        <v>287691.71095890412</v>
      </c>
      <c r="AJ476" s="605">
        <f>+IF(Tabla3[[#This Row],[Amortización k | cupón de intereses]]="Amortización de K",IF(Tabla3[[#This Row],[Precio Clean]]&gt;1,Tabla3[[#This Row],[Valor Nominal]]*(Tabla3[[#This Row],[Precio Clean]]-1),0),0)</f>
        <v>2087.3500660471</v>
      </c>
      <c r="AK476" s="605">
        <f>+IF(Tabla3[[#This Row],[Amortización k | cupón de intereses]]="Amortización de K",IF(Tabla3[[#This Row],[Precio Clean]]&lt;1,Tabla3[[#This Row],[Valor Nominal]]*(Tabla3[[#This Row],[Precio Clean]]-1),0),0)</f>
        <v>0</v>
      </c>
    </row>
    <row r="477" spans="1:37">
      <c r="A477" s="502"/>
      <c r="B477" s="437" t="str">
        <f t="shared" ref="B477:C489" si="282">+B476</f>
        <v>Zeta Banco SAECA</v>
      </c>
      <c r="C477" s="437" t="str">
        <f t="shared" si="282"/>
        <v>ZETA_6,50%_12032029_PROV1_50K</v>
      </c>
      <c r="D477" s="437" t="s">
        <v>453</v>
      </c>
      <c r="E477" s="437" t="str">
        <f>+E476</f>
        <v>AA-py</v>
      </c>
      <c r="F477" s="437" t="s">
        <v>297</v>
      </c>
      <c r="G477" s="437" t="s">
        <v>298</v>
      </c>
      <c r="H477" s="437">
        <f>+H476</f>
        <v>30</v>
      </c>
      <c r="I477" s="445">
        <v>160.29</v>
      </c>
      <c r="J477" s="462"/>
      <c r="K477" s="450"/>
      <c r="L477" s="462"/>
      <c r="M477" s="493"/>
      <c r="N477" s="493"/>
      <c r="O477" s="516">
        <f t="shared" ref="O477:Q489" si="283">+O476</f>
        <v>6.605923473834989E-2</v>
      </c>
      <c r="P477" s="516">
        <f t="shared" si="283"/>
        <v>6.4483131504643687E-2</v>
      </c>
      <c r="Q477" s="450">
        <f t="shared" si="283"/>
        <v>46091</v>
      </c>
      <c r="R477" s="450">
        <v>47189</v>
      </c>
      <c r="S477" s="509" t="s">
        <v>146</v>
      </c>
      <c r="T477" s="510">
        <f>Tabla3[[#This Row],[Cantidad]]*Tabla3[[#This Row],[Cortes]]</f>
        <v>4808.7</v>
      </c>
      <c r="U477" s="511">
        <f t="shared" si="265"/>
        <v>3981.5641041718436</v>
      </c>
      <c r="V477" s="511">
        <f t="shared" si="266"/>
        <v>3980.8663673915958</v>
      </c>
      <c r="W477" s="497">
        <f>IF(Tabla3[[#This Row],[Fecha de operación]]=$C$1,0,U477-V477)</f>
        <v>0.69773678024785113</v>
      </c>
      <c r="X477" s="512" t="str">
        <f t="shared" si="255"/>
        <v>Vigente</v>
      </c>
      <c r="Y477" s="517" t="s">
        <v>450</v>
      </c>
      <c r="Z477" s="449">
        <f t="shared" si="256"/>
        <v>1077</v>
      </c>
      <c r="AA477" s="518">
        <f t="shared" ref="AA477:AB489" si="284">+AA476</f>
        <v>2.6965115127258117</v>
      </c>
      <c r="AB477" s="518">
        <f t="shared" si="284"/>
        <v>2.6527026361920001</v>
      </c>
      <c r="AC477" s="449" t="s">
        <v>451</v>
      </c>
      <c r="AD477" s="449" t="s">
        <v>454</v>
      </c>
      <c r="AG477" s="605">
        <f>+IF(Tabla3[[#This Row],[Amortización k | cupón de intereses]]="Amortización de K",Tabla3[[#This Row],[Valor Nominal]],0)</f>
        <v>0</v>
      </c>
      <c r="AH477" s="605">
        <f>+IF(AND(Tabla3[[#This Row],[Amortización k | cupón de intereses]]="Cupón de interés",Tabla3[[#This Row],[Estado]]="Vigente"),Tabla3[[#This Row],[Valor Nominal]],0)</f>
        <v>4808.7</v>
      </c>
      <c r="AI477" s="618">
        <f>+IF(Tabla3[[#This Row],[Amortización k | cupón de intereses]]="Amortización de K",SUMIFS($AH$7:$AH$557,Tabla3[Código Emisión],Tabla3[[#This Row],[Código Emisión]],Tabla3[Fecha de operación],Tabla3[[#This Row],[Fecha de operación]]),0)-Tabla3[[#This Row],[Accrued]]*Tabla3[[#This Row],[Valor Nominal]]</f>
        <v>0</v>
      </c>
      <c r="AJ477" s="605">
        <f>+IF(Tabla3[[#This Row],[Amortización k | cupón de intereses]]="Amortización de K",IF(Tabla3[[#This Row],[Precio Clean]]&gt;1,Tabla3[[#This Row],[Valor Nominal]]*(Tabla3[[#This Row],[Precio Clean]]-1),0),0)</f>
        <v>0</v>
      </c>
      <c r="AK477" s="605">
        <f>+IF(Tabla3[[#This Row],[Amortización k | cupón de intereses]]="Amortización de K",IF(Tabla3[[#This Row],[Precio Clean]]&lt;1,Tabla3[[#This Row],[Valor Nominal]]*(Tabla3[[#This Row],[Precio Clean]]-1),0),0)</f>
        <v>0</v>
      </c>
    </row>
    <row r="478" spans="1:37">
      <c r="A478" s="502"/>
      <c r="B478" s="437" t="str">
        <f t="shared" si="282"/>
        <v>Zeta Banco SAECA</v>
      </c>
      <c r="C478" s="437" t="str">
        <f t="shared" si="282"/>
        <v>ZETA_6,50%_12032029_PROV1_50K</v>
      </c>
      <c r="D478" s="437" t="s">
        <v>453</v>
      </c>
      <c r="E478" s="437" t="str">
        <f t="shared" ref="E478:E489" si="285">+E477</f>
        <v>AA-py</v>
      </c>
      <c r="F478" s="437" t="s">
        <v>297</v>
      </c>
      <c r="G478" s="437" t="s">
        <v>298</v>
      </c>
      <c r="H478" s="437">
        <f t="shared" ref="H478:H489" si="286">+H477</f>
        <v>30</v>
      </c>
      <c r="I478" s="445">
        <v>801.37</v>
      </c>
      <c r="J478" s="462"/>
      <c r="K478" s="450"/>
      <c r="L478" s="462"/>
      <c r="M478" s="493"/>
      <c r="N478" s="493"/>
      <c r="O478" s="516">
        <f t="shared" si="283"/>
        <v>6.605923473834989E-2</v>
      </c>
      <c r="P478" s="516">
        <f t="shared" si="283"/>
        <v>6.4483131504643687E-2</v>
      </c>
      <c r="Q478" s="450">
        <f t="shared" si="283"/>
        <v>46091</v>
      </c>
      <c r="R478" s="450">
        <v>47171</v>
      </c>
      <c r="S478" s="509" t="s">
        <v>146</v>
      </c>
      <c r="T478" s="510">
        <f>Tabla3[[#This Row],[Cantidad]]*Tabla3[[#This Row],[Cortes]]</f>
        <v>24041.1</v>
      </c>
      <c r="U478" s="511">
        <f t="shared" si="265"/>
        <v>19968.728037487461</v>
      </c>
      <c r="V478" s="511">
        <f t="shared" si="266"/>
        <v>19965.228680038479</v>
      </c>
      <c r="W478" s="497">
        <f>IF(Tabla3[[#This Row],[Fecha de operación]]=$C$1,0,U478-V478)</f>
        <v>3.4993574489817547</v>
      </c>
      <c r="X478" s="512" t="str">
        <f t="shared" si="255"/>
        <v>Vigente</v>
      </c>
      <c r="Y478" s="517" t="s">
        <v>450</v>
      </c>
      <c r="Z478" s="449">
        <f t="shared" si="256"/>
        <v>1059</v>
      </c>
      <c r="AA478" s="518">
        <f t="shared" si="284"/>
        <v>2.6965115127258117</v>
      </c>
      <c r="AB478" s="518">
        <f t="shared" si="284"/>
        <v>2.6527026361920001</v>
      </c>
      <c r="AC478" s="449" t="s">
        <v>451</v>
      </c>
      <c r="AD478" s="449" t="s">
        <v>454</v>
      </c>
      <c r="AG478" s="605">
        <f>+IF(Tabla3[[#This Row],[Amortización k | cupón de intereses]]="Amortización de K",Tabla3[[#This Row],[Valor Nominal]],0)</f>
        <v>0</v>
      </c>
      <c r="AH478" s="605">
        <f>+IF(AND(Tabla3[[#This Row],[Amortización k | cupón de intereses]]="Cupón de interés",Tabla3[[#This Row],[Estado]]="Vigente"),Tabla3[[#This Row],[Valor Nominal]],0)</f>
        <v>24041.1</v>
      </c>
      <c r="AI478" s="618">
        <f>+IF(Tabla3[[#This Row],[Amortización k | cupón de intereses]]="Amortización de K",SUMIFS($AH$7:$AH$557,Tabla3[Código Emisión],Tabla3[[#This Row],[Código Emisión]],Tabla3[Fecha de operación],Tabla3[[#This Row],[Fecha de operación]]),0)-Tabla3[[#This Row],[Accrued]]*Tabla3[[#This Row],[Valor Nominal]]</f>
        <v>0</v>
      </c>
      <c r="AJ478" s="605">
        <f>+IF(Tabla3[[#This Row],[Amortización k | cupón de intereses]]="Amortización de K",IF(Tabla3[[#This Row],[Precio Clean]]&gt;1,Tabla3[[#This Row],[Valor Nominal]]*(Tabla3[[#This Row],[Precio Clean]]-1),0),0)</f>
        <v>0</v>
      </c>
      <c r="AK478" s="605">
        <f>+IF(Tabla3[[#This Row],[Amortización k | cupón de intereses]]="Amortización de K",IF(Tabla3[[#This Row],[Precio Clean]]&lt;1,Tabla3[[#This Row],[Valor Nominal]]*(Tabla3[[#This Row],[Precio Clean]]-1),0),0)</f>
        <v>0</v>
      </c>
    </row>
    <row r="479" spans="1:37">
      <c r="A479" s="502"/>
      <c r="B479" s="437" t="str">
        <f t="shared" si="282"/>
        <v>Zeta Banco SAECA</v>
      </c>
      <c r="C479" s="437" t="str">
        <f t="shared" si="282"/>
        <v>ZETA_6,50%_12032029_PROV1_50K</v>
      </c>
      <c r="D479" s="437" t="s">
        <v>453</v>
      </c>
      <c r="E479" s="437" t="str">
        <f t="shared" si="285"/>
        <v>AA-py</v>
      </c>
      <c r="F479" s="437" t="s">
        <v>297</v>
      </c>
      <c r="G479" s="437" t="s">
        <v>298</v>
      </c>
      <c r="H479" s="437">
        <f t="shared" si="286"/>
        <v>30</v>
      </c>
      <c r="I479" s="445">
        <v>783.56</v>
      </c>
      <c r="J479" s="462"/>
      <c r="K479" s="450"/>
      <c r="L479" s="462"/>
      <c r="M479" s="493"/>
      <c r="N479" s="493"/>
      <c r="O479" s="516">
        <f t="shared" si="283"/>
        <v>6.605923473834989E-2</v>
      </c>
      <c r="P479" s="516">
        <f t="shared" si="283"/>
        <v>6.4483131504643687E-2</v>
      </c>
      <c r="Q479" s="450">
        <f t="shared" si="283"/>
        <v>46091</v>
      </c>
      <c r="R479" s="450">
        <v>47081</v>
      </c>
      <c r="S479" s="509" t="s">
        <v>146</v>
      </c>
      <c r="T479" s="510">
        <f>Tabla3[[#This Row],[Cantidad]]*Tabla3[[#This Row],[Cortes]]</f>
        <v>23506.799999999999</v>
      </c>
      <c r="U479" s="511">
        <f t="shared" si="265"/>
        <v>19835.34561594926</v>
      </c>
      <c r="V479" s="511">
        <f t="shared" si="266"/>
        <v>19831.86963268663</v>
      </c>
      <c r="W479" s="497">
        <f>IF(Tabla3[[#This Row],[Fecha de operación]]=$C$1,0,U479-V479)</f>
        <v>3.4759832626295974</v>
      </c>
      <c r="X479" s="512" t="str">
        <f t="shared" si="255"/>
        <v>Vigente</v>
      </c>
      <c r="Y479" s="517" t="s">
        <v>450</v>
      </c>
      <c r="Z479" s="449">
        <f t="shared" si="256"/>
        <v>969</v>
      </c>
      <c r="AA479" s="518">
        <f t="shared" si="284"/>
        <v>2.6965115127258117</v>
      </c>
      <c r="AB479" s="518">
        <f t="shared" si="284"/>
        <v>2.6527026361920001</v>
      </c>
      <c r="AC479" s="449" t="s">
        <v>451</v>
      </c>
      <c r="AD479" s="449" t="s">
        <v>454</v>
      </c>
      <c r="AG479" s="605">
        <f>+IF(Tabla3[[#This Row],[Amortización k | cupón de intereses]]="Amortización de K",Tabla3[[#This Row],[Valor Nominal]],0)</f>
        <v>0</v>
      </c>
      <c r="AH479" s="605">
        <f>+IF(AND(Tabla3[[#This Row],[Amortización k | cupón de intereses]]="Cupón de interés",Tabla3[[#This Row],[Estado]]="Vigente"),Tabla3[[#This Row],[Valor Nominal]],0)</f>
        <v>23506.799999999999</v>
      </c>
      <c r="AI479" s="618">
        <f>+IF(Tabla3[[#This Row],[Amortización k | cupón de intereses]]="Amortización de K",SUMIFS($AH$7:$AH$557,Tabla3[Código Emisión],Tabla3[[#This Row],[Código Emisión]],Tabla3[Fecha de operación],Tabla3[[#This Row],[Fecha de operación]]),0)-Tabla3[[#This Row],[Accrued]]*Tabla3[[#This Row],[Valor Nominal]]</f>
        <v>0</v>
      </c>
      <c r="AJ479" s="605">
        <f>+IF(Tabla3[[#This Row],[Amortización k | cupón de intereses]]="Amortización de K",IF(Tabla3[[#This Row],[Precio Clean]]&gt;1,Tabla3[[#This Row],[Valor Nominal]]*(Tabla3[[#This Row],[Precio Clean]]-1),0),0)</f>
        <v>0</v>
      </c>
      <c r="AK479" s="605">
        <f>+IF(Tabla3[[#This Row],[Amortización k | cupón de intereses]]="Amortización de K",IF(Tabla3[[#This Row],[Precio Clean]]&lt;1,Tabla3[[#This Row],[Valor Nominal]]*(Tabla3[[#This Row],[Precio Clean]]-1),0),0)</f>
        <v>0</v>
      </c>
    </row>
    <row r="480" spans="1:37">
      <c r="A480" s="502"/>
      <c r="B480" s="437" t="str">
        <f t="shared" si="282"/>
        <v>Zeta Banco SAECA</v>
      </c>
      <c r="C480" s="437" t="str">
        <f t="shared" si="282"/>
        <v>ZETA_6,50%_12032029_PROV1_50K</v>
      </c>
      <c r="D480" s="437" t="s">
        <v>453</v>
      </c>
      <c r="E480" s="437" t="str">
        <f t="shared" si="285"/>
        <v>AA-py</v>
      </c>
      <c r="F480" s="437" t="s">
        <v>297</v>
      </c>
      <c r="G480" s="437" t="s">
        <v>298</v>
      </c>
      <c r="H480" s="437">
        <f t="shared" si="286"/>
        <v>30</v>
      </c>
      <c r="I480" s="445">
        <v>810.27</v>
      </c>
      <c r="J480" s="462"/>
      <c r="K480" s="450"/>
      <c r="L480" s="462"/>
      <c r="M480" s="493"/>
      <c r="N480" s="493"/>
      <c r="O480" s="516">
        <f t="shared" si="283"/>
        <v>6.605923473834989E-2</v>
      </c>
      <c r="P480" s="516">
        <f t="shared" si="283"/>
        <v>6.4483131504643687E-2</v>
      </c>
      <c r="Q480" s="450">
        <f t="shared" si="283"/>
        <v>46091</v>
      </c>
      <c r="R480" s="450">
        <v>46993</v>
      </c>
      <c r="S480" s="509" t="s">
        <v>146</v>
      </c>
      <c r="T480" s="510">
        <f>Tabla3[[#This Row],[Cantidad]]*Tabla3[[#This Row],[Cortes]]</f>
        <v>24308.1</v>
      </c>
      <c r="U480" s="511">
        <f t="shared" si="265"/>
        <v>20830.286353790267</v>
      </c>
      <c r="V480" s="511">
        <f t="shared" si="266"/>
        <v>20826.636015241929</v>
      </c>
      <c r="W480" s="497">
        <f>IF(Tabla3[[#This Row],[Fecha de operación]]=$C$1,0,U480-V480)</f>
        <v>3.6503385483374586</v>
      </c>
      <c r="X480" s="512" t="str">
        <f t="shared" si="255"/>
        <v>Vigente</v>
      </c>
      <c r="Y480" s="517" t="s">
        <v>450</v>
      </c>
      <c r="Z480" s="449">
        <f t="shared" si="256"/>
        <v>881</v>
      </c>
      <c r="AA480" s="518">
        <f t="shared" si="284"/>
        <v>2.6965115127258117</v>
      </c>
      <c r="AB480" s="518">
        <f t="shared" si="284"/>
        <v>2.6527026361920001</v>
      </c>
      <c r="AC480" s="449" t="s">
        <v>451</v>
      </c>
      <c r="AD480" s="449" t="s">
        <v>454</v>
      </c>
      <c r="AG480" s="605">
        <f>+IF(Tabla3[[#This Row],[Amortización k | cupón de intereses]]="Amortización de K",Tabla3[[#This Row],[Valor Nominal]],0)</f>
        <v>0</v>
      </c>
      <c r="AH480" s="605">
        <f>+IF(AND(Tabla3[[#This Row],[Amortización k | cupón de intereses]]="Cupón de interés",Tabla3[[#This Row],[Estado]]="Vigente"),Tabla3[[#This Row],[Valor Nominal]],0)</f>
        <v>24308.1</v>
      </c>
      <c r="AI480" s="618">
        <f>+IF(Tabla3[[#This Row],[Amortización k | cupón de intereses]]="Amortización de K",SUMIFS($AH$7:$AH$557,Tabla3[Código Emisión],Tabla3[[#This Row],[Código Emisión]],Tabla3[Fecha de operación],Tabla3[[#This Row],[Fecha de operación]]),0)-Tabla3[[#This Row],[Accrued]]*Tabla3[[#This Row],[Valor Nominal]]</f>
        <v>0</v>
      </c>
      <c r="AJ480" s="605">
        <f>+IF(Tabla3[[#This Row],[Amortización k | cupón de intereses]]="Amortización de K",IF(Tabla3[[#This Row],[Precio Clean]]&gt;1,Tabla3[[#This Row],[Valor Nominal]]*(Tabla3[[#This Row],[Precio Clean]]-1),0),0)</f>
        <v>0</v>
      </c>
      <c r="AK480" s="605">
        <f>+IF(Tabla3[[#This Row],[Amortización k | cupón de intereses]]="Amortización de K",IF(Tabla3[[#This Row],[Precio Clean]]&lt;1,Tabla3[[#This Row],[Valor Nominal]]*(Tabla3[[#This Row],[Precio Clean]]-1),0),0)</f>
        <v>0</v>
      </c>
    </row>
    <row r="481" spans="1:37">
      <c r="A481" s="502"/>
      <c r="B481" s="437" t="str">
        <f t="shared" si="282"/>
        <v>Zeta Banco SAECA</v>
      </c>
      <c r="C481" s="437" t="str">
        <f t="shared" si="282"/>
        <v>ZETA_6,50%_12032029_PROV1_50K</v>
      </c>
      <c r="D481" s="437" t="s">
        <v>453</v>
      </c>
      <c r="E481" s="437" t="str">
        <f t="shared" si="285"/>
        <v>AA-py</v>
      </c>
      <c r="F481" s="437" t="s">
        <v>297</v>
      </c>
      <c r="G481" s="437" t="s">
        <v>298</v>
      </c>
      <c r="H481" s="437">
        <f t="shared" si="286"/>
        <v>30</v>
      </c>
      <c r="I481" s="445">
        <v>810.27</v>
      </c>
      <c r="J481" s="462"/>
      <c r="K481" s="450"/>
      <c r="L481" s="462"/>
      <c r="M481" s="493"/>
      <c r="N481" s="493"/>
      <c r="O481" s="516">
        <f t="shared" si="283"/>
        <v>6.605923473834989E-2</v>
      </c>
      <c r="P481" s="516">
        <f t="shared" si="283"/>
        <v>6.4483131504643687E-2</v>
      </c>
      <c r="Q481" s="450">
        <f t="shared" si="283"/>
        <v>46091</v>
      </c>
      <c r="R481" s="450">
        <v>46902</v>
      </c>
      <c r="S481" s="509" t="s">
        <v>146</v>
      </c>
      <c r="T481" s="510">
        <f>Tabla3[[#This Row],[Cantidad]]*Tabla3[[#This Row],[Cortes]]</f>
        <v>24308.1</v>
      </c>
      <c r="U481" s="511">
        <f t="shared" si="265"/>
        <v>21165.15952018795</v>
      </c>
      <c r="V481" s="511">
        <f t="shared" si="266"/>
        <v>21161.450497836264</v>
      </c>
      <c r="W481" s="497">
        <f>IF(Tabla3[[#This Row],[Fecha de operación]]=$C$1,0,U481-V481)</f>
        <v>3.7090223516861442</v>
      </c>
      <c r="X481" s="512" t="str">
        <f t="shared" si="255"/>
        <v>Vigente</v>
      </c>
      <c r="Y481" s="517" t="s">
        <v>450</v>
      </c>
      <c r="Z481" s="449">
        <f t="shared" si="256"/>
        <v>790</v>
      </c>
      <c r="AA481" s="518">
        <f t="shared" si="284"/>
        <v>2.6965115127258117</v>
      </c>
      <c r="AB481" s="518">
        <f t="shared" si="284"/>
        <v>2.6527026361920001</v>
      </c>
      <c r="AC481" s="449" t="s">
        <v>451</v>
      </c>
      <c r="AD481" s="449" t="s">
        <v>454</v>
      </c>
      <c r="AG481" s="605">
        <f>+IF(Tabla3[[#This Row],[Amortización k | cupón de intereses]]="Amortización de K",Tabla3[[#This Row],[Valor Nominal]],0)</f>
        <v>0</v>
      </c>
      <c r="AH481" s="605">
        <f>+IF(AND(Tabla3[[#This Row],[Amortización k | cupón de intereses]]="Cupón de interés",Tabla3[[#This Row],[Estado]]="Vigente"),Tabla3[[#This Row],[Valor Nominal]],0)</f>
        <v>24308.1</v>
      </c>
      <c r="AI481" s="618">
        <f>+IF(Tabla3[[#This Row],[Amortización k | cupón de intereses]]="Amortización de K",SUMIFS($AH$7:$AH$557,Tabla3[Código Emisión],Tabla3[[#This Row],[Código Emisión]],Tabla3[Fecha de operación],Tabla3[[#This Row],[Fecha de operación]]),0)-Tabla3[[#This Row],[Accrued]]*Tabla3[[#This Row],[Valor Nominal]]</f>
        <v>0</v>
      </c>
      <c r="AJ481" s="605">
        <f>+IF(Tabla3[[#This Row],[Amortización k | cupón de intereses]]="Amortización de K",IF(Tabla3[[#This Row],[Precio Clean]]&gt;1,Tabla3[[#This Row],[Valor Nominal]]*(Tabla3[[#This Row],[Precio Clean]]-1),0),0)</f>
        <v>0</v>
      </c>
      <c r="AK481" s="605">
        <f>+IF(Tabla3[[#This Row],[Amortización k | cupón de intereses]]="Amortización de K",IF(Tabla3[[#This Row],[Precio Clean]]&lt;1,Tabla3[[#This Row],[Valor Nominal]]*(Tabla3[[#This Row],[Precio Clean]]-1),0),0)</f>
        <v>0</v>
      </c>
    </row>
    <row r="482" spans="1:37">
      <c r="A482" s="502"/>
      <c r="B482" s="437" t="str">
        <f t="shared" si="282"/>
        <v>Zeta Banco SAECA</v>
      </c>
      <c r="C482" s="437" t="str">
        <f t="shared" si="282"/>
        <v>ZETA_6,50%_12032029_PROV1_50K</v>
      </c>
      <c r="D482" s="437" t="s">
        <v>453</v>
      </c>
      <c r="E482" s="437" t="str">
        <f t="shared" si="285"/>
        <v>AA-py</v>
      </c>
      <c r="F482" s="437" t="s">
        <v>297</v>
      </c>
      <c r="G482" s="437" t="s">
        <v>298</v>
      </c>
      <c r="H482" s="437">
        <f t="shared" si="286"/>
        <v>30</v>
      </c>
      <c r="I482" s="445">
        <v>801.37</v>
      </c>
      <c r="J482" s="462"/>
      <c r="K482" s="450"/>
      <c r="L482" s="462"/>
      <c r="M482" s="493"/>
      <c r="N482" s="493"/>
      <c r="O482" s="516">
        <f t="shared" si="283"/>
        <v>6.605923473834989E-2</v>
      </c>
      <c r="P482" s="516">
        <f t="shared" si="283"/>
        <v>6.4483131504643687E-2</v>
      </c>
      <c r="Q482" s="450">
        <f t="shared" si="283"/>
        <v>46091</v>
      </c>
      <c r="R482" s="450">
        <v>46811</v>
      </c>
      <c r="S482" s="509" t="s">
        <v>146</v>
      </c>
      <c r="T482" s="510">
        <f>Tabla3[[#This Row],[Cantidad]]*Tabla3[[#This Row],[Cortes]]</f>
        <v>24041.1</v>
      </c>
      <c r="U482" s="511">
        <f t="shared" si="265"/>
        <v>21269.200855013372</v>
      </c>
      <c r="V482" s="511">
        <f t="shared" si="266"/>
        <v>21265.47360026254</v>
      </c>
      <c r="W482" s="497">
        <f>IF(Tabla3[[#This Row],[Fecha de operación]]=$C$1,0,U482-V482)</f>
        <v>3.7272547508327989</v>
      </c>
      <c r="X482" s="512" t="str">
        <f t="shared" si="255"/>
        <v>Vigente</v>
      </c>
      <c r="Y482" s="517" t="s">
        <v>450</v>
      </c>
      <c r="Z482" s="449">
        <f t="shared" si="256"/>
        <v>699</v>
      </c>
      <c r="AA482" s="518">
        <f t="shared" si="284"/>
        <v>2.6965115127258117</v>
      </c>
      <c r="AB482" s="518">
        <f t="shared" si="284"/>
        <v>2.6527026361920001</v>
      </c>
      <c r="AC482" s="449" t="s">
        <v>451</v>
      </c>
      <c r="AD482" s="449" t="s">
        <v>454</v>
      </c>
      <c r="AG482" s="605">
        <f>+IF(Tabla3[[#This Row],[Amortización k | cupón de intereses]]="Amortización de K",Tabla3[[#This Row],[Valor Nominal]],0)</f>
        <v>0</v>
      </c>
      <c r="AH482" s="605">
        <f>+IF(AND(Tabla3[[#This Row],[Amortización k | cupón de intereses]]="Cupón de interés",Tabla3[[#This Row],[Estado]]="Vigente"),Tabla3[[#This Row],[Valor Nominal]],0)</f>
        <v>24041.1</v>
      </c>
      <c r="AI482" s="618">
        <f>+IF(Tabla3[[#This Row],[Amortización k | cupón de intereses]]="Amortización de K",SUMIFS($AH$7:$AH$557,Tabla3[Código Emisión],Tabla3[[#This Row],[Código Emisión]],Tabla3[Fecha de operación],Tabla3[[#This Row],[Fecha de operación]]),0)-Tabla3[[#This Row],[Accrued]]*Tabla3[[#This Row],[Valor Nominal]]</f>
        <v>0</v>
      </c>
      <c r="AJ482" s="605">
        <f>+IF(Tabla3[[#This Row],[Amortización k | cupón de intereses]]="Amortización de K",IF(Tabla3[[#This Row],[Precio Clean]]&gt;1,Tabla3[[#This Row],[Valor Nominal]]*(Tabla3[[#This Row],[Precio Clean]]-1),0),0)</f>
        <v>0</v>
      </c>
      <c r="AK482" s="605">
        <f>+IF(Tabla3[[#This Row],[Amortización k | cupón de intereses]]="Amortización de K",IF(Tabla3[[#This Row],[Precio Clean]]&lt;1,Tabla3[[#This Row],[Valor Nominal]]*(Tabla3[[#This Row],[Precio Clean]]-1),0),0)</f>
        <v>0</v>
      </c>
    </row>
    <row r="483" spans="1:37">
      <c r="A483" s="502"/>
      <c r="B483" s="437" t="str">
        <f t="shared" si="282"/>
        <v>Zeta Banco SAECA</v>
      </c>
      <c r="C483" s="437" t="str">
        <f t="shared" si="282"/>
        <v>ZETA_6,50%_12032029_PROV1_50K</v>
      </c>
      <c r="D483" s="437" t="s">
        <v>453</v>
      </c>
      <c r="E483" s="437" t="str">
        <f t="shared" si="285"/>
        <v>AA-py</v>
      </c>
      <c r="F483" s="437" t="s">
        <v>297</v>
      </c>
      <c r="G483" s="437" t="s">
        <v>298</v>
      </c>
      <c r="H483" s="437">
        <f t="shared" si="286"/>
        <v>30</v>
      </c>
      <c r="I483" s="445">
        <v>801.37</v>
      </c>
      <c r="J483" s="462"/>
      <c r="K483" s="450"/>
      <c r="L483" s="462"/>
      <c r="M483" s="493"/>
      <c r="N483" s="493"/>
      <c r="O483" s="516">
        <f t="shared" si="283"/>
        <v>6.605923473834989E-2</v>
      </c>
      <c r="P483" s="516">
        <f t="shared" si="283"/>
        <v>6.4483131504643687E-2</v>
      </c>
      <c r="Q483" s="450">
        <f t="shared" si="283"/>
        <v>46091</v>
      </c>
      <c r="R483" s="450">
        <v>46721</v>
      </c>
      <c r="S483" s="509" t="s">
        <v>146</v>
      </c>
      <c r="T483" s="510">
        <f>Tabla3[[#This Row],[Cantidad]]*Tabla3[[#This Row],[Cortes]]</f>
        <v>24041.1</v>
      </c>
      <c r="U483" s="511">
        <f t="shared" si="265"/>
        <v>21607.342951385046</v>
      </c>
      <c r="V483" s="511">
        <f t="shared" si="266"/>
        <v>21603.556439977427</v>
      </c>
      <c r="W483" s="497">
        <f>IF(Tabla3[[#This Row],[Fecha de operación]]=$C$1,0,U483-V483)</f>
        <v>3.7865114076194004</v>
      </c>
      <c r="X483" s="512" t="str">
        <f t="shared" si="255"/>
        <v>Vigente</v>
      </c>
      <c r="Y483" s="517" t="s">
        <v>450</v>
      </c>
      <c r="Z483" s="449">
        <f t="shared" si="256"/>
        <v>609</v>
      </c>
      <c r="AA483" s="518">
        <f t="shared" si="284"/>
        <v>2.6965115127258117</v>
      </c>
      <c r="AB483" s="518">
        <f t="shared" si="284"/>
        <v>2.6527026361920001</v>
      </c>
      <c r="AC483" s="449" t="s">
        <v>451</v>
      </c>
      <c r="AD483" s="449" t="s">
        <v>454</v>
      </c>
      <c r="AG483" s="605">
        <f>+IF(Tabla3[[#This Row],[Amortización k | cupón de intereses]]="Amortización de K",Tabla3[[#This Row],[Valor Nominal]],0)</f>
        <v>0</v>
      </c>
      <c r="AH483" s="605">
        <f>+IF(AND(Tabla3[[#This Row],[Amortización k | cupón de intereses]]="Cupón de interés",Tabla3[[#This Row],[Estado]]="Vigente"),Tabla3[[#This Row],[Valor Nominal]],0)</f>
        <v>24041.1</v>
      </c>
      <c r="AI483" s="618">
        <f>+IF(Tabla3[[#This Row],[Amortización k | cupón de intereses]]="Amortización de K",SUMIFS($AH$7:$AH$557,Tabla3[Código Emisión],Tabla3[[#This Row],[Código Emisión]],Tabla3[Fecha de operación],Tabla3[[#This Row],[Fecha de operación]]),0)-Tabla3[[#This Row],[Accrued]]*Tabla3[[#This Row],[Valor Nominal]]</f>
        <v>0</v>
      </c>
      <c r="AJ483" s="605">
        <f>+IF(Tabla3[[#This Row],[Amortización k | cupón de intereses]]="Amortización de K",IF(Tabla3[[#This Row],[Precio Clean]]&gt;1,Tabla3[[#This Row],[Valor Nominal]]*(Tabla3[[#This Row],[Precio Clean]]-1),0),0)</f>
        <v>0</v>
      </c>
      <c r="AK483" s="605">
        <f>+IF(Tabla3[[#This Row],[Amortización k | cupón de intereses]]="Amortización de K",IF(Tabla3[[#This Row],[Precio Clean]]&lt;1,Tabla3[[#This Row],[Valor Nominal]]*(Tabla3[[#This Row],[Precio Clean]]-1),0),0)</f>
        <v>0</v>
      </c>
    </row>
    <row r="484" spans="1:37">
      <c r="A484" s="502"/>
      <c r="B484" s="437" t="str">
        <f t="shared" si="282"/>
        <v>Zeta Banco SAECA</v>
      </c>
      <c r="C484" s="437" t="str">
        <f t="shared" si="282"/>
        <v>ZETA_6,50%_12032029_PROV1_50K</v>
      </c>
      <c r="D484" s="437" t="s">
        <v>453</v>
      </c>
      <c r="E484" s="437" t="str">
        <f t="shared" si="285"/>
        <v>AA-py</v>
      </c>
      <c r="F484" s="437" t="s">
        <v>297</v>
      </c>
      <c r="G484" s="437" t="s">
        <v>298</v>
      </c>
      <c r="H484" s="437">
        <f t="shared" si="286"/>
        <v>30</v>
      </c>
      <c r="I484" s="445">
        <v>801.37</v>
      </c>
      <c r="J484" s="462"/>
      <c r="K484" s="450"/>
      <c r="L484" s="462"/>
      <c r="M484" s="493"/>
      <c r="N484" s="493"/>
      <c r="O484" s="516">
        <f t="shared" si="283"/>
        <v>6.605923473834989E-2</v>
      </c>
      <c r="P484" s="516">
        <f t="shared" si="283"/>
        <v>6.4483131504643687E-2</v>
      </c>
      <c r="Q484" s="450">
        <f t="shared" si="283"/>
        <v>46091</v>
      </c>
      <c r="R484" s="450">
        <v>46631</v>
      </c>
      <c r="S484" s="509" t="s">
        <v>146</v>
      </c>
      <c r="T484" s="510">
        <f>Tabla3[[#This Row],[Cantidad]]*Tabla3[[#This Row],[Cortes]]</f>
        <v>24041.1</v>
      </c>
      <c r="U484" s="511">
        <f t="shared" si="265"/>
        <v>21950.860899821775</v>
      </c>
      <c r="V484" s="511">
        <f t="shared" si="266"/>
        <v>21947.014189682948</v>
      </c>
      <c r="W484" s="497">
        <f>IF(Tabla3[[#This Row],[Fecha de operación]]=$C$1,0,U484-V484)</f>
        <v>3.8467101388268929</v>
      </c>
      <c r="X484" s="512" t="str">
        <f t="shared" si="255"/>
        <v>Vigente</v>
      </c>
      <c r="Y484" s="517" t="s">
        <v>450</v>
      </c>
      <c r="Z484" s="449">
        <f t="shared" si="256"/>
        <v>519</v>
      </c>
      <c r="AA484" s="518">
        <f t="shared" si="284"/>
        <v>2.6965115127258117</v>
      </c>
      <c r="AB484" s="518">
        <f t="shared" si="284"/>
        <v>2.6527026361920001</v>
      </c>
      <c r="AC484" s="449" t="s">
        <v>451</v>
      </c>
      <c r="AD484" s="449" t="s">
        <v>454</v>
      </c>
      <c r="AG484" s="605">
        <f>+IF(Tabla3[[#This Row],[Amortización k | cupón de intereses]]="Amortización de K",Tabla3[[#This Row],[Valor Nominal]],0)</f>
        <v>0</v>
      </c>
      <c r="AH484" s="605">
        <f>+IF(AND(Tabla3[[#This Row],[Amortización k | cupón de intereses]]="Cupón de interés",Tabla3[[#This Row],[Estado]]="Vigente"),Tabla3[[#This Row],[Valor Nominal]],0)</f>
        <v>24041.1</v>
      </c>
      <c r="AI484" s="618">
        <f>+IF(Tabla3[[#This Row],[Amortización k | cupón de intereses]]="Amortización de K",SUMIFS($AH$7:$AH$557,Tabla3[Código Emisión],Tabla3[[#This Row],[Código Emisión]],Tabla3[Fecha de operación],Tabla3[[#This Row],[Fecha de operación]]),0)-Tabla3[[#This Row],[Accrued]]*Tabla3[[#This Row],[Valor Nominal]]</f>
        <v>0</v>
      </c>
      <c r="AJ484" s="605">
        <f>+IF(Tabla3[[#This Row],[Amortización k | cupón de intereses]]="Amortización de K",IF(Tabla3[[#This Row],[Precio Clean]]&gt;1,Tabla3[[#This Row],[Valor Nominal]]*(Tabla3[[#This Row],[Precio Clean]]-1),0),0)</f>
        <v>0</v>
      </c>
      <c r="AK484" s="605">
        <f>+IF(Tabla3[[#This Row],[Amortización k | cupón de intereses]]="Amortización de K",IF(Tabla3[[#This Row],[Precio Clean]]&lt;1,Tabla3[[#This Row],[Valor Nominal]]*(Tabla3[[#This Row],[Precio Clean]]-1),0),0)</f>
        <v>0</v>
      </c>
    </row>
    <row r="485" spans="1:37">
      <c r="A485" s="502"/>
      <c r="B485" s="437" t="str">
        <f t="shared" si="282"/>
        <v>Zeta Banco SAECA</v>
      </c>
      <c r="C485" s="437" t="str">
        <f t="shared" si="282"/>
        <v>ZETA_6,50%_12032029_PROV1_50K</v>
      </c>
      <c r="D485" s="437" t="s">
        <v>453</v>
      </c>
      <c r="E485" s="437" t="str">
        <f t="shared" si="285"/>
        <v>AA-py</v>
      </c>
      <c r="F485" s="437" t="s">
        <v>297</v>
      </c>
      <c r="G485" s="437" t="s">
        <v>298</v>
      </c>
      <c r="H485" s="437">
        <f t="shared" si="286"/>
        <v>30</v>
      </c>
      <c r="I485" s="445">
        <v>801.37</v>
      </c>
      <c r="J485" s="462"/>
      <c r="K485" s="450"/>
      <c r="L485" s="462"/>
      <c r="M485" s="493"/>
      <c r="N485" s="493"/>
      <c r="O485" s="516">
        <f t="shared" si="283"/>
        <v>6.605923473834989E-2</v>
      </c>
      <c r="P485" s="516">
        <f t="shared" si="283"/>
        <v>6.4483131504643687E-2</v>
      </c>
      <c r="Q485" s="450">
        <f t="shared" si="283"/>
        <v>46091</v>
      </c>
      <c r="R485" s="450">
        <v>46541</v>
      </c>
      <c r="S485" s="509" t="s">
        <v>146</v>
      </c>
      <c r="T485" s="510">
        <f>Tabla3[[#This Row],[Cantidad]]*Tabla3[[#This Row],[Cortes]]</f>
        <v>24041.1</v>
      </c>
      <c r="U485" s="511">
        <f t="shared" si="265"/>
        <v>22299.840166716949</v>
      </c>
      <c r="V485" s="511">
        <f t="shared" si="266"/>
        <v>22295.932300795193</v>
      </c>
      <c r="W485" s="497">
        <f>IF(Tabla3[[#This Row],[Fecha de operación]]=$C$1,0,U485-V485)</f>
        <v>3.9078659217557288</v>
      </c>
      <c r="X485" s="512" t="str">
        <f t="shared" ref="X485:X489" si="287">IF(R485&lt;=$U$5,"Vencido","Vigente")</f>
        <v>Vigente</v>
      </c>
      <c r="Y485" s="517" t="s">
        <v>450</v>
      </c>
      <c r="Z485" s="449">
        <f t="shared" ref="Z485:Z489" si="288">+R485-$U$5</f>
        <v>429</v>
      </c>
      <c r="AA485" s="518">
        <f t="shared" si="284"/>
        <v>2.6965115127258117</v>
      </c>
      <c r="AB485" s="518">
        <f t="shared" si="284"/>
        <v>2.6527026361920001</v>
      </c>
      <c r="AC485" s="449" t="s">
        <v>451</v>
      </c>
      <c r="AD485" s="449" t="s">
        <v>454</v>
      </c>
      <c r="AG485" s="605">
        <f>+IF(Tabla3[[#This Row],[Amortización k | cupón de intereses]]="Amortización de K",Tabla3[[#This Row],[Valor Nominal]],0)</f>
        <v>0</v>
      </c>
      <c r="AH485" s="605">
        <f>+IF(AND(Tabla3[[#This Row],[Amortización k | cupón de intereses]]="Cupón de interés",Tabla3[[#This Row],[Estado]]="Vigente"),Tabla3[[#This Row],[Valor Nominal]],0)</f>
        <v>24041.1</v>
      </c>
      <c r="AI485" s="618">
        <f>+IF(Tabla3[[#This Row],[Amortización k | cupón de intereses]]="Amortización de K",SUMIFS($AH$7:$AH$557,Tabla3[Código Emisión],Tabla3[[#This Row],[Código Emisión]],Tabla3[Fecha de operación],Tabla3[[#This Row],[Fecha de operación]]),0)-Tabla3[[#This Row],[Accrued]]*Tabla3[[#This Row],[Valor Nominal]]</f>
        <v>0</v>
      </c>
      <c r="AJ485" s="605">
        <f>+IF(Tabla3[[#This Row],[Amortización k | cupón de intereses]]="Amortización de K",IF(Tabla3[[#This Row],[Precio Clean]]&gt;1,Tabla3[[#This Row],[Valor Nominal]]*(Tabla3[[#This Row],[Precio Clean]]-1),0),0)</f>
        <v>0</v>
      </c>
      <c r="AK485" s="605">
        <f>+IF(Tabla3[[#This Row],[Amortización k | cupón de intereses]]="Amortización de K",IF(Tabla3[[#This Row],[Precio Clean]]&lt;1,Tabla3[[#This Row],[Valor Nominal]]*(Tabla3[[#This Row],[Precio Clean]]-1),0),0)</f>
        <v>0</v>
      </c>
    </row>
    <row r="486" spans="1:37">
      <c r="A486" s="502"/>
      <c r="B486" s="437" t="str">
        <f t="shared" si="282"/>
        <v>Zeta Banco SAECA</v>
      </c>
      <c r="C486" s="437" t="str">
        <f t="shared" si="282"/>
        <v>ZETA_6,50%_12032029_PROV1_50K</v>
      </c>
      <c r="D486" s="437" t="s">
        <v>453</v>
      </c>
      <c r="E486" s="437" t="str">
        <f t="shared" si="285"/>
        <v>AA-py</v>
      </c>
      <c r="F486" s="437" t="s">
        <v>297</v>
      </c>
      <c r="G486" s="437" t="s">
        <v>298</v>
      </c>
      <c r="H486" s="437">
        <f t="shared" si="286"/>
        <v>30</v>
      </c>
      <c r="I486" s="445">
        <v>783.56</v>
      </c>
      <c r="J486" s="462"/>
      <c r="K486" s="450"/>
      <c r="L486" s="462"/>
      <c r="M486" s="493"/>
      <c r="N486" s="493"/>
      <c r="O486" s="516">
        <f t="shared" si="283"/>
        <v>6.605923473834989E-2</v>
      </c>
      <c r="P486" s="516">
        <f t="shared" si="283"/>
        <v>6.4483131504643687E-2</v>
      </c>
      <c r="Q486" s="450">
        <f t="shared" si="283"/>
        <v>46091</v>
      </c>
      <c r="R486" s="450">
        <v>46451</v>
      </c>
      <c r="S486" s="509" t="s">
        <v>146</v>
      </c>
      <c r="T486" s="510">
        <f>Tabla3[[#This Row],[Cantidad]]*Tabla3[[#This Row],[Cortes]]</f>
        <v>23506.799999999999</v>
      </c>
      <c r="U486" s="511">
        <f t="shared" si="265"/>
        <v>22150.886929647077</v>
      </c>
      <c r="V486" s="511">
        <f t="shared" si="266"/>
        <v>22147.005166570667</v>
      </c>
      <c r="W486" s="497">
        <f>IF(Tabla3[[#This Row],[Fecha de operación]]=$C$1,0,U486-V486)</f>
        <v>3.8817630764096975</v>
      </c>
      <c r="X486" s="512" t="str">
        <f t="shared" si="287"/>
        <v>Vigente</v>
      </c>
      <c r="Y486" s="517" t="s">
        <v>450</v>
      </c>
      <c r="Z486" s="449">
        <f t="shared" si="288"/>
        <v>339</v>
      </c>
      <c r="AA486" s="518">
        <f t="shared" si="284"/>
        <v>2.6965115127258117</v>
      </c>
      <c r="AB486" s="518">
        <f t="shared" si="284"/>
        <v>2.6527026361920001</v>
      </c>
      <c r="AC486" s="449" t="s">
        <v>451</v>
      </c>
      <c r="AD486" s="449" t="s">
        <v>454</v>
      </c>
      <c r="AG486" s="605">
        <f>+IF(Tabla3[[#This Row],[Amortización k | cupón de intereses]]="Amortización de K",Tabla3[[#This Row],[Valor Nominal]],0)</f>
        <v>0</v>
      </c>
      <c r="AH486" s="605">
        <f>+IF(AND(Tabla3[[#This Row],[Amortización k | cupón de intereses]]="Cupón de interés",Tabla3[[#This Row],[Estado]]="Vigente"),Tabla3[[#This Row],[Valor Nominal]],0)</f>
        <v>23506.799999999999</v>
      </c>
      <c r="AI486" s="618">
        <f>+IF(Tabla3[[#This Row],[Amortización k | cupón de intereses]]="Amortización de K",SUMIFS($AH$7:$AH$557,Tabla3[Código Emisión],Tabla3[[#This Row],[Código Emisión]],Tabla3[Fecha de operación],Tabla3[[#This Row],[Fecha de operación]]),0)-Tabla3[[#This Row],[Accrued]]*Tabla3[[#This Row],[Valor Nominal]]</f>
        <v>0</v>
      </c>
      <c r="AJ486" s="605">
        <f>+IF(Tabla3[[#This Row],[Amortización k | cupón de intereses]]="Amortización de K",IF(Tabla3[[#This Row],[Precio Clean]]&gt;1,Tabla3[[#This Row],[Valor Nominal]]*(Tabla3[[#This Row],[Precio Clean]]-1),0),0)</f>
        <v>0</v>
      </c>
      <c r="AK486" s="605">
        <f>+IF(Tabla3[[#This Row],[Amortización k | cupón de intereses]]="Amortización de K",IF(Tabla3[[#This Row],[Precio Clean]]&lt;1,Tabla3[[#This Row],[Valor Nominal]]*(Tabla3[[#This Row],[Precio Clean]]-1),0),0)</f>
        <v>0</v>
      </c>
    </row>
    <row r="487" spans="1:37">
      <c r="A487" s="502"/>
      <c r="B487" s="437" t="str">
        <f t="shared" si="282"/>
        <v>Zeta Banco SAECA</v>
      </c>
      <c r="C487" s="437" t="str">
        <f t="shared" si="282"/>
        <v>ZETA_6,50%_12032029_PROV1_50K</v>
      </c>
      <c r="D487" s="437" t="s">
        <v>453</v>
      </c>
      <c r="E487" s="437" t="str">
        <f t="shared" si="285"/>
        <v>AA-py</v>
      </c>
      <c r="F487" s="437" t="s">
        <v>297</v>
      </c>
      <c r="G487" s="437" t="s">
        <v>298</v>
      </c>
      <c r="H487" s="437">
        <f t="shared" si="286"/>
        <v>30</v>
      </c>
      <c r="I487" s="445">
        <v>810.27</v>
      </c>
      <c r="J487" s="462"/>
      <c r="K487" s="450"/>
      <c r="L487" s="462"/>
      <c r="M487" s="493"/>
      <c r="N487" s="493"/>
      <c r="O487" s="516">
        <f t="shared" si="283"/>
        <v>6.605923473834989E-2</v>
      </c>
      <c r="P487" s="516">
        <f t="shared" si="283"/>
        <v>6.4483131504643687E-2</v>
      </c>
      <c r="Q487" s="450">
        <f t="shared" si="283"/>
        <v>46091</v>
      </c>
      <c r="R487" s="450">
        <v>46363</v>
      </c>
      <c r="S487" s="509" t="s">
        <v>146</v>
      </c>
      <c r="T487" s="510">
        <f>Tabla3[[#This Row],[Cantidad]]*Tabla3[[#This Row],[Cortes]]</f>
        <v>24308.1</v>
      </c>
      <c r="U487" s="511">
        <f t="shared" si="265"/>
        <v>23261.97519663925</v>
      </c>
      <c r="V487" s="511">
        <f t="shared" si="266"/>
        <v>23257.898724365728</v>
      </c>
      <c r="W487" s="497">
        <f>IF(Tabla3[[#This Row],[Fecha de operación]]=$C$1,0,U487-V487)</f>
        <v>4.0764722735220857</v>
      </c>
      <c r="X487" s="512" t="str">
        <f t="shared" si="287"/>
        <v>Vigente</v>
      </c>
      <c r="Y487" s="517" t="s">
        <v>450</v>
      </c>
      <c r="Z487" s="449">
        <f t="shared" si="288"/>
        <v>251</v>
      </c>
      <c r="AA487" s="518">
        <f t="shared" si="284"/>
        <v>2.6965115127258117</v>
      </c>
      <c r="AB487" s="518">
        <f t="shared" si="284"/>
        <v>2.6527026361920001</v>
      </c>
      <c r="AC487" s="449" t="s">
        <v>451</v>
      </c>
      <c r="AD487" s="449" t="s">
        <v>454</v>
      </c>
      <c r="AG487" s="605">
        <f>+IF(Tabla3[[#This Row],[Amortización k | cupón de intereses]]="Amortización de K",Tabla3[[#This Row],[Valor Nominal]],0)</f>
        <v>0</v>
      </c>
      <c r="AH487" s="605">
        <f>+IF(AND(Tabla3[[#This Row],[Amortización k | cupón de intereses]]="Cupón de interés",Tabla3[[#This Row],[Estado]]="Vigente"),Tabla3[[#This Row],[Valor Nominal]],0)</f>
        <v>24308.1</v>
      </c>
      <c r="AI487" s="618">
        <f>+IF(Tabla3[[#This Row],[Amortización k | cupón de intereses]]="Amortización de K",SUMIFS($AH$7:$AH$557,Tabla3[Código Emisión],Tabla3[[#This Row],[Código Emisión]],Tabla3[Fecha de operación],Tabla3[[#This Row],[Fecha de operación]]),0)-Tabla3[[#This Row],[Accrued]]*Tabla3[[#This Row],[Valor Nominal]]</f>
        <v>0</v>
      </c>
      <c r="AJ487" s="605">
        <f>+IF(Tabla3[[#This Row],[Amortización k | cupón de intereses]]="Amortización de K",IF(Tabla3[[#This Row],[Precio Clean]]&gt;1,Tabla3[[#This Row],[Valor Nominal]]*(Tabla3[[#This Row],[Precio Clean]]-1),0),0)</f>
        <v>0</v>
      </c>
      <c r="AK487" s="605">
        <f>+IF(Tabla3[[#This Row],[Amortización k | cupón de intereses]]="Amortización de K",IF(Tabla3[[#This Row],[Precio Clean]]&lt;1,Tabla3[[#This Row],[Valor Nominal]]*(Tabla3[[#This Row],[Precio Clean]]-1),0),0)</f>
        <v>0</v>
      </c>
    </row>
    <row r="488" spans="1:37">
      <c r="A488" s="502"/>
      <c r="B488" s="437" t="str">
        <f t="shared" si="282"/>
        <v>Zeta Banco SAECA</v>
      </c>
      <c r="C488" s="437" t="str">
        <f t="shared" si="282"/>
        <v>ZETA_6,50%_12032029_PROV1_50K</v>
      </c>
      <c r="D488" s="437" t="s">
        <v>453</v>
      </c>
      <c r="E488" s="437" t="str">
        <f t="shared" si="285"/>
        <v>AA-py</v>
      </c>
      <c r="F488" s="437" t="s">
        <v>297</v>
      </c>
      <c r="G488" s="437" t="s">
        <v>298</v>
      </c>
      <c r="H488" s="437">
        <f t="shared" si="286"/>
        <v>30</v>
      </c>
      <c r="I488" s="445">
        <v>810.27</v>
      </c>
      <c r="J488" s="462"/>
      <c r="K488" s="450"/>
      <c r="L488" s="462"/>
      <c r="M488" s="493"/>
      <c r="N488" s="493"/>
      <c r="O488" s="516">
        <f t="shared" si="283"/>
        <v>6.605923473834989E-2</v>
      </c>
      <c r="P488" s="516">
        <f t="shared" si="283"/>
        <v>6.4483131504643687E-2</v>
      </c>
      <c r="Q488" s="450">
        <f t="shared" si="283"/>
        <v>46091</v>
      </c>
      <c r="R488" s="450">
        <v>46272</v>
      </c>
      <c r="S488" s="509" t="s">
        <v>146</v>
      </c>
      <c r="T488" s="510">
        <f>Tabla3[[#This Row],[Cantidad]]*Tabla3[[#This Row],[Cortes]]</f>
        <v>24308.1</v>
      </c>
      <c r="U488" s="511">
        <f t="shared" si="265"/>
        <v>23635.94083294677</v>
      </c>
      <c r="V488" s="511">
        <f t="shared" si="266"/>
        <v>23631.79882623196</v>
      </c>
      <c r="W488" s="497">
        <f>IF(Tabla3[[#This Row],[Fecha de operación]]=$C$1,0,U488-V488)</f>
        <v>4.1420067148101225</v>
      </c>
      <c r="X488" s="512" t="str">
        <f t="shared" si="287"/>
        <v>Vigente</v>
      </c>
      <c r="Y488" s="517" t="s">
        <v>450</v>
      </c>
      <c r="Z488" s="449">
        <f t="shared" si="288"/>
        <v>160</v>
      </c>
      <c r="AA488" s="518">
        <f t="shared" si="284"/>
        <v>2.6965115127258117</v>
      </c>
      <c r="AB488" s="518">
        <f t="shared" si="284"/>
        <v>2.6527026361920001</v>
      </c>
      <c r="AC488" s="449" t="s">
        <v>451</v>
      </c>
      <c r="AD488" s="449" t="s">
        <v>454</v>
      </c>
      <c r="AG488" s="605">
        <f>+IF(Tabla3[[#This Row],[Amortización k | cupón de intereses]]="Amortización de K",Tabla3[[#This Row],[Valor Nominal]],0)</f>
        <v>0</v>
      </c>
      <c r="AH488" s="605">
        <f>+IF(AND(Tabla3[[#This Row],[Amortización k | cupón de intereses]]="Cupón de interés",Tabla3[[#This Row],[Estado]]="Vigente"),Tabla3[[#This Row],[Valor Nominal]],0)</f>
        <v>24308.1</v>
      </c>
      <c r="AI488" s="618">
        <f>+IF(Tabla3[[#This Row],[Amortización k | cupón de intereses]]="Amortización de K",SUMIFS($AH$7:$AH$557,Tabla3[Código Emisión],Tabla3[[#This Row],[Código Emisión]],Tabla3[Fecha de operación],Tabla3[[#This Row],[Fecha de operación]]),0)-Tabla3[[#This Row],[Accrued]]*Tabla3[[#This Row],[Valor Nominal]]</f>
        <v>0</v>
      </c>
      <c r="AJ488" s="605">
        <f>+IF(Tabla3[[#This Row],[Amortización k | cupón de intereses]]="Amortización de K",IF(Tabla3[[#This Row],[Precio Clean]]&gt;1,Tabla3[[#This Row],[Valor Nominal]]*(Tabla3[[#This Row],[Precio Clean]]-1),0),0)</f>
        <v>0</v>
      </c>
      <c r="AK488" s="605">
        <f>+IF(Tabla3[[#This Row],[Amortización k | cupón de intereses]]="Amortización de K",IF(Tabla3[[#This Row],[Precio Clean]]&lt;1,Tabla3[[#This Row],[Valor Nominal]]*(Tabla3[[#This Row],[Precio Clean]]-1),0),0)</f>
        <v>0</v>
      </c>
    </row>
    <row r="489" spans="1:37">
      <c r="A489" s="502"/>
      <c r="B489" s="437" t="str">
        <f t="shared" si="282"/>
        <v>Zeta Banco SAECA</v>
      </c>
      <c r="C489" s="437" t="str">
        <f t="shared" si="282"/>
        <v>ZETA_6,50%_12032029_PROV1_50K</v>
      </c>
      <c r="D489" s="437" t="s">
        <v>453</v>
      </c>
      <c r="E489" s="437" t="str">
        <f t="shared" si="285"/>
        <v>AA-py</v>
      </c>
      <c r="F489" s="437" t="s">
        <v>297</v>
      </c>
      <c r="G489" s="437" t="s">
        <v>298</v>
      </c>
      <c r="H489" s="437">
        <f t="shared" si="286"/>
        <v>30</v>
      </c>
      <c r="I489" s="445">
        <v>801.37</v>
      </c>
      <c r="J489" s="462"/>
      <c r="K489" s="450"/>
      <c r="L489" s="462"/>
      <c r="M489" s="493"/>
      <c r="N489" s="493"/>
      <c r="O489" s="516">
        <f t="shared" si="283"/>
        <v>6.605923473834989E-2</v>
      </c>
      <c r="P489" s="516">
        <f t="shared" si="283"/>
        <v>6.4483131504643687E-2</v>
      </c>
      <c r="Q489" s="450">
        <f t="shared" si="283"/>
        <v>46091</v>
      </c>
      <c r="R489" s="450">
        <v>46181</v>
      </c>
      <c r="S489" s="509" t="s">
        <v>146</v>
      </c>
      <c r="T489" s="510">
        <f>Tabla3[[#This Row],[Cantidad]]*Tabla3[[#This Row],[Cortes]]</f>
        <v>24041.1</v>
      </c>
      <c r="U489" s="511">
        <f t="shared" si="265"/>
        <v>23752.12775947425</v>
      </c>
      <c r="V489" s="511">
        <f t="shared" si="266"/>
        <v>23747.96539194397</v>
      </c>
      <c r="W489" s="497">
        <f>IF(Tabla3[[#This Row],[Fecha de operación]]=$C$1,0,U489-V489)</f>
        <v>4.1623675302798802</v>
      </c>
      <c r="X489" s="512" t="str">
        <f t="shared" si="287"/>
        <v>Vigente</v>
      </c>
      <c r="Y489" s="517" t="s">
        <v>450</v>
      </c>
      <c r="Z489" s="449">
        <f t="shared" si="288"/>
        <v>69</v>
      </c>
      <c r="AA489" s="518">
        <f t="shared" si="284"/>
        <v>2.6965115127258117</v>
      </c>
      <c r="AB489" s="518">
        <f t="shared" si="284"/>
        <v>2.6527026361920001</v>
      </c>
      <c r="AC489" s="449" t="s">
        <v>451</v>
      </c>
      <c r="AD489" s="449" t="s">
        <v>454</v>
      </c>
      <c r="AG489" s="605">
        <f>+IF(Tabla3[[#This Row],[Amortización k | cupón de intereses]]="Amortización de K",Tabla3[[#This Row],[Valor Nominal]],0)</f>
        <v>0</v>
      </c>
      <c r="AH489" s="605">
        <f>+IF(AND(Tabla3[[#This Row],[Amortización k | cupón de intereses]]="Cupón de interés",Tabla3[[#This Row],[Estado]]="Vigente"),Tabla3[[#This Row],[Valor Nominal]],0)</f>
        <v>24041.1</v>
      </c>
      <c r="AI489" s="618">
        <f>+IF(Tabla3[[#This Row],[Amortización k | cupón de intereses]]="Amortización de K",SUMIFS($AH$7:$AH$557,Tabla3[Código Emisión],Tabla3[[#This Row],[Código Emisión]],Tabla3[Fecha de operación],Tabla3[[#This Row],[Fecha de operación]]),0)-Tabla3[[#This Row],[Accrued]]*Tabla3[[#This Row],[Valor Nominal]]</f>
        <v>0</v>
      </c>
      <c r="AJ489" s="605">
        <f>+IF(Tabla3[[#This Row],[Amortización k | cupón de intereses]]="Amortización de K",IF(Tabla3[[#This Row],[Precio Clean]]&gt;1,Tabla3[[#This Row],[Valor Nominal]]*(Tabla3[[#This Row],[Precio Clean]]-1),0),0)</f>
        <v>0</v>
      </c>
      <c r="AK489" s="605">
        <f>+IF(Tabla3[[#This Row],[Amortización k | cupón de intereses]]="Amortización de K",IF(Tabla3[[#This Row],[Precio Clean]]&lt;1,Tabla3[[#This Row],[Valor Nominal]]*(Tabla3[[#This Row],[Precio Clean]]-1),0),0)</f>
        <v>0</v>
      </c>
    </row>
    <row r="490" spans="1:37">
      <c r="A490" s="500">
        <f>+A476+1</f>
        <v>48</v>
      </c>
      <c r="B490" s="475" t="s">
        <v>519</v>
      </c>
      <c r="C490" s="475" t="s">
        <v>622</v>
      </c>
      <c r="D490" s="475" t="s">
        <v>602</v>
      </c>
      <c r="E490" s="475" t="s">
        <v>573</v>
      </c>
      <c r="F490" s="475" t="s">
        <v>520</v>
      </c>
      <c r="G490" s="475" t="s">
        <v>403</v>
      </c>
      <c r="H490" s="475">
        <v>500</v>
      </c>
      <c r="I490" s="477">
        <v>1000</v>
      </c>
      <c r="J490" s="478">
        <v>0</v>
      </c>
      <c r="K490" s="479">
        <f>_xlfn.MAXIFS(R:R,C:C,C490,AD:AD,"Cupón de interés",X:X,"Vencido")</f>
        <v>0</v>
      </c>
      <c r="L490" s="478">
        <f>+Tabla3[[#This Row],[Tasa de Interés]]*($U$5-Tabla3[[#This Row],[Last coupon]])/365</f>
        <v>0</v>
      </c>
      <c r="M490" s="503">
        <f>+Tabla3[[#This Row],[Precio Dirty]]-Tabla3[[#This Row],[Accrued]]</f>
        <v>0.99839887835428809</v>
      </c>
      <c r="N490" s="503">
        <f>SUMIFS(U:U,C:C,C490,Q:Q,Q490)/SUMIFS(T:T,C:C,C490,Q:Q,Q490,AD:AD,"Amortización de K")</f>
        <v>0.99839887835428809</v>
      </c>
      <c r="O490" s="482">
        <v>3.7231204698393805E-2</v>
      </c>
      <c r="P490" s="482">
        <v>3.660982948846539E-2</v>
      </c>
      <c r="Q490" s="484">
        <v>46098</v>
      </c>
      <c r="R490" s="484">
        <v>46128</v>
      </c>
      <c r="S490" s="504" t="s">
        <v>146</v>
      </c>
      <c r="T490" s="505">
        <f>Tabla3[[#This Row],[Cantidad]]*Tabla3[[#This Row],[Cortes]]</f>
        <v>500000</v>
      </c>
      <c r="U490" s="505">
        <f>IF(X490="VIgente",(T490/(1+O490)^((R490-$U$5)/365)))</f>
        <v>499199.43917714403</v>
      </c>
      <c r="V490" s="511">
        <f>IF(X490="VIgente",(T490/(1+O490)^((R490-$V$5)/365)))</f>
        <v>499149.44670663506</v>
      </c>
      <c r="W490" s="642">
        <f>IF(Tabla3[[#This Row],[Fecha de operación]]=$C$1,0,U490-V490)</f>
        <v>49.992470508965198</v>
      </c>
      <c r="X490" s="507" t="str">
        <f>IF(R490&lt;=$U$5,"Vencido","Vigente")</f>
        <v>Vigente</v>
      </c>
      <c r="Y490" s="489" t="s">
        <v>521</v>
      </c>
      <c r="Z490" s="488">
        <f>+R490-$U$5</f>
        <v>16</v>
      </c>
      <c r="AA490" s="508">
        <v>0</v>
      </c>
      <c r="AB490" s="508">
        <v>0</v>
      </c>
      <c r="AC490" s="488" t="s">
        <v>451</v>
      </c>
      <c r="AD490" s="488" t="s">
        <v>452</v>
      </c>
      <c r="AG490" s="605">
        <f>+IF(Tabla3[[#This Row],[Amortización k | cupón de intereses]]="Amortización de K",Tabla3[[#This Row],[Valor Nominal]],0)</f>
        <v>500000</v>
      </c>
      <c r="AH490" s="605">
        <f>+IF(AND(Tabla3[[#This Row],[Amortización k | cupón de intereses]]="Cupón de interés",Tabla3[[#This Row],[Estado]]="Vigente"),Tabla3[[#This Row],[Valor Nominal]],0)</f>
        <v>0</v>
      </c>
      <c r="AI490" s="618">
        <f>+IF(Tabla3[[#This Row],[Amortización k | cupón de intereses]]="Amortización de K",SUMIFS($AH$7:$AH$557,Tabla3[Código Emisión],Tabla3[[#This Row],[Código Emisión]],Tabla3[Fecha de operación],Tabla3[[#This Row],[Fecha de operación]]),0)-Tabla3[[#This Row],[Accrued]]*Tabla3[[#This Row],[Valor Nominal]]</f>
        <v>0</v>
      </c>
      <c r="AJ490" s="605">
        <f>+IF(Tabla3[[#This Row],[Amortización k | cupón de intereses]]="Amortización de K",IF(Tabla3[[#This Row],[Precio Clean]]&gt;1,Tabla3[[#This Row],[Valor Nominal]]*(Tabla3[[#This Row],[Precio Clean]]-1),0),0)</f>
        <v>0</v>
      </c>
      <c r="AK490" s="605">
        <f>+IF(Tabla3[[#This Row],[Amortización k | cupón de intereses]]="Amortización de K",IF(Tabla3[[#This Row],[Precio Clean]]&lt;1,Tabla3[[#This Row],[Valor Nominal]]*(Tabla3[[#This Row],[Precio Clean]]-1),0),0)</f>
        <v>-800.56082285595573</v>
      </c>
    </row>
    <row r="491" spans="1:37">
      <c r="A491" s="500">
        <f>+A490+1</f>
        <v>49</v>
      </c>
      <c r="B491" s="475" t="s">
        <v>504</v>
      </c>
      <c r="C491" s="475" t="s">
        <v>623</v>
      </c>
      <c r="D491" s="475" t="s">
        <v>453</v>
      </c>
      <c r="E491" s="475" t="s">
        <v>487</v>
      </c>
      <c r="F491" s="475" t="s">
        <v>297</v>
      </c>
      <c r="G491" s="475" t="s">
        <v>298</v>
      </c>
      <c r="H491" s="475">
        <v>2</v>
      </c>
      <c r="I491" s="477">
        <v>500000</v>
      </c>
      <c r="J491" s="478">
        <v>5.8500000000000003E-2</v>
      </c>
      <c r="K491" s="479">
        <v>46104</v>
      </c>
      <c r="L491" s="478">
        <f>+Tabla3[[#This Row],[Tasa de Interés]]*($U$5-Tabla3[[#This Row],[Last coupon]])/365</f>
        <v>1.282191780821918E-3</v>
      </c>
      <c r="M491" s="503">
        <f>+Tabla3[[#This Row],[Precio Dirty]]-Tabla3[[#This Row],[Accrued]]</f>
        <v>0.99999163964724347</v>
      </c>
      <c r="N491" s="503">
        <f>SUMIFS(U:U,C:C,C491,Q:Q,Q491)/SUMIFS(T:T,C:C,C491,Q:Q,Q491,AD:AD,"Amortización de K")</f>
        <v>1.0012738314280654</v>
      </c>
      <c r="O491" s="482">
        <v>5.9801319241523737E-2</v>
      </c>
      <c r="P491" s="482">
        <v>5.8505186240010332E-2</v>
      </c>
      <c r="Q491" s="484">
        <v>46104</v>
      </c>
      <c r="R491" s="484">
        <v>46825</v>
      </c>
      <c r="S491" s="475" t="s">
        <v>146</v>
      </c>
      <c r="T491" s="485">
        <f>Tabla3[[#This Row],[Cantidad]]*Tabla3[[#This Row],[Cortes]]</f>
        <v>1000000</v>
      </c>
      <c r="U491" s="505">
        <f t="shared" ref="U491:U499" si="289">IF(X491="VIgente",(T491/(1+O491)^((R491-$U$5)/365)))</f>
        <v>892741.91569418448</v>
      </c>
      <c r="V491" s="576">
        <f t="shared" ref="V491:V499" si="290">IF(X491="VIgente",(T491/(1+O491)^((R491-$V$5)/365)))</f>
        <v>892599.86740680959</v>
      </c>
      <c r="W491" s="510">
        <f>IF(Tabla3[[#This Row],[Fecha de operación]]=$C$1,0,U491-V491)</f>
        <v>142.04828737489879</v>
      </c>
      <c r="X491" s="507" t="str">
        <f t="shared" ref="X491:X513" si="291">IF(R491&lt;=$U$5,"Vencido","Vigente")</f>
        <v>Vigente</v>
      </c>
      <c r="Y491" s="489" t="s">
        <v>450</v>
      </c>
      <c r="Z491" s="488">
        <f t="shared" ref="Z491:Z513" si="292">+R491-$U$5</f>
        <v>713</v>
      </c>
      <c r="AA491" s="508">
        <f>IF(Y491="Mensual",DURATION($C$1,$C$1+Z491*12,J491/12,O491/12,1)/12,DURATION($C$1,R491,J491,O491,IF(Y491="Cupón cero",1,IF(Y491="Al vencimiento",1,IF(Y491="Anual",1,IF(Y491="Semestral",2,IF(Y491="Trimestral",4,"")))))))</f>
        <v>1.8518113048398064</v>
      </c>
      <c r="AB491" s="508">
        <f>IF(Y491="Mensual",MDURATION($C$1,$C$1+Z491*12,J491/12,O491/12,1)/12,MDURATION($C$1,R491,J491,O491,IF(Y491="Cupón cero",1,IF(Y491="Al vencimiento",1,IF(Y491="Anual",1,IF(Y491="Semestral",2,IF(Y491="Trimestral",4,"")))))))</f>
        <v>1.8245339209710614</v>
      </c>
      <c r="AC491" s="488" t="s">
        <v>451</v>
      </c>
      <c r="AD491" s="488" t="s">
        <v>452</v>
      </c>
      <c r="AG491" s="605">
        <f>+IF(Tabla3[[#This Row],[Amortización k | cupón de intereses]]="Amortización de K",Tabla3[[#This Row],[Valor Nominal]],0)</f>
        <v>1000000</v>
      </c>
      <c r="AH491" s="605">
        <f>+IF(AND(Tabla3[[#This Row],[Amortización k | cupón de intereses]]="Cupón de interés",Tabla3[[#This Row],[Estado]]="Vigente"),Tabla3[[#This Row],[Valor Nominal]],0)</f>
        <v>0</v>
      </c>
      <c r="AI491" s="618">
        <f>+IF(Tabla3[[#This Row],[Amortización k | cupón de intereses]]="Amortización de K",SUMIFS($AH$7:$AH$557,Tabla3[Código Emisión],Tabla3[[#This Row],[Código Emisión]],Tabla3[Fecha de operación],Tabla3[[#This Row],[Fecha de operación]]),0)-Tabla3[[#This Row],[Accrued]]*Tabla3[[#This Row],[Valor Nominal]]</f>
        <v>114275.34821917809</v>
      </c>
      <c r="AJ491" s="605">
        <f>+IF(Tabla3[[#This Row],[Amortización k | cupón de intereses]]="Amortización de K",IF(Tabla3[[#This Row],[Precio Clean]]&gt;1,Tabla3[[#This Row],[Valor Nominal]]*(Tabla3[[#This Row],[Precio Clean]]-1),0),0)</f>
        <v>0</v>
      </c>
      <c r="AK491" s="605">
        <f>+IF(Tabla3[[#This Row],[Amortización k | cupón de intereses]]="Amortización de K",IF(Tabla3[[#This Row],[Precio Clean]]&lt;1,Tabla3[[#This Row],[Valor Nominal]]*(Tabla3[[#This Row],[Precio Clean]]-1),0),0)</f>
        <v>-8.3603527565312419</v>
      </c>
    </row>
    <row r="492" spans="1:37">
      <c r="A492" s="502"/>
      <c r="B492" s="437" t="str">
        <f t="shared" ref="B492:C499" si="293">+B491</f>
        <v>Sudameris Bank SAECA</v>
      </c>
      <c r="C492" s="437" t="str">
        <f t="shared" si="293"/>
        <v>HSUD_5,85%_13032028_PROV1_500K</v>
      </c>
      <c r="D492" s="437" t="s">
        <v>453</v>
      </c>
      <c r="E492" s="437" t="str">
        <f>+E491</f>
        <v>AA+py</v>
      </c>
      <c r="F492" s="437" t="s">
        <v>297</v>
      </c>
      <c r="G492" s="437" t="s">
        <v>298</v>
      </c>
      <c r="H492" s="437">
        <f>+H491</f>
        <v>2</v>
      </c>
      <c r="I492" s="445">
        <v>7292.46</v>
      </c>
      <c r="J492" s="462"/>
      <c r="K492" s="450"/>
      <c r="L492" s="462"/>
      <c r="M492" s="493"/>
      <c r="N492" s="493"/>
      <c r="O492" s="516">
        <f t="shared" ref="O492:Q499" si="294">+O491</f>
        <v>5.9801319241523737E-2</v>
      </c>
      <c r="P492" s="516">
        <f t="shared" si="294"/>
        <v>5.8505186240010332E-2</v>
      </c>
      <c r="Q492" s="450">
        <f t="shared" si="294"/>
        <v>46104</v>
      </c>
      <c r="R492" s="450">
        <v>46825</v>
      </c>
      <c r="S492" s="509" t="s">
        <v>146</v>
      </c>
      <c r="T492" s="495">
        <f>Tabla3[[#This Row],[Cantidad]]*Tabla3[[#This Row],[Cortes]]</f>
        <v>14584.92</v>
      </c>
      <c r="U492" s="510">
        <f t="shared" si="289"/>
        <v>13020.569421046426</v>
      </c>
      <c r="V492" s="511">
        <f t="shared" si="290"/>
        <v>13018.497658138926</v>
      </c>
      <c r="W492" s="497">
        <f>IF(Tabla3[[#This Row],[Fecha de operación]]=$C$1,0,U492-V492)</f>
        <v>2.0717629075006698</v>
      </c>
      <c r="X492" s="512" t="str">
        <f t="shared" si="291"/>
        <v>Vigente</v>
      </c>
      <c r="Y492" s="517" t="s">
        <v>450</v>
      </c>
      <c r="Z492" s="449">
        <f t="shared" si="292"/>
        <v>713</v>
      </c>
      <c r="AA492" s="518">
        <f t="shared" ref="AA492:AB499" si="295">+AA491</f>
        <v>1.8518113048398064</v>
      </c>
      <c r="AB492" s="518">
        <f t="shared" si="295"/>
        <v>1.8245339209710614</v>
      </c>
      <c r="AC492" s="449" t="s">
        <v>451</v>
      </c>
      <c r="AD492" s="449" t="s">
        <v>454</v>
      </c>
      <c r="AG492" s="605">
        <f>+IF(Tabla3[[#This Row],[Amortización k | cupón de intereses]]="Amortización de K",Tabla3[[#This Row],[Valor Nominal]],0)</f>
        <v>0</v>
      </c>
      <c r="AH492" s="605">
        <f>+IF(AND(Tabla3[[#This Row],[Amortización k | cupón de intereses]]="Cupón de interés",Tabla3[[#This Row],[Estado]]="Vigente"),Tabla3[[#This Row],[Valor Nominal]],0)</f>
        <v>14584.92</v>
      </c>
      <c r="AI492" s="618">
        <f>+IF(Tabla3[[#This Row],[Amortización k | cupón de intereses]]="Amortización de K",SUMIFS($AH$7:$AH$557,Tabla3[Código Emisión],Tabla3[[#This Row],[Código Emisión]],Tabla3[Fecha de operación],Tabla3[[#This Row],[Fecha de operación]]),0)-Tabla3[[#This Row],[Accrued]]*Tabla3[[#This Row],[Valor Nominal]]</f>
        <v>0</v>
      </c>
      <c r="AJ492" s="605">
        <f>+IF(Tabla3[[#This Row],[Amortización k | cupón de intereses]]="Amortización de K",IF(Tabla3[[#This Row],[Precio Clean]]&gt;1,Tabla3[[#This Row],[Valor Nominal]]*(Tabla3[[#This Row],[Precio Clean]]-1),0),0)</f>
        <v>0</v>
      </c>
      <c r="AK492" s="605">
        <f>+IF(Tabla3[[#This Row],[Amortización k | cupón de intereses]]="Amortización de K",IF(Tabla3[[#This Row],[Precio Clean]]&lt;1,Tabla3[[#This Row],[Valor Nominal]]*(Tabla3[[#This Row],[Precio Clean]]-1),0),0)</f>
        <v>0</v>
      </c>
    </row>
    <row r="493" spans="1:37">
      <c r="A493" s="502"/>
      <c r="B493" s="437" t="str">
        <f t="shared" si="293"/>
        <v>Sudameris Bank SAECA</v>
      </c>
      <c r="C493" s="437" t="str">
        <f t="shared" si="293"/>
        <v>HSUD_5,85%_13032028_PROV1_500K</v>
      </c>
      <c r="D493" s="437" t="s">
        <v>453</v>
      </c>
      <c r="E493" s="437" t="str">
        <f t="shared" ref="E493:E499" si="296">+E492</f>
        <v>AA+py</v>
      </c>
      <c r="F493" s="437" t="s">
        <v>297</v>
      </c>
      <c r="G493" s="437" t="s">
        <v>298</v>
      </c>
      <c r="H493" s="437">
        <f t="shared" ref="H493:H499" si="297">+H492</f>
        <v>2</v>
      </c>
      <c r="I493" s="445">
        <v>7212.33</v>
      </c>
      <c r="J493" s="462"/>
      <c r="K493" s="450"/>
      <c r="L493" s="462"/>
      <c r="M493" s="493"/>
      <c r="N493" s="493"/>
      <c r="O493" s="516">
        <f t="shared" si="294"/>
        <v>5.9801319241523737E-2</v>
      </c>
      <c r="P493" s="516">
        <f t="shared" si="294"/>
        <v>5.8505186240010332E-2</v>
      </c>
      <c r="Q493" s="450">
        <f t="shared" si="294"/>
        <v>46104</v>
      </c>
      <c r="R493" s="450">
        <v>46734</v>
      </c>
      <c r="S493" s="509" t="s">
        <v>146</v>
      </c>
      <c r="T493" s="495">
        <f>Tabla3[[#This Row],[Cantidad]]*Tabla3[[#This Row],[Cortes]]</f>
        <v>14424.66</v>
      </c>
      <c r="U493" s="510">
        <f t="shared" si="289"/>
        <v>13065.328942244761</v>
      </c>
      <c r="V493" s="511">
        <f t="shared" si="290"/>
        <v>13063.25005744322</v>
      </c>
      <c r="W493" s="497">
        <f>IF(Tabla3[[#This Row],[Fecha de operación]]=$C$1,0,U493-V493)</f>
        <v>2.0788848015417898</v>
      </c>
      <c r="X493" s="512" t="str">
        <f t="shared" si="291"/>
        <v>Vigente</v>
      </c>
      <c r="Y493" s="517" t="s">
        <v>450</v>
      </c>
      <c r="Z493" s="449">
        <f t="shared" si="292"/>
        <v>622</v>
      </c>
      <c r="AA493" s="518">
        <f t="shared" si="295"/>
        <v>1.8518113048398064</v>
      </c>
      <c r="AB493" s="518">
        <f t="shared" si="295"/>
        <v>1.8245339209710614</v>
      </c>
      <c r="AC493" s="449" t="s">
        <v>451</v>
      </c>
      <c r="AD493" s="449" t="s">
        <v>454</v>
      </c>
      <c r="AG493" s="605">
        <f>+IF(Tabla3[[#This Row],[Amortización k | cupón de intereses]]="Amortización de K",Tabla3[[#This Row],[Valor Nominal]],0)</f>
        <v>0</v>
      </c>
      <c r="AH493" s="605">
        <f>+IF(AND(Tabla3[[#This Row],[Amortización k | cupón de intereses]]="Cupón de interés",Tabla3[[#This Row],[Estado]]="Vigente"),Tabla3[[#This Row],[Valor Nominal]],0)</f>
        <v>14424.66</v>
      </c>
      <c r="AI493" s="618">
        <f>+IF(Tabla3[[#This Row],[Amortización k | cupón de intereses]]="Amortización de K",SUMIFS($AH$7:$AH$557,Tabla3[Código Emisión],Tabla3[[#This Row],[Código Emisión]],Tabla3[Fecha de operación],Tabla3[[#This Row],[Fecha de operación]]),0)-Tabla3[[#This Row],[Accrued]]*Tabla3[[#This Row],[Valor Nominal]]</f>
        <v>0</v>
      </c>
      <c r="AJ493" s="605">
        <f>+IF(Tabla3[[#This Row],[Amortización k | cupón de intereses]]="Amortización de K",IF(Tabla3[[#This Row],[Precio Clean]]&gt;1,Tabla3[[#This Row],[Valor Nominal]]*(Tabla3[[#This Row],[Precio Clean]]-1),0),0)</f>
        <v>0</v>
      </c>
      <c r="AK493" s="605">
        <f>+IF(Tabla3[[#This Row],[Amortización k | cupón de intereses]]="Amortización de K",IF(Tabla3[[#This Row],[Precio Clean]]&lt;1,Tabla3[[#This Row],[Valor Nominal]]*(Tabla3[[#This Row],[Precio Clean]]-1),0),0)</f>
        <v>0</v>
      </c>
    </row>
    <row r="494" spans="1:37">
      <c r="A494" s="502"/>
      <c r="B494" s="437" t="str">
        <f t="shared" si="293"/>
        <v>Sudameris Bank SAECA</v>
      </c>
      <c r="C494" s="437" t="str">
        <f t="shared" si="293"/>
        <v>HSUD_5,85%_13032028_PROV1_500K</v>
      </c>
      <c r="D494" s="437" t="s">
        <v>453</v>
      </c>
      <c r="E494" s="437" t="str">
        <f t="shared" si="296"/>
        <v>AA+py</v>
      </c>
      <c r="F494" s="437" t="s">
        <v>297</v>
      </c>
      <c r="G494" s="437" t="s">
        <v>298</v>
      </c>
      <c r="H494" s="437">
        <f t="shared" si="297"/>
        <v>2</v>
      </c>
      <c r="I494" s="445">
        <v>7212.33</v>
      </c>
      <c r="J494" s="462"/>
      <c r="K494" s="450"/>
      <c r="L494" s="462"/>
      <c r="M494" s="493"/>
      <c r="N494" s="493"/>
      <c r="O494" s="516">
        <f t="shared" si="294"/>
        <v>5.9801319241523737E-2</v>
      </c>
      <c r="P494" s="516">
        <f t="shared" si="294"/>
        <v>5.8505186240010332E-2</v>
      </c>
      <c r="Q494" s="450">
        <f t="shared" si="294"/>
        <v>46104</v>
      </c>
      <c r="R494" s="450">
        <v>46644</v>
      </c>
      <c r="S494" s="509" t="s">
        <v>146</v>
      </c>
      <c r="T494" s="495">
        <f>Tabla3[[#This Row],[Cantidad]]*Tabla3[[#This Row],[Cortes]]</f>
        <v>14424.66</v>
      </c>
      <c r="U494" s="510">
        <f t="shared" si="289"/>
        <v>13253.789756466627</v>
      </c>
      <c r="V494" s="511">
        <f t="shared" si="290"/>
        <v>13251.680884794943</v>
      </c>
      <c r="W494" s="497">
        <f>IF(Tabla3[[#This Row],[Fecha de operación]]=$C$1,0,U494-V494)</f>
        <v>2.1088716716840281</v>
      </c>
      <c r="X494" s="512" t="str">
        <f t="shared" si="291"/>
        <v>Vigente</v>
      </c>
      <c r="Y494" s="517" t="s">
        <v>450</v>
      </c>
      <c r="Z494" s="449">
        <f t="shared" si="292"/>
        <v>532</v>
      </c>
      <c r="AA494" s="518">
        <f t="shared" si="295"/>
        <v>1.8518113048398064</v>
      </c>
      <c r="AB494" s="518">
        <f t="shared" si="295"/>
        <v>1.8245339209710614</v>
      </c>
      <c r="AC494" s="449" t="s">
        <v>451</v>
      </c>
      <c r="AD494" s="449" t="s">
        <v>454</v>
      </c>
      <c r="AG494" s="605">
        <f>+IF(Tabla3[[#This Row],[Amortización k | cupón de intereses]]="Amortización de K",Tabla3[[#This Row],[Valor Nominal]],0)</f>
        <v>0</v>
      </c>
      <c r="AH494" s="605">
        <f>+IF(AND(Tabla3[[#This Row],[Amortización k | cupón de intereses]]="Cupón de interés",Tabla3[[#This Row],[Estado]]="Vigente"),Tabla3[[#This Row],[Valor Nominal]],0)</f>
        <v>14424.66</v>
      </c>
      <c r="AI494" s="618">
        <f>+IF(Tabla3[[#This Row],[Amortización k | cupón de intereses]]="Amortización de K",SUMIFS($AH$7:$AH$557,Tabla3[Código Emisión],Tabla3[[#This Row],[Código Emisión]],Tabla3[Fecha de operación],Tabla3[[#This Row],[Fecha de operación]]),0)-Tabla3[[#This Row],[Accrued]]*Tabla3[[#This Row],[Valor Nominal]]</f>
        <v>0</v>
      </c>
      <c r="AJ494" s="605">
        <f>+IF(Tabla3[[#This Row],[Amortización k | cupón de intereses]]="Amortización de K",IF(Tabla3[[#This Row],[Precio Clean]]&gt;1,Tabla3[[#This Row],[Valor Nominal]]*(Tabla3[[#This Row],[Precio Clean]]-1),0),0)</f>
        <v>0</v>
      </c>
      <c r="AK494" s="605">
        <f>+IF(Tabla3[[#This Row],[Amortización k | cupón de intereses]]="Amortización de K",IF(Tabla3[[#This Row],[Precio Clean]]&lt;1,Tabla3[[#This Row],[Valor Nominal]]*(Tabla3[[#This Row],[Precio Clean]]-1),0),0)</f>
        <v>0</v>
      </c>
    </row>
    <row r="495" spans="1:37">
      <c r="A495" s="502"/>
      <c r="B495" s="437" t="str">
        <f t="shared" si="293"/>
        <v>Sudameris Bank SAECA</v>
      </c>
      <c r="C495" s="437" t="str">
        <f t="shared" si="293"/>
        <v>HSUD_5,85%_13032028_PROV1_500K</v>
      </c>
      <c r="D495" s="437" t="s">
        <v>453</v>
      </c>
      <c r="E495" s="437" t="str">
        <f t="shared" si="296"/>
        <v>AA+py</v>
      </c>
      <c r="F495" s="437" t="s">
        <v>297</v>
      </c>
      <c r="G495" s="437" t="s">
        <v>298</v>
      </c>
      <c r="H495" s="437">
        <f t="shared" si="297"/>
        <v>2</v>
      </c>
      <c r="I495" s="445">
        <v>7212.33</v>
      </c>
      <c r="J495" s="462"/>
      <c r="K495" s="450"/>
      <c r="L495" s="462"/>
      <c r="M495" s="493"/>
      <c r="N495" s="493"/>
      <c r="O495" s="516">
        <f t="shared" si="294"/>
        <v>5.9801319241523737E-2</v>
      </c>
      <c r="P495" s="516">
        <f t="shared" si="294"/>
        <v>5.8505186240010332E-2</v>
      </c>
      <c r="Q495" s="450">
        <f t="shared" si="294"/>
        <v>46104</v>
      </c>
      <c r="R495" s="450">
        <v>46554</v>
      </c>
      <c r="S495" s="509" t="s">
        <v>146</v>
      </c>
      <c r="T495" s="495">
        <f>Tabla3[[#This Row],[Cantidad]]*Tabla3[[#This Row],[Cortes]]</f>
        <v>14424.66</v>
      </c>
      <c r="U495" s="510">
        <f t="shared" si="289"/>
        <v>13444.969023369949</v>
      </c>
      <c r="V495" s="511">
        <f t="shared" si="290"/>
        <v>13442.829732282566</v>
      </c>
      <c r="W495" s="497">
        <f>IF(Tabla3[[#This Row],[Fecha de operación]]=$C$1,0,U495-V495)</f>
        <v>2.1392910873837536</v>
      </c>
      <c r="X495" s="512" t="str">
        <f t="shared" si="291"/>
        <v>Vigente</v>
      </c>
      <c r="Y495" s="517" t="s">
        <v>450</v>
      </c>
      <c r="Z495" s="449">
        <f t="shared" si="292"/>
        <v>442</v>
      </c>
      <c r="AA495" s="518">
        <f t="shared" si="295"/>
        <v>1.8518113048398064</v>
      </c>
      <c r="AB495" s="518">
        <f t="shared" si="295"/>
        <v>1.8245339209710614</v>
      </c>
      <c r="AC495" s="449" t="s">
        <v>451</v>
      </c>
      <c r="AD495" s="449" t="s">
        <v>454</v>
      </c>
      <c r="AG495" s="605">
        <f>+IF(Tabla3[[#This Row],[Amortización k | cupón de intereses]]="Amortización de K",Tabla3[[#This Row],[Valor Nominal]],0)</f>
        <v>0</v>
      </c>
      <c r="AH495" s="605">
        <f>+IF(AND(Tabla3[[#This Row],[Amortización k | cupón de intereses]]="Cupón de interés",Tabla3[[#This Row],[Estado]]="Vigente"),Tabla3[[#This Row],[Valor Nominal]],0)</f>
        <v>14424.66</v>
      </c>
      <c r="AI495" s="618">
        <f>+IF(Tabla3[[#This Row],[Amortización k | cupón de intereses]]="Amortización de K",SUMIFS($AH$7:$AH$557,Tabla3[Código Emisión],Tabla3[[#This Row],[Código Emisión]],Tabla3[Fecha de operación],Tabla3[[#This Row],[Fecha de operación]]),0)-Tabla3[[#This Row],[Accrued]]*Tabla3[[#This Row],[Valor Nominal]]</f>
        <v>0</v>
      </c>
      <c r="AJ495" s="605">
        <f>+IF(Tabla3[[#This Row],[Amortización k | cupón de intereses]]="Amortización de K",IF(Tabla3[[#This Row],[Precio Clean]]&gt;1,Tabla3[[#This Row],[Valor Nominal]]*(Tabla3[[#This Row],[Precio Clean]]-1),0),0)</f>
        <v>0</v>
      </c>
      <c r="AK495" s="605">
        <f>+IF(Tabla3[[#This Row],[Amortización k | cupón de intereses]]="Amortización de K",IF(Tabla3[[#This Row],[Precio Clean]]&lt;1,Tabla3[[#This Row],[Valor Nominal]]*(Tabla3[[#This Row],[Precio Clean]]-1),0),0)</f>
        <v>0</v>
      </c>
    </row>
    <row r="496" spans="1:37">
      <c r="A496" s="502"/>
      <c r="B496" s="437" t="str">
        <f t="shared" si="293"/>
        <v>Sudameris Bank SAECA</v>
      </c>
      <c r="C496" s="437" t="str">
        <f t="shared" si="293"/>
        <v>HSUD_5,85%_13032028_PROV1_500K</v>
      </c>
      <c r="D496" s="437" t="s">
        <v>453</v>
      </c>
      <c r="E496" s="437" t="str">
        <f t="shared" si="296"/>
        <v>AA+py</v>
      </c>
      <c r="F496" s="437" t="s">
        <v>297</v>
      </c>
      <c r="G496" s="437" t="s">
        <v>298</v>
      </c>
      <c r="H496" s="437">
        <f t="shared" si="297"/>
        <v>2</v>
      </c>
      <c r="I496" s="445">
        <v>7212.33</v>
      </c>
      <c r="J496" s="462"/>
      <c r="K496" s="450"/>
      <c r="L496" s="462"/>
      <c r="M496" s="493"/>
      <c r="N496" s="493"/>
      <c r="O496" s="516">
        <f t="shared" si="294"/>
        <v>5.9801319241523737E-2</v>
      </c>
      <c r="P496" s="516">
        <f t="shared" si="294"/>
        <v>5.8505186240010332E-2</v>
      </c>
      <c r="Q496" s="450">
        <f t="shared" si="294"/>
        <v>46104</v>
      </c>
      <c r="R496" s="450">
        <v>46464</v>
      </c>
      <c r="S496" s="509" t="s">
        <v>146</v>
      </c>
      <c r="T496" s="495">
        <f>Tabla3[[#This Row],[Cantidad]]*Tabla3[[#This Row],[Cortes]]</f>
        <v>14424.66</v>
      </c>
      <c r="U496" s="510">
        <f t="shared" si="289"/>
        <v>13638.905955270626</v>
      </c>
      <c r="V496" s="511">
        <f t="shared" si="290"/>
        <v>13636.735805982735</v>
      </c>
      <c r="W496" s="497">
        <f>IF(Tabla3[[#This Row],[Fecha de operación]]=$C$1,0,U496-V496)</f>
        <v>2.1701492878910358</v>
      </c>
      <c r="X496" s="512" t="str">
        <f t="shared" si="291"/>
        <v>Vigente</v>
      </c>
      <c r="Y496" s="517" t="s">
        <v>450</v>
      </c>
      <c r="Z496" s="449">
        <f t="shared" si="292"/>
        <v>352</v>
      </c>
      <c r="AA496" s="518">
        <f t="shared" si="295"/>
        <v>1.8518113048398064</v>
      </c>
      <c r="AB496" s="518">
        <f t="shared" si="295"/>
        <v>1.8245339209710614</v>
      </c>
      <c r="AC496" s="449" t="s">
        <v>451</v>
      </c>
      <c r="AD496" s="449" t="s">
        <v>454</v>
      </c>
      <c r="AG496" s="605">
        <f>+IF(Tabla3[[#This Row],[Amortización k | cupón de intereses]]="Amortización de K",Tabla3[[#This Row],[Valor Nominal]],0)</f>
        <v>0</v>
      </c>
      <c r="AH496" s="605">
        <f>+IF(AND(Tabla3[[#This Row],[Amortización k | cupón de intereses]]="Cupón de interés",Tabla3[[#This Row],[Estado]]="Vigente"),Tabla3[[#This Row],[Valor Nominal]],0)</f>
        <v>14424.66</v>
      </c>
      <c r="AI496" s="618">
        <f>+IF(Tabla3[[#This Row],[Amortización k | cupón de intereses]]="Amortización de K",SUMIFS($AH$7:$AH$557,Tabla3[Código Emisión],Tabla3[[#This Row],[Código Emisión]],Tabla3[Fecha de operación],Tabla3[[#This Row],[Fecha de operación]]),0)-Tabla3[[#This Row],[Accrued]]*Tabla3[[#This Row],[Valor Nominal]]</f>
        <v>0</v>
      </c>
      <c r="AJ496" s="605">
        <f>+IF(Tabla3[[#This Row],[Amortización k | cupón de intereses]]="Amortización de K",IF(Tabla3[[#This Row],[Precio Clean]]&gt;1,Tabla3[[#This Row],[Valor Nominal]]*(Tabla3[[#This Row],[Precio Clean]]-1),0),0)</f>
        <v>0</v>
      </c>
      <c r="AK496" s="605">
        <f>+IF(Tabla3[[#This Row],[Amortización k | cupón de intereses]]="Amortización de K",IF(Tabla3[[#This Row],[Precio Clean]]&lt;1,Tabla3[[#This Row],[Valor Nominal]]*(Tabla3[[#This Row],[Precio Clean]]-1),0),0)</f>
        <v>0</v>
      </c>
    </row>
    <row r="497" spans="1:37">
      <c r="A497" s="502"/>
      <c r="B497" s="437" t="str">
        <f t="shared" si="293"/>
        <v>Sudameris Bank SAECA</v>
      </c>
      <c r="C497" s="437" t="str">
        <f t="shared" si="293"/>
        <v>HSUD_5,85%_13032028_PROV1_500K</v>
      </c>
      <c r="D497" s="437" t="s">
        <v>453</v>
      </c>
      <c r="E497" s="437" t="str">
        <f t="shared" si="296"/>
        <v>AA+py</v>
      </c>
      <c r="F497" s="437" t="s">
        <v>297</v>
      </c>
      <c r="G497" s="437" t="s">
        <v>298</v>
      </c>
      <c r="H497" s="437">
        <f t="shared" si="297"/>
        <v>2</v>
      </c>
      <c r="I497" s="445">
        <v>7052.06</v>
      </c>
      <c r="J497" s="462"/>
      <c r="K497" s="450"/>
      <c r="L497" s="462"/>
      <c r="M497" s="493"/>
      <c r="N497" s="493"/>
      <c r="O497" s="516">
        <f t="shared" si="294"/>
        <v>5.9801319241523737E-2</v>
      </c>
      <c r="P497" s="516">
        <f t="shared" si="294"/>
        <v>5.8505186240010332E-2</v>
      </c>
      <c r="Q497" s="450">
        <f t="shared" si="294"/>
        <v>46104</v>
      </c>
      <c r="R497" s="450">
        <v>46374</v>
      </c>
      <c r="S497" s="509" t="s">
        <v>146</v>
      </c>
      <c r="T497" s="495">
        <f>Tabla3[[#This Row],[Cantidad]]*Tabla3[[#This Row],[Cortes]]</f>
        <v>14104.12</v>
      </c>
      <c r="U497" s="510">
        <f t="shared" si="289"/>
        <v>13528.189329426534</v>
      </c>
      <c r="V497" s="511">
        <f t="shared" si="290"/>
        <v>13526.036796772085</v>
      </c>
      <c r="W497" s="497">
        <f>IF(Tabla3[[#This Row],[Fecha de operación]]=$C$1,0,U497-V497)</f>
        <v>2.1525326544488053</v>
      </c>
      <c r="X497" s="512" t="str">
        <f t="shared" si="291"/>
        <v>Vigente</v>
      </c>
      <c r="Y497" s="517" t="s">
        <v>450</v>
      </c>
      <c r="Z497" s="449">
        <f t="shared" si="292"/>
        <v>262</v>
      </c>
      <c r="AA497" s="518">
        <f t="shared" si="295"/>
        <v>1.8518113048398064</v>
      </c>
      <c r="AB497" s="518">
        <f t="shared" si="295"/>
        <v>1.8245339209710614</v>
      </c>
      <c r="AC497" s="449" t="s">
        <v>451</v>
      </c>
      <c r="AD497" s="449" t="s">
        <v>454</v>
      </c>
      <c r="AG497" s="605">
        <f>+IF(Tabla3[[#This Row],[Amortización k | cupón de intereses]]="Amortización de K",Tabla3[[#This Row],[Valor Nominal]],0)</f>
        <v>0</v>
      </c>
      <c r="AH497" s="605">
        <f>+IF(AND(Tabla3[[#This Row],[Amortización k | cupón de intereses]]="Cupón de interés",Tabla3[[#This Row],[Estado]]="Vigente"),Tabla3[[#This Row],[Valor Nominal]],0)</f>
        <v>14104.12</v>
      </c>
      <c r="AI497" s="618">
        <f>+IF(Tabla3[[#This Row],[Amortización k | cupón de intereses]]="Amortización de K",SUMIFS($AH$7:$AH$557,Tabla3[Código Emisión],Tabla3[[#This Row],[Código Emisión]],Tabla3[Fecha de operación],Tabla3[[#This Row],[Fecha de operación]]),0)-Tabla3[[#This Row],[Accrued]]*Tabla3[[#This Row],[Valor Nominal]]</f>
        <v>0</v>
      </c>
      <c r="AJ497" s="605">
        <f>+IF(Tabla3[[#This Row],[Amortización k | cupón de intereses]]="Amortización de K",IF(Tabla3[[#This Row],[Precio Clean]]&gt;1,Tabla3[[#This Row],[Valor Nominal]]*(Tabla3[[#This Row],[Precio Clean]]-1),0),0)</f>
        <v>0</v>
      </c>
      <c r="AK497" s="605">
        <f>+IF(Tabla3[[#This Row],[Amortización k | cupón de intereses]]="Amortización de K",IF(Tabla3[[#This Row],[Precio Clean]]&lt;1,Tabla3[[#This Row],[Valor Nominal]]*(Tabla3[[#This Row],[Precio Clean]]-1),0),0)</f>
        <v>0</v>
      </c>
    </row>
    <row r="498" spans="1:37">
      <c r="A498" s="502"/>
      <c r="B498" s="437" t="str">
        <f t="shared" si="293"/>
        <v>Sudameris Bank SAECA</v>
      </c>
      <c r="C498" s="437" t="str">
        <f t="shared" si="293"/>
        <v>HSUD_5,85%_13032028_PROV1_500K</v>
      </c>
      <c r="D498" s="437" t="s">
        <v>453</v>
      </c>
      <c r="E498" s="437" t="str">
        <f t="shared" si="296"/>
        <v>AA+py</v>
      </c>
      <c r="F498" s="437" t="s">
        <v>297</v>
      </c>
      <c r="G498" s="437" t="s">
        <v>298</v>
      </c>
      <c r="H498" s="437">
        <f t="shared" si="297"/>
        <v>2</v>
      </c>
      <c r="I498" s="445">
        <v>7212.33</v>
      </c>
      <c r="J498" s="462"/>
      <c r="K498" s="450"/>
      <c r="L498" s="462"/>
      <c r="M498" s="493"/>
      <c r="N498" s="493"/>
      <c r="O498" s="516">
        <f t="shared" si="294"/>
        <v>5.9801319241523737E-2</v>
      </c>
      <c r="P498" s="516">
        <f t="shared" si="294"/>
        <v>5.8505186240010332E-2</v>
      </c>
      <c r="Q498" s="450">
        <f t="shared" si="294"/>
        <v>46104</v>
      </c>
      <c r="R498" s="450">
        <v>46286</v>
      </c>
      <c r="S498" s="509" t="s">
        <v>146</v>
      </c>
      <c r="T498" s="495">
        <f>Tabla3[[#This Row],[Cantidad]]*Tabla3[[#This Row],[Cortes]]</f>
        <v>14424.66</v>
      </c>
      <c r="U498" s="510">
        <f t="shared" si="289"/>
        <v>14030.746440008981</v>
      </c>
      <c r="V498" s="511">
        <f t="shared" si="290"/>
        <v>14028.513943172708</v>
      </c>
      <c r="W498" s="497">
        <f>IF(Tabla3[[#This Row],[Fecha de operación]]=$C$1,0,U498-V498)</f>
        <v>2.2324968362736399</v>
      </c>
      <c r="X498" s="512" t="str">
        <f t="shared" si="291"/>
        <v>Vigente</v>
      </c>
      <c r="Y498" s="517" t="s">
        <v>450</v>
      </c>
      <c r="Z498" s="449">
        <f t="shared" si="292"/>
        <v>174</v>
      </c>
      <c r="AA498" s="518">
        <f t="shared" si="295"/>
        <v>1.8518113048398064</v>
      </c>
      <c r="AB498" s="518">
        <f t="shared" si="295"/>
        <v>1.8245339209710614</v>
      </c>
      <c r="AC498" s="449" t="s">
        <v>451</v>
      </c>
      <c r="AD498" s="449" t="s">
        <v>454</v>
      </c>
      <c r="AG498" s="605">
        <f>+IF(Tabla3[[#This Row],[Amortización k | cupón de intereses]]="Amortización de K",Tabla3[[#This Row],[Valor Nominal]],0)</f>
        <v>0</v>
      </c>
      <c r="AH498" s="605">
        <f>+IF(AND(Tabla3[[#This Row],[Amortización k | cupón de intereses]]="Cupón de interés",Tabla3[[#This Row],[Estado]]="Vigente"),Tabla3[[#This Row],[Valor Nominal]],0)</f>
        <v>14424.66</v>
      </c>
      <c r="AI498" s="618">
        <f>+IF(Tabla3[[#This Row],[Amortización k | cupón de intereses]]="Amortización de K",SUMIFS($AH$7:$AH$557,Tabla3[Código Emisión],Tabla3[[#This Row],[Código Emisión]],Tabla3[Fecha de operación],Tabla3[[#This Row],[Fecha de operación]]),0)-Tabla3[[#This Row],[Accrued]]*Tabla3[[#This Row],[Valor Nominal]]</f>
        <v>0</v>
      </c>
      <c r="AJ498" s="605">
        <f>+IF(Tabla3[[#This Row],[Amortización k | cupón de intereses]]="Amortización de K",IF(Tabla3[[#This Row],[Precio Clean]]&gt;1,Tabla3[[#This Row],[Valor Nominal]]*(Tabla3[[#This Row],[Precio Clean]]-1),0),0)</f>
        <v>0</v>
      </c>
      <c r="AK498" s="605">
        <f>+IF(Tabla3[[#This Row],[Amortización k | cupón de intereses]]="Amortización de K",IF(Tabla3[[#This Row],[Precio Clean]]&lt;1,Tabla3[[#This Row],[Valor Nominal]]*(Tabla3[[#This Row],[Precio Clean]]-1),0),0)</f>
        <v>0</v>
      </c>
    </row>
    <row r="499" spans="1:37">
      <c r="A499" s="502"/>
      <c r="B499" s="437" t="str">
        <f t="shared" si="293"/>
        <v>Sudameris Bank SAECA</v>
      </c>
      <c r="C499" s="437" t="str">
        <f t="shared" si="293"/>
        <v>HSUD_5,85%_13032028_PROV1_500K</v>
      </c>
      <c r="D499" s="437" t="s">
        <v>453</v>
      </c>
      <c r="E499" s="437" t="str">
        <f t="shared" si="296"/>
        <v>AA+py</v>
      </c>
      <c r="F499" s="437" t="s">
        <v>297</v>
      </c>
      <c r="G499" s="437" t="s">
        <v>298</v>
      </c>
      <c r="H499" s="437">
        <f t="shared" si="297"/>
        <v>2</v>
      </c>
      <c r="I499" s="445">
        <v>7372.6</v>
      </c>
      <c r="J499" s="462"/>
      <c r="K499" s="450"/>
      <c r="L499" s="462"/>
      <c r="M499" s="493"/>
      <c r="N499" s="493"/>
      <c r="O499" s="516">
        <f t="shared" si="294"/>
        <v>5.9801319241523737E-2</v>
      </c>
      <c r="P499" s="516">
        <f t="shared" si="294"/>
        <v>5.8505186240010332E-2</v>
      </c>
      <c r="Q499" s="450">
        <f t="shared" si="294"/>
        <v>46104</v>
      </c>
      <c r="R499" s="450">
        <v>46196</v>
      </c>
      <c r="S499" s="437" t="s">
        <v>146</v>
      </c>
      <c r="T499" s="643">
        <f>Tabla3[[#This Row],[Cantidad]]*Tabla3[[#This Row],[Cortes]]</f>
        <v>14745.2</v>
      </c>
      <c r="U499" s="525">
        <f t="shared" si="289"/>
        <v>14549.416866046962</v>
      </c>
      <c r="V499" s="526">
        <f t="shared" si="290"/>
        <v>14547.101841164864</v>
      </c>
      <c r="W499" s="497">
        <f>IF(Tabla3[[#This Row],[Fecha de operación]]=$C$1,0,U499-V499)</f>
        <v>2.3150248820984416</v>
      </c>
      <c r="X499" s="512" t="str">
        <f t="shared" si="291"/>
        <v>Vigente</v>
      </c>
      <c r="Y499" s="517" t="s">
        <v>450</v>
      </c>
      <c r="Z499" s="449">
        <f t="shared" si="292"/>
        <v>84</v>
      </c>
      <c r="AA499" s="518">
        <f t="shared" si="295"/>
        <v>1.8518113048398064</v>
      </c>
      <c r="AB499" s="518">
        <f t="shared" si="295"/>
        <v>1.8245339209710614</v>
      </c>
      <c r="AC499" s="449" t="s">
        <v>451</v>
      </c>
      <c r="AD499" s="449" t="s">
        <v>454</v>
      </c>
      <c r="AG499" s="605">
        <f>+IF(Tabla3[[#This Row],[Amortización k | cupón de intereses]]="Amortización de K",Tabla3[[#This Row],[Valor Nominal]],0)</f>
        <v>0</v>
      </c>
      <c r="AH499" s="605">
        <f>+IF(AND(Tabla3[[#This Row],[Amortización k | cupón de intereses]]="Cupón de interés",Tabla3[[#This Row],[Estado]]="Vigente"),Tabla3[[#This Row],[Valor Nominal]],0)</f>
        <v>14745.2</v>
      </c>
      <c r="AI499" s="618">
        <f>+IF(Tabla3[[#This Row],[Amortización k | cupón de intereses]]="Amortización de K",SUMIFS($AH$7:$AH$557,Tabla3[Código Emisión],Tabla3[[#This Row],[Código Emisión]],Tabla3[Fecha de operación],Tabla3[[#This Row],[Fecha de operación]]),0)-Tabla3[[#This Row],[Accrued]]*Tabla3[[#This Row],[Valor Nominal]]</f>
        <v>0</v>
      </c>
      <c r="AJ499" s="605">
        <f>+IF(Tabla3[[#This Row],[Amortización k | cupón de intereses]]="Amortización de K",IF(Tabla3[[#This Row],[Precio Clean]]&gt;1,Tabla3[[#This Row],[Valor Nominal]]*(Tabla3[[#This Row],[Precio Clean]]-1),0),0)</f>
        <v>0</v>
      </c>
      <c r="AK499" s="605">
        <f>+IF(Tabla3[[#This Row],[Amortización k | cupón de intereses]]="Amortización de K",IF(Tabla3[[#This Row],[Precio Clean]]&lt;1,Tabla3[[#This Row],[Valor Nominal]]*(Tabla3[[#This Row],[Precio Clean]]-1),0),0)</f>
        <v>0</v>
      </c>
    </row>
    <row r="500" spans="1:37">
      <c r="A500" s="500">
        <f>+A491+1</f>
        <v>50</v>
      </c>
      <c r="B500" s="437" t="s">
        <v>624</v>
      </c>
      <c r="C500" s="475" t="s">
        <v>625</v>
      </c>
      <c r="D500" s="475" t="s">
        <v>602</v>
      </c>
      <c r="E500" s="475" t="s">
        <v>612</v>
      </c>
      <c r="F500" s="475" t="s">
        <v>520</v>
      </c>
      <c r="G500" s="475" t="s">
        <v>613</v>
      </c>
      <c r="H500" s="475">
        <v>500</v>
      </c>
      <c r="I500" s="477">
        <v>1000</v>
      </c>
      <c r="J500" s="478">
        <v>6.5000000000000002E-2</v>
      </c>
      <c r="K500" s="479">
        <f>_xlfn.MAXIFS(R:R,C:C,C500,AD:AD,"Cupón de interés",X:X,"Vencido")</f>
        <v>46043</v>
      </c>
      <c r="L500" s="478">
        <f>+Tabla3[[#This Row],[Tasa de Interés]]*($U$5-Tabla3[[#This Row],[Last coupon]])/365</f>
        <v>1.2287671232876713E-2</v>
      </c>
      <c r="M500" s="503">
        <f>+Tabla3[[#This Row],[Precio Dirty]]-Tabla3[[#This Row],[Accrued]]</f>
        <v>0.991048377961253</v>
      </c>
      <c r="N500" s="503">
        <f>SUMIFS(U:U,C:C,C500,Q:Q,Q500)/SUMIFS(T:T,C:C,C500,Q:Q,Q500,AD:AD,"Amortización de K")</f>
        <v>1.0033360491941297</v>
      </c>
      <c r="O500" s="482">
        <v>6.6741236304393839E-2</v>
      </c>
      <c r="P500" s="482">
        <f>+NOMINAL(Tabla3[[#This Row],[YTM]],2)</f>
        <v>6.5663318456707032E-2</v>
      </c>
      <c r="Q500" s="484">
        <v>46107</v>
      </c>
      <c r="R500" s="484">
        <v>48600</v>
      </c>
      <c r="S500" s="504" t="s">
        <v>146</v>
      </c>
      <c r="T500" s="510">
        <f>Tabla3[[#This Row],[Cantidad]]*Tabla3[[#This Row],[Cortes]]</f>
        <v>500000</v>
      </c>
      <c r="U500" s="583">
        <f>IF(X500="VIgente",(T500/(1+O500)^((R500-$U$5)/360)))</f>
        <v>319926.75394445902</v>
      </c>
      <c r="V500" s="583">
        <f>IF(X500="VIgente",(T500/(1+O500)^((R500-$V$5)/360)))</f>
        <v>319869.34252814023</v>
      </c>
      <c r="W500" s="510">
        <f>IF(Tabla3[[#This Row],[Fecha de operación]]=$C$1,0,U500-V500)</f>
        <v>57.411416318791453</v>
      </c>
      <c r="X500" s="507" t="str">
        <f t="shared" si="291"/>
        <v>Vigente</v>
      </c>
      <c r="Y500" s="489" t="s">
        <v>488</v>
      </c>
      <c r="Z500" s="488">
        <f t="shared" si="292"/>
        <v>2488</v>
      </c>
      <c r="AA500" s="508">
        <f>IF(Y500="Mensual",DURATION($C$1,$C$1+Z500*12,J500/12,O500/12,1)/12,DURATION($C$1,R500,J500,O500,IF(Y500="Cupón cero",1,IF(Y500="Al vencimiento",1,IF(Y500="Anual",1,IF(Y500="Semestral",2,IF(Y500="Trimestral",4,"")))))))</f>
        <v>5.5317545898593377</v>
      </c>
      <c r="AB500" s="508">
        <f>IF(Y500="Mensual",MDURATION($C$1,$C$1+Z500*12,J500/12,O500/12,1)/12,MDURATION($C$1,R500,J500,O500,IF(Y500="Cupón cero",1,IF(Y500="Al vencimiento",1,IF(Y500="Anual",1,IF(Y500="Semestral",2,IF(Y500="Trimestral",4,"")))))))</f>
        <v>5.3531177417748195</v>
      </c>
      <c r="AC500" s="488" t="s">
        <v>451</v>
      </c>
      <c r="AD500" s="488" t="s">
        <v>452</v>
      </c>
      <c r="AG500" s="605">
        <f>+IF(Tabla3[[#This Row],[Amortización k | cupón de intereses]]="Amortización de K",Tabla3[[#This Row],[Valor Nominal]],0)</f>
        <v>500000</v>
      </c>
      <c r="AH500" s="605">
        <f>+IF(AND(Tabla3[[#This Row],[Amortización k | cupón de intereses]]="Cupón de interés",Tabla3[[#This Row],[Estado]]="Vigente"),Tabla3[[#This Row],[Valor Nominal]],0)</f>
        <v>0</v>
      </c>
      <c r="AI500" s="618">
        <f>+IF(Tabla3[[#This Row],[Amortización k | cupón de intereses]]="Amortización de K",SUMIFS($AH$7:$AH$557,Tabla3[Código Emisión],Tabla3[[#This Row],[Código Emisión]],Tabla3[Fecha de operación],Tabla3[[#This Row],[Fecha de operación]]),0)-Tabla3[[#This Row],[Accrued]]*Tabla3[[#This Row],[Valor Nominal]]</f>
        <v>221356.16438356164</v>
      </c>
      <c r="AJ500" s="605">
        <f>+IF(Tabla3[[#This Row],[Amortización k | cupón de intereses]]="Amortización de K",IF(Tabla3[[#This Row],[Precio Clean]]&gt;1,Tabla3[[#This Row],[Valor Nominal]]*(Tabla3[[#This Row],[Precio Clean]]-1),0),0)</f>
        <v>0</v>
      </c>
      <c r="AK500" s="605">
        <f>+IF(Tabla3[[#This Row],[Amortización k | cupón de intereses]]="Amortización de K",IF(Tabla3[[#This Row],[Precio Clean]]&lt;1,Tabla3[[#This Row],[Valor Nominal]]*(Tabla3[[#This Row],[Precio Clean]]-1),0),0)</f>
        <v>-4475.8110193734992</v>
      </c>
    </row>
    <row r="501" spans="1:37">
      <c r="A501" s="502"/>
      <c r="B501" s="437" t="str">
        <f>+B500</f>
        <v>Gobierno de Colombia</v>
      </c>
      <c r="C501" s="437" t="str">
        <f t="shared" ref="C501" si="298">+C500</f>
        <v>Colombia-US195325EV39-6.5%-21012033</v>
      </c>
      <c r="D501" s="437" t="str">
        <f>+D500</f>
        <v>Bonos soberanos extranjeros</v>
      </c>
      <c r="E501" s="437" t="s">
        <v>612</v>
      </c>
      <c r="F501" s="437" t="str">
        <f>+F500</f>
        <v>Gobierno</v>
      </c>
      <c r="G501" s="437" t="str">
        <f>+G500</f>
        <v>Colombia</v>
      </c>
      <c r="H501" s="437">
        <f t="shared" ref="H501:H513" si="299">+H500</f>
        <v>500</v>
      </c>
      <c r="I501" s="445">
        <v>32.5</v>
      </c>
      <c r="J501" s="462"/>
      <c r="K501" s="450"/>
      <c r="L501" s="462"/>
      <c r="M501" s="493"/>
      <c r="N501" s="493"/>
      <c r="O501" s="516">
        <f>+O500</f>
        <v>6.6741236304393839E-2</v>
      </c>
      <c r="P501" s="516">
        <f t="shared" ref="P501:Q513" si="300">+P500</f>
        <v>6.5663318456707032E-2</v>
      </c>
      <c r="Q501" s="450">
        <f t="shared" si="300"/>
        <v>46107</v>
      </c>
      <c r="R501" s="450">
        <v>48600</v>
      </c>
      <c r="S501" s="509" t="s">
        <v>146</v>
      </c>
      <c r="T501" s="510">
        <f>Tabla3[[#This Row],[Cantidad]]*Tabla3[[#This Row],[Cortes]]</f>
        <v>16250</v>
      </c>
      <c r="U501" s="583">
        <f t="shared" ref="U501:U513" si="301">IF(X501="VIgente",(T501/(1+O501)^((R501-$U$5)/360)))</f>
        <v>10397.619503194919</v>
      </c>
      <c r="V501" s="511">
        <f t="shared" ref="V501:V513" si="302">IF(X501="VIgente",(T501/(1+O501)^((R501-$V$5)/360)))</f>
        <v>10395.753632164557</v>
      </c>
      <c r="W501" s="497">
        <f>IF(Tabla3[[#This Row],[Fecha de operación]]=$C$1,0,U501-V501)</f>
        <v>1.8658710303625412</v>
      </c>
      <c r="X501" s="512" t="str">
        <f t="shared" si="291"/>
        <v>Vigente</v>
      </c>
      <c r="Y501" s="517" t="str">
        <f>+Y500</f>
        <v>Semestral</v>
      </c>
      <c r="Z501" s="449">
        <f t="shared" si="292"/>
        <v>2488</v>
      </c>
      <c r="AA501" s="518">
        <f t="shared" ref="AA501:AB513" si="303">+AA500</f>
        <v>5.5317545898593377</v>
      </c>
      <c r="AB501" s="518">
        <f t="shared" si="303"/>
        <v>5.3531177417748195</v>
      </c>
      <c r="AC501" s="449" t="s">
        <v>451</v>
      </c>
      <c r="AD501" s="449" t="s">
        <v>454</v>
      </c>
      <c r="AG501" s="605">
        <f>+IF(Tabla3[[#This Row],[Amortización k | cupón de intereses]]="Amortización de K",Tabla3[[#This Row],[Valor Nominal]],0)</f>
        <v>0</v>
      </c>
      <c r="AH501" s="605">
        <f>+IF(AND(Tabla3[[#This Row],[Amortización k | cupón de intereses]]="Cupón de interés",Tabla3[[#This Row],[Estado]]="Vigente"),Tabla3[[#This Row],[Valor Nominal]],0)</f>
        <v>16250</v>
      </c>
      <c r="AI501" s="618">
        <f>+IF(Tabla3[[#This Row],[Amortización k | cupón de intereses]]="Amortización de K",SUMIFS($AH$7:$AH$557,Tabla3[Código Emisión],Tabla3[[#This Row],[Código Emisión]],Tabla3[Fecha de operación],Tabla3[[#This Row],[Fecha de operación]]),0)-Tabla3[[#This Row],[Accrued]]*Tabla3[[#This Row],[Valor Nominal]]</f>
        <v>0</v>
      </c>
      <c r="AJ501" s="605">
        <f>+IF(Tabla3[[#This Row],[Amortización k | cupón de intereses]]="Amortización de K",IF(Tabla3[[#This Row],[Precio Clean]]&gt;1,Tabla3[[#This Row],[Valor Nominal]]*(Tabla3[[#This Row],[Precio Clean]]-1),0),0)</f>
        <v>0</v>
      </c>
      <c r="AK501" s="605">
        <f>+IF(Tabla3[[#This Row],[Amortización k | cupón de intereses]]="Amortización de K",IF(Tabla3[[#This Row],[Precio Clean]]&lt;1,Tabla3[[#This Row],[Valor Nominal]]*(Tabla3[[#This Row],[Precio Clean]]-1),0),0)</f>
        <v>0</v>
      </c>
    </row>
    <row r="502" spans="1:37">
      <c r="A502" s="502"/>
      <c r="B502" s="437" t="str">
        <f t="shared" ref="B502:D503" si="304">+B501</f>
        <v>Gobierno de Colombia</v>
      </c>
      <c r="C502" s="437" t="str">
        <f t="shared" si="304"/>
        <v>Colombia-US195325EV39-6.5%-21012033</v>
      </c>
      <c r="D502" s="437" t="str">
        <f t="shared" si="304"/>
        <v>Bonos soberanos extranjeros</v>
      </c>
      <c r="E502" s="437" t="s">
        <v>612</v>
      </c>
      <c r="F502" s="437" t="str">
        <f t="shared" ref="F502:H515" si="305">+F501</f>
        <v>Gobierno</v>
      </c>
      <c r="G502" s="437" t="str">
        <f t="shared" si="305"/>
        <v>Colombia</v>
      </c>
      <c r="H502" s="437">
        <f t="shared" si="299"/>
        <v>500</v>
      </c>
      <c r="I502" s="445">
        <v>32.5</v>
      </c>
      <c r="J502" s="462"/>
      <c r="K502" s="450"/>
      <c r="L502" s="462"/>
      <c r="M502" s="493"/>
      <c r="N502" s="493"/>
      <c r="O502" s="516">
        <f t="shared" ref="O502:O515" si="306">+O501</f>
        <v>6.6741236304393839E-2</v>
      </c>
      <c r="P502" s="516">
        <f t="shared" si="300"/>
        <v>6.5663318456707032E-2</v>
      </c>
      <c r="Q502" s="450">
        <f t="shared" si="300"/>
        <v>46107</v>
      </c>
      <c r="R502" s="450">
        <v>48416</v>
      </c>
      <c r="S502" s="509" t="s">
        <v>146</v>
      </c>
      <c r="T502" s="510">
        <f>Tabla3[[#This Row],[Cantidad]]*Tabla3[[#This Row],[Cortes]]</f>
        <v>16250</v>
      </c>
      <c r="U502" s="583">
        <f t="shared" si="301"/>
        <v>10746.702585709996</v>
      </c>
      <c r="V502" s="511">
        <f t="shared" si="302"/>
        <v>10744.774071109088</v>
      </c>
      <c r="W502" s="497">
        <f>IF(Tabla3[[#This Row],[Fecha de operación]]=$C$1,0,U502-V502)</f>
        <v>1.9285146009078744</v>
      </c>
      <c r="X502" s="512" t="str">
        <f t="shared" si="291"/>
        <v>Vigente</v>
      </c>
      <c r="Y502" s="517" t="str">
        <f t="shared" ref="Y502:Y513" si="307">+Y501</f>
        <v>Semestral</v>
      </c>
      <c r="Z502" s="449">
        <f t="shared" si="292"/>
        <v>2304</v>
      </c>
      <c r="AA502" s="518">
        <f t="shared" si="303"/>
        <v>5.5317545898593377</v>
      </c>
      <c r="AB502" s="518">
        <f t="shared" si="303"/>
        <v>5.3531177417748195</v>
      </c>
      <c r="AC502" s="449" t="s">
        <v>451</v>
      </c>
      <c r="AD502" s="449" t="s">
        <v>454</v>
      </c>
      <c r="AG502" s="605">
        <f>+IF(Tabla3[[#This Row],[Amortización k | cupón de intereses]]="Amortización de K",Tabla3[[#This Row],[Valor Nominal]],0)</f>
        <v>0</v>
      </c>
      <c r="AH502" s="605">
        <f>+IF(AND(Tabla3[[#This Row],[Amortización k | cupón de intereses]]="Cupón de interés",Tabla3[[#This Row],[Estado]]="Vigente"),Tabla3[[#This Row],[Valor Nominal]],0)</f>
        <v>16250</v>
      </c>
      <c r="AI502" s="618">
        <f>+IF(Tabla3[[#This Row],[Amortización k | cupón de intereses]]="Amortización de K",SUMIFS($AH$7:$AH$557,Tabla3[Código Emisión],Tabla3[[#This Row],[Código Emisión]],Tabla3[Fecha de operación],Tabla3[[#This Row],[Fecha de operación]]),0)-Tabla3[[#This Row],[Accrued]]*Tabla3[[#This Row],[Valor Nominal]]</f>
        <v>0</v>
      </c>
      <c r="AJ502" s="605">
        <f>+IF(Tabla3[[#This Row],[Amortización k | cupón de intereses]]="Amortización de K",IF(Tabla3[[#This Row],[Precio Clean]]&gt;1,Tabla3[[#This Row],[Valor Nominal]]*(Tabla3[[#This Row],[Precio Clean]]-1),0),0)</f>
        <v>0</v>
      </c>
      <c r="AK502" s="605">
        <f>+IF(Tabla3[[#This Row],[Amortización k | cupón de intereses]]="Amortización de K",IF(Tabla3[[#This Row],[Precio Clean]]&lt;1,Tabla3[[#This Row],[Valor Nominal]]*(Tabla3[[#This Row],[Precio Clean]]-1),0),0)</f>
        <v>0</v>
      </c>
    </row>
    <row r="503" spans="1:37">
      <c r="A503" s="502"/>
      <c r="B503" s="437" t="str">
        <f>+B502</f>
        <v>Gobierno de Colombia</v>
      </c>
      <c r="C503" s="437" t="str">
        <f t="shared" si="304"/>
        <v>Colombia-US195325EV39-6.5%-21012033</v>
      </c>
      <c r="D503" s="437" t="str">
        <f t="shared" si="304"/>
        <v>Bonos soberanos extranjeros</v>
      </c>
      <c r="E503" s="437" t="s">
        <v>612</v>
      </c>
      <c r="F503" s="437" t="str">
        <f t="shared" si="305"/>
        <v>Gobierno</v>
      </c>
      <c r="G503" s="437" t="str">
        <f t="shared" si="305"/>
        <v>Colombia</v>
      </c>
      <c r="H503" s="437">
        <f t="shared" si="299"/>
        <v>500</v>
      </c>
      <c r="I503" s="445">
        <v>32.5</v>
      </c>
      <c r="J503" s="462"/>
      <c r="K503" s="450"/>
      <c r="L503" s="462"/>
      <c r="M503" s="493"/>
      <c r="N503" s="493"/>
      <c r="O503" s="516">
        <f t="shared" si="306"/>
        <v>6.6741236304393839E-2</v>
      </c>
      <c r="P503" s="516">
        <f t="shared" si="300"/>
        <v>6.5663318456707032E-2</v>
      </c>
      <c r="Q503" s="450">
        <f t="shared" si="300"/>
        <v>46107</v>
      </c>
      <c r="R503" s="450">
        <v>48234</v>
      </c>
      <c r="S503" s="509" t="s">
        <v>146</v>
      </c>
      <c r="T503" s="510">
        <f>Tabla3[[#This Row],[Cantidad]]*Tabla3[[#This Row],[Cortes]]</f>
        <v>16250</v>
      </c>
      <c r="U503" s="583">
        <f t="shared" si="301"/>
        <v>11103.519397271974</v>
      </c>
      <c r="V503" s="511">
        <f t="shared" si="302"/>
        <v>11101.526851269298</v>
      </c>
      <c r="W503" s="497">
        <f>IF(Tabla3[[#This Row],[Fecha de operación]]=$C$1,0,U503-V503)</f>
        <v>1.9925460026752262</v>
      </c>
      <c r="X503" s="512" t="str">
        <f t="shared" si="291"/>
        <v>Vigente</v>
      </c>
      <c r="Y503" s="517" t="str">
        <f t="shared" si="307"/>
        <v>Semestral</v>
      </c>
      <c r="Z503" s="449">
        <f t="shared" si="292"/>
        <v>2122</v>
      </c>
      <c r="AA503" s="518">
        <f t="shared" si="303"/>
        <v>5.5317545898593377</v>
      </c>
      <c r="AB503" s="518">
        <f t="shared" si="303"/>
        <v>5.3531177417748195</v>
      </c>
      <c r="AC503" s="449" t="s">
        <v>451</v>
      </c>
      <c r="AD503" s="449" t="s">
        <v>454</v>
      </c>
      <c r="AG503" s="605">
        <f>+IF(Tabla3[[#This Row],[Amortización k | cupón de intereses]]="Amortización de K",Tabla3[[#This Row],[Valor Nominal]],0)</f>
        <v>0</v>
      </c>
      <c r="AH503" s="605">
        <f>+IF(AND(Tabla3[[#This Row],[Amortización k | cupón de intereses]]="Cupón de interés",Tabla3[[#This Row],[Estado]]="Vigente"),Tabla3[[#This Row],[Valor Nominal]],0)</f>
        <v>16250</v>
      </c>
      <c r="AI503" s="618">
        <f>+IF(Tabla3[[#This Row],[Amortización k | cupón de intereses]]="Amortización de K",SUMIFS($AH$7:$AH$557,Tabla3[Código Emisión],Tabla3[[#This Row],[Código Emisión]],Tabla3[Fecha de operación],Tabla3[[#This Row],[Fecha de operación]]),0)-Tabla3[[#This Row],[Accrued]]*Tabla3[[#This Row],[Valor Nominal]]</f>
        <v>0</v>
      </c>
      <c r="AJ503" s="605">
        <f>+IF(Tabla3[[#This Row],[Amortización k | cupón de intereses]]="Amortización de K",IF(Tabla3[[#This Row],[Precio Clean]]&gt;1,Tabla3[[#This Row],[Valor Nominal]]*(Tabla3[[#This Row],[Precio Clean]]-1),0),0)</f>
        <v>0</v>
      </c>
      <c r="AK503" s="605">
        <f>+IF(Tabla3[[#This Row],[Amortización k | cupón de intereses]]="Amortización de K",IF(Tabla3[[#This Row],[Precio Clean]]&lt;1,Tabla3[[#This Row],[Valor Nominal]]*(Tabla3[[#This Row],[Precio Clean]]-1),0),0)</f>
        <v>0</v>
      </c>
    </row>
    <row r="504" spans="1:37">
      <c r="A504" s="502"/>
      <c r="B504" s="437" t="str">
        <f t="shared" ref="B504:D515" si="308">+B503</f>
        <v>Gobierno de Colombia</v>
      </c>
      <c r="C504" s="437" t="str">
        <f t="shared" si="308"/>
        <v>Colombia-US195325EV39-6.5%-21012033</v>
      </c>
      <c r="D504" s="437" t="str">
        <f t="shared" si="308"/>
        <v>Bonos soberanos extranjeros</v>
      </c>
      <c r="E504" s="437" t="s">
        <v>612</v>
      </c>
      <c r="F504" s="437" t="str">
        <f t="shared" si="305"/>
        <v>Gobierno</v>
      </c>
      <c r="G504" s="437" t="str">
        <f t="shared" si="305"/>
        <v>Colombia</v>
      </c>
      <c r="H504" s="437">
        <f t="shared" si="299"/>
        <v>500</v>
      </c>
      <c r="I504" s="445">
        <v>32.5</v>
      </c>
      <c r="J504" s="462"/>
      <c r="K504" s="450"/>
      <c r="L504" s="462"/>
      <c r="M504" s="493"/>
      <c r="N504" s="493"/>
      <c r="O504" s="516">
        <f t="shared" si="306"/>
        <v>6.6741236304393839E-2</v>
      </c>
      <c r="P504" s="516">
        <f t="shared" si="300"/>
        <v>6.5663318456707032E-2</v>
      </c>
      <c r="Q504" s="450">
        <f t="shared" si="300"/>
        <v>46107</v>
      </c>
      <c r="R504" s="450">
        <v>48050</v>
      </c>
      <c r="S504" s="509" t="s">
        <v>146</v>
      </c>
      <c r="T504" s="510">
        <f>Tabla3[[#This Row],[Cantidad]]*Tabla3[[#This Row],[Cortes]]</f>
        <v>16250</v>
      </c>
      <c r="U504" s="583">
        <f t="shared" si="301"/>
        <v>11476.301915114125</v>
      </c>
      <c r="V504" s="511">
        <f t="shared" si="302"/>
        <v>11474.242472635726</v>
      </c>
      <c r="W504" s="497">
        <f>IF(Tabla3[[#This Row],[Fecha de operación]]=$C$1,0,U504-V504)</f>
        <v>2.0594424783994327</v>
      </c>
      <c r="X504" s="512" t="str">
        <f t="shared" si="291"/>
        <v>Vigente</v>
      </c>
      <c r="Y504" s="517" t="str">
        <f t="shared" si="307"/>
        <v>Semestral</v>
      </c>
      <c r="Z504" s="449">
        <f t="shared" si="292"/>
        <v>1938</v>
      </c>
      <c r="AA504" s="518">
        <f t="shared" si="303"/>
        <v>5.5317545898593377</v>
      </c>
      <c r="AB504" s="518">
        <f t="shared" si="303"/>
        <v>5.3531177417748195</v>
      </c>
      <c r="AC504" s="449" t="s">
        <v>451</v>
      </c>
      <c r="AD504" s="449" t="s">
        <v>454</v>
      </c>
      <c r="AG504" s="605">
        <f>+IF(Tabla3[[#This Row],[Amortización k | cupón de intereses]]="Amortización de K",Tabla3[[#This Row],[Valor Nominal]],0)</f>
        <v>0</v>
      </c>
      <c r="AH504" s="605">
        <f>+IF(AND(Tabla3[[#This Row],[Amortización k | cupón de intereses]]="Cupón de interés",Tabla3[[#This Row],[Estado]]="Vigente"),Tabla3[[#This Row],[Valor Nominal]],0)</f>
        <v>16250</v>
      </c>
      <c r="AI504" s="618">
        <f>+IF(Tabla3[[#This Row],[Amortización k | cupón de intereses]]="Amortización de K",SUMIFS($AH$7:$AH$557,Tabla3[Código Emisión],Tabla3[[#This Row],[Código Emisión]],Tabla3[Fecha de operación],Tabla3[[#This Row],[Fecha de operación]]),0)-Tabla3[[#This Row],[Accrued]]*Tabla3[[#This Row],[Valor Nominal]]</f>
        <v>0</v>
      </c>
      <c r="AJ504" s="605">
        <f>+IF(Tabla3[[#This Row],[Amortización k | cupón de intereses]]="Amortización de K",IF(Tabla3[[#This Row],[Precio Clean]]&gt;1,Tabla3[[#This Row],[Valor Nominal]]*(Tabla3[[#This Row],[Precio Clean]]-1),0),0)</f>
        <v>0</v>
      </c>
      <c r="AK504" s="605">
        <f>+IF(Tabla3[[#This Row],[Amortización k | cupón de intereses]]="Amortización de K",IF(Tabla3[[#This Row],[Precio Clean]]&lt;1,Tabla3[[#This Row],[Valor Nominal]]*(Tabla3[[#This Row],[Precio Clean]]-1),0),0)</f>
        <v>0</v>
      </c>
    </row>
    <row r="505" spans="1:37">
      <c r="A505" s="502"/>
      <c r="B505" s="437" t="str">
        <f t="shared" si="308"/>
        <v>Gobierno de Colombia</v>
      </c>
      <c r="C505" s="437" t="str">
        <f t="shared" si="308"/>
        <v>Colombia-US195325EV39-6.5%-21012033</v>
      </c>
      <c r="D505" s="437" t="str">
        <f t="shared" si="308"/>
        <v>Bonos soberanos extranjeros</v>
      </c>
      <c r="E505" s="437" t="s">
        <v>612</v>
      </c>
      <c r="F505" s="437" t="str">
        <f t="shared" si="305"/>
        <v>Gobierno</v>
      </c>
      <c r="G505" s="437" t="str">
        <f t="shared" si="305"/>
        <v>Colombia</v>
      </c>
      <c r="H505" s="437">
        <f t="shared" si="299"/>
        <v>500</v>
      </c>
      <c r="I505" s="445">
        <v>32.5</v>
      </c>
      <c r="J505" s="462"/>
      <c r="K505" s="450"/>
      <c r="L505" s="462"/>
      <c r="M505" s="493"/>
      <c r="N505" s="493"/>
      <c r="O505" s="516">
        <f t="shared" si="306"/>
        <v>6.6741236304393839E-2</v>
      </c>
      <c r="P505" s="516">
        <f t="shared" si="300"/>
        <v>6.5663318456707032E-2</v>
      </c>
      <c r="Q505" s="450">
        <f t="shared" si="300"/>
        <v>46107</v>
      </c>
      <c r="R505" s="450">
        <v>47869</v>
      </c>
      <c r="S505" s="509" t="s">
        <v>146</v>
      </c>
      <c r="T505" s="510">
        <f>Tabla3[[#This Row],[Cantidad]]*Tabla3[[#This Row],[Cortes]]</f>
        <v>16250</v>
      </c>
      <c r="U505" s="583">
        <f t="shared" si="301"/>
        <v>11855.215387957587</v>
      </c>
      <c r="V505" s="511">
        <f t="shared" si="302"/>
        <v>11853.087948792852</v>
      </c>
      <c r="W505" s="497">
        <f>IF(Tabla3[[#This Row],[Fecha de operación]]=$C$1,0,U505-V505)</f>
        <v>2.1274391647348239</v>
      </c>
      <c r="X505" s="512" t="str">
        <f t="shared" si="291"/>
        <v>Vigente</v>
      </c>
      <c r="Y505" s="517" t="str">
        <f t="shared" si="307"/>
        <v>Semestral</v>
      </c>
      <c r="Z505" s="449">
        <f t="shared" si="292"/>
        <v>1757</v>
      </c>
      <c r="AA505" s="518">
        <f t="shared" si="303"/>
        <v>5.5317545898593377</v>
      </c>
      <c r="AB505" s="518">
        <f t="shared" si="303"/>
        <v>5.3531177417748195</v>
      </c>
      <c r="AC505" s="449" t="s">
        <v>451</v>
      </c>
      <c r="AD505" s="449" t="s">
        <v>454</v>
      </c>
      <c r="AG505" s="605">
        <f>+IF(Tabla3[[#This Row],[Amortización k | cupón de intereses]]="Amortización de K",Tabla3[[#This Row],[Valor Nominal]],0)</f>
        <v>0</v>
      </c>
      <c r="AH505" s="605">
        <f>+IF(AND(Tabla3[[#This Row],[Amortización k | cupón de intereses]]="Cupón de interés",Tabla3[[#This Row],[Estado]]="Vigente"),Tabla3[[#This Row],[Valor Nominal]],0)</f>
        <v>16250</v>
      </c>
      <c r="AI505" s="618">
        <f>+IF(Tabla3[[#This Row],[Amortización k | cupón de intereses]]="Amortización de K",SUMIFS($AH$7:$AH$557,Tabla3[Código Emisión],Tabla3[[#This Row],[Código Emisión]],Tabla3[Fecha de operación],Tabla3[[#This Row],[Fecha de operación]]),0)-Tabla3[[#This Row],[Accrued]]*Tabla3[[#This Row],[Valor Nominal]]</f>
        <v>0</v>
      </c>
      <c r="AJ505" s="605">
        <f>+IF(Tabla3[[#This Row],[Amortización k | cupón de intereses]]="Amortización de K",IF(Tabla3[[#This Row],[Precio Clean]]&gt;1,Tabla3[[#This Row],[Valor Nominal]]*(Tabla3[[#This Row],[Precio Clean]]-1),0),0)</f>
        <v>0</v>
      </c>
      <c r="AK505" s="605">
        <f>+IF(Tabla3[[#This Row],[Amortización k | cupón de intereses]]="Amortización de K",IF(Tabla3[[#This Row],[Precio Clean]]&lt;1,Tabla3[[#This Row],[Valor Nominal]]*(Tabla3[[#This Row],[Precio Clean]]-1),0),0)</f>
        <v>0</v>
      </c>
    </row>
    <row r="506" spans="1:37">
      <c r="A506" s="502"/>
      <c r="B506" s="437" t="str">
        <f t="shared" si="308"/>
        <v>Gobierno de Colombia</v>
      </c>
      <c r="C506" s="437" t="str">
        <f t="shared" si="308"/>
        <v>Colombia-US195325EV39-6.5%-21012033</v>
      </c>
      <c r="D506" s="437" t="str">
        <f t="shared" si="308"/>
        <v>Bonos soberanos extranjeros</v>
      </c>
      <c r="E506" s="437" t="s">
        <v>612</v>
      </c>
      <c r="F506" s="437" t="str">
        <f t="shared" si="305"/>
        <v>Gobierno</v>
      </c>
      <c r="G506" s="437" t="str">
        <f t="shared" si="305"/>
        <v>Colombia</v>
      </c>
      <c r="H506" s="437">
        <f t="shared" si="299"/>
        <v>500</v>
      </c>
      <c r="I506" s="445">
        <v>32.5</v>
      </c>
      <c r="J506" s="462"/>
      <c r="K506" s="450"/>
      <c r="L506" s="462"/>
      <c r="M506" s="493"/>
      <c r="N506" s="493"/>
      <c r="O506" s="516">
        <f t="shared" si="306"/>
        <v>6.6741236304393839E-2</v>
      </c>
      <c r="P506" s="516">
        <f t="shared" si="300"/>
        <v>6.5663318456707032E-2</v>
      </c>
      <c r="Q506" s="450">
        <f t="shared" si="300"/>
        <v>46107</v>
      </c>
      <c r="R506" s="450">
        <v>47685</v>
      </c>
      <c r="S506" s="509" t="s">
        <v>146</v>
      </c>
      <c r="T506" s="510">
        <f>Tabla3[[#This Row],[Cantidad]]*Tabla3[[#This Row],[Cortes]]</f>
        <v>16250</v>
      </c>
      <c r="U506" s="583">
        <f t="shared" si="301"/>
        <v>12253.234870228194</v>
      </c>
      <c r="V506" s="511">
        <f t="shared" si="302"/>
        <v>12251.036005770269</v>
      </c>
      <c r="W506" s="497">
        <f>IF(Tabla3[[#This Row],[Fecha de operación]]=$C$1,0,U506-V506)</f>
        <v>2.1988644579250831</v>
      </c>
      <c r="X506" s="512" t="str">
        <f t="shared" si="291"/>
        <v>Vigente</v>
      </c>
      <c r="Y506" s="517" t="str">
        <f t="shared" si="307"/>
        <v>Semestral</v>
      </c>
      <c r="Z506" s="449">
        <f t="shared" si="292"/>
        <v>1573</v>
      </c>
      <c r="AA506" s="518">
        <f t="shared" si="303"/>
        <v>5.5317545898593377</v>
      </c>
      <c r="AB506" s="518">
        <f t="shared" si="303"/>
        <v>5.3531177417748195</v>
      </c>
      <c r="AC506" s="449" t="s">
        <v>451</v>
      </c>
      <c r="AD506" s="449" t="s">
        <v>454</v>
      </c>
      <c r="AG506" s="605">
        <f>+IF(Tabla3[[#This Row],[Amortización k | cupón de intereses]]="Amortización de K",Tabla3[[#This Row],[Valor Nominal]],0)</f>
        <v>0</v>
      </c>
      <c r="AH506" s="605">
        <f>+IF(AND(Tabla3[[#This Row],[Amortización k | cupón de intereses]]="Cupón de interés",Tabla3[[#This Row],[Estado]]="Vigente"),Tabla3[[#This Row],[Valor Nominal]],0)</f>
        <v>16250</v>
      </c>
      <c r="AI506" s="618">
        <f>+IF(Tabla3[[#This Row],[Amortización k | cupón de intereses]]="Amortización de K",SUMIFS($AH$7:$AH$557,Tabla3[Código Emisión],Tabla3[[#This Row],[Código Emisión]],Tabla3[Fecha de operación],Tabla3[[#This Row],[Fecha de operación]]),0)-Tabla3[[#This Row],[Accrued]]*Tabla3[[#This Row],[Valor Nominal]]</f>
        <v>0</v>
      </c>
      <c r="AJ506" s="605">
        <f>+IF(Tabla3[[#This Row],[Amortización k | cupón de intereses]]="Amortización de K",IF(Tabla3[[#This Row],[Precio Clean]]&gt;1,Tabla3[[#This Row],[Valor Nominal]]*(Tabla3[[#This Row],[Precio Clean]]-1),0),0)</f>
        <v>0</v>
      </c>
      <c r="AK506" s="605">
        <f>+IF(Tabla3[[#This Row],[Amortización k | cupón de intereses]]="Amortización de K",IF(Tabla3[[#This Row],[Precio Clean]]&lt;1,Tabla3[[#This Row],[Valor Nominal]]*(Tabla3[[#This Row],[Precio Clean]]-1),0),0)</f>
        <v>0</v>
      </c>
    </row>
    <row r="507" spans="1:37">
      <c r="A507" s="502"/>
      <c r="B507" s="437" t="str">
        <f t="shared" si="308"/>
        <v>Gobierno de Colombia</v>
      </c>
      <c r="C507" s="437" t="str">
        <f t="shared" si="308"/>
        <v>Colombia-US195325EV39-6.5%-21012033</v>
      </c>
      <c r="D507" s="437" t="str">
        <f t="shared" si="308"/>
        <v>Bonos soberanos extranjeros</v>
      </c>
      <c r="E507" s="437" t="s">
        <v>612</v>
      </c>
      <c r="F507" s="437" t="str">
        <f t="shared" si="305"/>
        <v>Gobierno</v>
      </c>
      <c r="G507" s="437" t="str">
        <f t="shared" si="305"/>
        <v>Colombia</v>
      </c>
      <c r="H507" s="437">
        <f t="shared" si="299"/>
        <v>500</v>
      </c>
      <c r="I507" s="445">
        <v>32.5</v>
      </c>
      <c r="J507" s="462"/>
      <c r="K507" s="450"/>
      <c r="L507" s="462"/>
      <c r="M507" s="493"/>
      <c r="N507" s="493"/>
      <c r="O507" s="516">
        <f t="shared" si="306"/>
        <v>6.6741236304393839E-2</v>
      </c>
      <c r="P507" s="516">
        <f t="shared" si="300"/>
        <v>6.5663318456707032E-2</v>
      </c>
      <c r="Q507" s="450">
        <f t="shared" si="300"/>
        <v>46107</v>
      </c>
      <c r="R507" s="450">
        <v>47504</v>
      </c>
      <c r="S507" s="509" t="s">
        <v>146</v>
      </c>
      <c r="T507" s="510">
        <f>Tabla3[[#This Row],[Cantidad]]*Tabla3[[#This Row],[Cortes]]</f>
        <v>16250</v>
      </c>
      <c r="U507" s="583">
        <f t="shared" si="301"/>
        <v>12657.800366377272</v>
      </c>
      <c r="V507" s="511">
        <f t="shared" si="302"/>
        <v>12655.528901932503</v>
      </c>
      <c r="W507" s="497">
        <f>IF(Tabla3[[#This Row],[Fecha de operación]]=$C$1,0,U507-V507)</f>
        <v>2.2714644447696628</v>
      </c>
      <c r="X507" s="512" t="str">
        <f t="shared" si="291"/>
        <v>Vigente</v>
      </c>
      <c r="Y507" s="517" t="str">
        <f t="shared" si="307"/>
        <v>Semestral</v>
      </c>
      <c r="Z507" s="449">
        <f t="shared" si="292"/>
        <v>1392</v>
      </c>
      <c r="AA507" s="518">
        <f t="shared" si="303"/>
        <v>5.5317545898593377</v>
      </c>
      <c r="AB507" s="518">
        <f t="shared" si="303"/>
        <v>5.3531177417748195</v>
      </c>
      <c r="AC507" s="449" t="s">
        <v>451</v>
      </c>
      <c r="AD507" s="449" t="s">
        <v>454</v>
      </c>
      <c r="AG507" s="605">
        <f>+IF(Tabla3[[#This Row],[Amortización k | cupón de intereses]]="Amortización de K",Tabla3[[#This Row],[Valor Nominal]],0)</f>
        <v>0</v>
      </c>
      <c r="AH507" s="605">
        <f>+IF(AND(Tabla3[[#This Row],[Amortización k | cupón de intereses]]="Cupón de interés",Tabla3[[#This Row],[Estado]]="Vigente"),Tabla3[[#This Row],[Valor Nominal]],0)</f>
        <v>16250</v>
      </c>
      <c r="AI507" s="618">
        <f>+IF(Tabla3[[#This Row],[Amortización k | cupón de intereses]]="Amortización de K",SUMIFS($AH$7:$AH$557,Tabla3[Código Emisión],Tabla3[[#This Row],[Código Emisión]],Tabla3[Fecha de operación],Tabla3[[#This Row],[Fecha de operación]]),0)-Tabla3[[#This Row],[Accrued]]*Tabla3[[#This Row],[Valor Nominal]]</f>
        <v>0</v>
      </c>
      <c r="AJ507" s="605">
        <f>+IF(Tabla3[[#This Row],[Amortización k | cupón de intereses]]="Amortización de K",IF(Tabla3[[#This Row],[Precio Clean]]&gt;1,Tabla3[[#This Row],[Valor Nominal]]*(Tabla3[[#This Row],[Precio Clean]]-1),0),0)</f>
        <v>0</v>
      </c>
      <c r="AK507" s="605">
        <f>+IF(Tabla3[[#This Row],[Amortización k | cupón de intereses]]="Amortización de K",IF(Tabla3[[#This Row],[Precio Clean]]&lt;1,Tabla3[[#This Row],[Valor Nominal]]*(Tabla3[[#This Row],[Precio Clean]]-1),0),0)</f>
        <v>0</v>
      </c>
    </row>
    <row r="508" spans="1:37">
      <c r="A508" s="502"/>
      <c r="B508" s="437" t="str">
        <f t="shared" si="308"/>
        <v>Gobierno de Colombia</v>
      </c>
      <c r="C508" s="437" t="str">
        <f t="shared" si="308"/>
        <v>Colombia-US195325EV39-6.5%-21012033</v>
      </c>
      <c r="D508" s="437" t="str">
        <f t="shared" si="308"/>
        <v>Bonos soberanos extranjeros</v>
      </c>
      <c r="E508" s="437" t="s">
        <v>612</v>
      </c>
      <c r="F508" s="437" t="str">
        <f t="shared" si="305"/>
        <v>Gobierno</v>
      </c>
      <c r="G508" s="437" t="str">
        <f t="shared" si="305"/>
        <v>Colombia</v>
      </c>
      <c r="H508" s="437">
        <f t="shared" si="299"/>
        <v>500</v>
      </c>
      <c r="I508" s="445">
        <v>32.5</v>
      </c>
      <c r="J508" s="462"/>
      <c r="K508" s="450"/>
      <c r="L508" s="462"/>
      <c r="M508" s="493"/>
      <c r="N508" s="493"/>
      <c r="O508" s="516">
        <f t="shared" si="306"/>
        <v>6.6741236304393839E-2</v>
      </c>
      <c r="P508" s="516">
        <f t="shared" si="300"/>
        <v>6.5663318456707032E-2</v>
      </c>
      <c r="Q508" s="450">
        <f t="shared" si="300"/>
        <v>46107</v>
      </c>
      <c r="R508" s="450">
        <v>47320</v>
      </c>
      <c r="S508" s="509" t="s">
        <v>146</v>
      </c>
      <c r="T508" s="510">
        <f>Tabla3[[#This Row],[Cantidad]]*Tabla3[[#This Row],[Cortes]]</f>
        <v>16250</v>
      </c>
      <c r="U508" s="583">
        <f t="shared" si="301"/>
        <v>13082.765327674204</v>
      </c>
      <c r="V508" s="511">
        <f t="shared" si="302"/>
        <v>13080.417602522843</v>
      </c>
      <c r="W508" s="497">
        <f>IF(Tabla3[[#This Row],[Fecha de operación]]=$C$1,0,U508-V508)</f>
        <v>2.3477251513613737</v>
      </c>
      <c r="X508" s="512" t="str">
        <f t="shared" si="291"/>
        <v>Vigente</v>
      </c>
      <c r="Y508" s="517" t="str">
        <f t="shared" si="307"/>
        <v>Semestral</v>
      </c>
      <c r="Z508" s="449">
        <f t="shared" si="292"/>
        <v>1208</v>
      </c>
      <c r="AA508" s="518">
        <f t="shared" si="303"/>
        <v>5.5317545898593377</v>
      </c>
      <c r="AB508" s="518">
        <f t="shared" si="303"/>
        <v>5.3531177417748195</v>
      </c>
      <c r="AC508" s="449" t="s">
        <v>451</v>
      </c>
      <c r="AD508" s="449" t="s">
        <v>454</v>
      </c>
      <c r="AG508" s="605">
        <f>+IF(Tabla3[[#This Row],[Amortización k | cupón de intereses]]="Amortización de K",Tabla3[[#This Row],[Valor Nominal]],0)</f>
        <v>0</v>
      </c>
      <c r="AH508" s="605">
        <f>+IF(AND(Tabla3[[#This Row],[Amortización k | cupón de intereses]]="Cupón de interés",Tabla3[[#This Row],[Estado]]="Vigente"),Tabla3[[#This Row],[Valor Nominal]],0)</f>
        <v>16250</v>
      </c>
      <c r="AI508" s="618">
        <f>+IF(Tabla3[[#This Row],[Amortización k | cupón de intereses]]="Amortización de K",SUMIFS($AH$7:$AH$557,Tabla3[Código Emisión],Tabla3[[#This Row],[Código Emisión]],Tabla3[Fecha de operación],Tabla3[[#This Row],[Fecha de operación]]),0)-Tabla3[[#This Row],[Accrued]]*Tabla3[[#This Row],[Valor Nominal]]</f>
        <v>0</v>
      </c>
      <c r="AJ508" s="605">
        <f>+IF(Tabla3[[#This Row],[Amortización k | cupón de intereses]]="Amortización de K",IF(Tabla3[[#This Row],[Precio Clean]]&gt;1,Tabla3[[#This Row],[Valor Nominal]]*(Tabla3[[#This Row],[Precio Clean]]-1),0),0)</f>
        <v>0</v>
      </c>
      <c r="AK508" s="605">
        <f>+IF(Tabla3[[#This Row],[Amortización k | cupón de intereses]]="Amortización de K",IF(Tabla3[[#This Row],[Precio Clean]]&lt;1,Tabla3[[#This Row],[Valor Nominal]]*(Tabla3[[#This Row],[Precio Clean]]-1),0),0)</f>
        <v>0</v>
      </c>
    </row>
    <row r="509" spans="1:37">
      <c r="A509" s="502"/>
      <c r="B509" s="437" t="str">
        <f t="shared" si="308"/>
        <v>Gobierno de Colombia</v>
      </c>
      <c r="C509" s="437" t="str">
        <f t="shared" si="308"/>
        <v>Colombia-US195325EV39-6.5%-21012033</v>
      </c>
      <c r="D509" s="437" t="str">
        <f t="shared" si="308"/>
        <v>Bonos soberanos extranjeros</v>
      </c>
      <c r="E509" s="437" t="s">
        <v>612</v>
      </c>
      <c r="F509" s="437" t="str">
        <f t="shared" si="305"/>
        <v>Gobierno</v>
      </c>
      <c r="G509" s="437" t="str">
        <f t="shared" si="305"/>
        <v>Colombia</v>
      </c>
      <c r="H509" s="437">
        <f t="shared" si="299"/>
        <v>500</v>
      </c>
      <c r="I509" s="445">
        <v>32.5</v>
      </c>
      <c r="J509" s="462"/>
      <c r="K509" s="450"/>
      <c r="L509" s="462"/>
      <c r="M509" s="493"/>
      <c r="N509" s="493"/>
      <c r="O509" s="516">
        <f t="shared" si="306"/>
        <v>6.6741236304393839E-2</v>
      </c>
      <c r="P509" s="516">
        <f t="shared" si="300"/>
        <v>6.5663318456707032E-2</v>
      </c>
      <c r="Q509" s="450">
        <f t="shared" si="300"/>
        <v>46107</v>
      </c>
      <c r="R509" s="450">
        <v>47139</v>
      </c>
      <c r="S509" s="509" t="s">
        <v>146</v>
      </c>
      <c r="T509" s="510">
        <f>Tabla3[[#This Row],[Cantidad]]*Tabla3[[#This Row],[Cortes]]</f>
        <v>16250</v>
      </c>
      <c r="U509" s="583">
        <f t="shared" si="301"/>
        <v>13514.719460753993</v>
      </c>
      <c r="V509" s="511">
        <f t="shared" si="302"/>
        <v>13512.294220676922</v>
      </c>
      <c r="W509" s="497">
        <f>IF(Tabla3[[#This Row],[Fecha de operación]]=$C$1,0,U509-V509)</f>
        <v>2.4252400770710665</v>
      </c>
      <c r="X509" s="512" t="str">
        <f t="shared" si="291"/>
        <v>Vigente</v>
      </c>
      <c r="Y509" s="517" t="str">
        <f t="shared" si="307"/>
        <v>Semestral</v>
      </c>
      <c r="Z509" s="449">
        <f t="shared" si="292"/>
        <v>1027</v>
      </c>
      <c r="AA509" s="518">
        <f t="shared" si="303"/>
        <v>5.5317545898593377</v>
      </c>
      <c r="AB509" s="518">
        <f t="shared" si="303"/>
        <v>5.3531177417748195</v>
      </c>
      <c r="AC509" s="449" t="s">
        <v>451</v>
      </c>
      <c r="AD509" s="449" t="s">
        <v>454</v>
      </c>
      <c r="AG509" s="605">
        <f>+IF(Tabla3[[#This Row],[Amortización k | cupón de intereses]]="Amortización de K",Tabla3[[#This Row],[Valor Nominal]],0)</f>
        <v>0</v>
      </c>
      <c r="AH509" s="605">
        <f>+IF(AND(Tabla3[[#This Row],[Amortización k | cupón de intereses]]="Cupón de interés",Tabla3[[#This Row],[Estado]]="Vigente"),Tabla3[[#This Row],[Valor Nominal]],0)</f>
        <v>16250</v>
      </c>
      <c r="AI509" s="618">
        <f>+IF(Tabla3[[#This Row],[Amortización k | cupón de intereses]]="Amortización de K",SUMIFS($AH$7:$AH$557,Tabla3[Código Emisión],Tabla3[[#This Row],[Código Emisión]],Tabla3[Fecha de operación],Tabla3[[#This Row],[Fecha de operación]]),0)-Tabla3[[#This Row],[Accrued]]*Tabla3[[#This Row],[Valor Nominal]]</f>
        <v>0</v>
      </c>
      <c r="AJ509" s="605">
        <f>+IF(Tabla3[[#This Row],[Amortización k | cupón de intereses]]="Amortización de K",IF(Tabla3[[#This Row],[Precio Clean]]&gt;1,Tabla3[[#This Row],[Valor Nominal]]*(Tabla3[[#This Row],[Precio Clean]]-1),0),0)</f>
        <v>0</v>
      </c>
      <c r="AK509" s="605">
        <f>+IF(Tabla3[[#This Row],[Amortización k | cupón de intereses]]="Amortización de K",IF(Tabla3[[#This Row],[Precio Clean]]&lt;1,Tabla3[[#This Row],[Valor Nominal]]*(Tabla3[[#This Row],[Precio Clean]]-1),0),0)</f>
        <v>0</v>
      </c>
    </row>
    <row r="510" spans="1:37">
      <c r="A510" s="502"/>
      <c r="B510" s="437" t="str">
        <f t="shared" si="308"/>
        <v>Gobierno de Colombia</v>
      </c>
      <c r="C510" s="437" t="str">
        <f t="shared" si="308"/>
        <v>Colombia-US195325EV39-6.5%-21012033</v>
      </c>
      <c r="D510" s="437" t="str">
        <f t="shared" si="308"/>
        <v>Bonos soberanos extranjeros</v>
      </c>
      <c r="E510" s="437" t="s">
        <v>612</v>
      </c>
      <c r="F510" s="437" t="str">
        <f t="shared" si="305"/>
        <v>Gobierno</v>
      </c>
      <c r="G510" s="437" t="str">
        <f t="shared" si="305"/>
        <v>Colombia</v>
      </c>
      <c r="H510" s="437">
        <f t="shared" si="299"/>
        <v>500</v>
      </c>
      <c r="I510" s="445">
        <v>32.5</v>
      </c>
      <c r="J510" s="462"/>
      <c r="K510" s="450"/>
      <c r="L510" s="462"/>
      <c r="M510" s="493"/>
      <c r="N510" s="493"/>
      <c r="O510" s="516">
        <f t="shared" si="306"/>
        <v>6.6741236304393839E-2</v>
      </c>
      <c r="P510" s="516">
        <f t="shared" si="300"/>
        <v>6.5663318456707032E-2</v>
      </c>
      <c r="Q510" s="450">
        <f t="shared" si="300"/>
        <v>46107</v>
      </c>
      <c r="R510" s="450">
        <v>46955</v>
      </c>
      <c r="S510" s="509" t="s">
        <v>146</v>
      </c>
      <c r="T510" s="510">
        <f>Tabla3[[#This Row],[Cantidad]]*Tabla3[[#This Row],[Cortes]]</f>
        <v>16250</v>
      </c>
      <c r="U510" s="583">
        <f t="shared" si="301"/>
        <v>13968.454080225003</v>
      </c>
      <c r="V510" s="511">
        <f t="shared" si="302"/>
        <v>13965.947416675792</v>
      </c>
      <c r="W510" s="497">
        <f>IF(Tabla3[[#This Row],[Fecha de operación]]=$C$1,0,U510-V510)</f>
        <v>2.5066635492112255</v>
      </c>
      <c r="X510" s="512" t="str">
        <f t="shared" si="291"/>
        <v>Vigente</v>
      </c>
      <c r="Y510" s="517" t="str">
        <f t="shared" si="307"/>
        <v>Semestral</v>
      </c>
      <c r="Z510" s="449">
        <f t="shared" si="292"/>
        <v>843</v>
      </c>
      <c r="AA510" s="518">
        <f t="shared" si="303"/>
        <v>5.5317545898593377</v>
      </c>
      <c r="AB510" s="518">
        <f t="shared" si="303"/>
        <v>5.3531177417748195</v>
      </c>
      <c r="AC510" s="449" t="s">
        <v>451</v>
      </c>
      <c r="AD510" s="449" t="s">
        <v>454</v>
      </c>
      <c r="AG510" s="605">
        <f>+IF(Tabla3[[#This Row],[Amortización k | cupón de intereses]]="Amortización de K",Tabla3[[#This Row],[Valor Nominal]],0)</f>
        <v>0</v>
      </c>
      <c r="AH510" s="605">
        <f>+IF(AND(Tabla3[[#This Row],[Amortización k | cupón de intereses]]="Cupón de interés",Tabla3[[#This Row],[Estado]]="Vigente"),Tabla3[[#This Row],[Valor Nominal]],0)</f>
        <v>16250</v>
      </c>
      <c r="AI510" s="618">
        <f>+IF(Tabla3[[#This Row],[Amortización k | cupón de intereses]]="Amortización de K",SUMIFS($AH$7:$AH$557,Tabla3[Código Emisión],Tabla3[[#This Row],[Código Emisión]],Tabla3[Fecha de operación],Tabla3[[#This Row],[Fecha de operación]]),0)-Tabla3[[#This Row],[Accrued]]*Tabla3[[#This Row],[Valor Nominal]]</f>
        <v>0</v>
      </c>
      <c r="AJ510" s="605">
        <f>+IF(Tabla3[[#This Row],[Amortización k | cupón de intereses]]="Amortización de K",IF(Tabla3[[#This Row],[Precio Clean]]&gt;1,Tabla3[[#This Row],[Valor Nominal]]*(Tabla3[[#This Row],[Precio Clean]]-1),0),0)</f>
        <v>0</v>
      </c>
      <c r="AK510" s="605">
        <f>+IF(Tabla3[[#This Row],[Amortización k | cupón de intereses]]="Amortización de K",IF(Tabla3[[#This Row],[Precio Clean]]&lt;1,Tabla3[[#This Row],[Valor Nominal]]*(Tabla3[[#This Row],[Precio Clean]]-1),0),0)</f>
        <v>0</v>
      </c>
    </row>
    <row r="511" spans="1:37">
      <c r="A511" s="502"/>
      <c r="B511" s="437" t="str">
        <f t="shared" si="308"/>
        <v>Gobierno de Colombia</v>
      </c>
      <c r="C511" s="437" t="str">
        <f t="shared" si="308"/>
        <v>Colombia-US195325EV39-6.5%-21012033</v>
      </c>
      <c r="D511" s="437" t="str">
        <f t="shared" si="308"/>
        <v>Bonos soberanos extranjeros</v>
      </c>
      <c r="E511" s="437" t="s">
        <v>612</v>
      </c>
      <c r="F511" s="437" t="str">
        <f t="shared" si="305"/>
        <v>Gobierno</v>
      </c>
      <c r="G511" s="437" t="str">
        <f t="shared" si="305"/>
        <v>Colombia</v>
      </c>
      <c r="H511" s="437">
        <f t="shared" si="299"/>
        <v>500</v>
      </c>
      <c r="I511" s="445">
        <v>32.5</v>
      </c>
      <c r="J511" s="462"/>
      <c r="K511" s="450"/>
      <c r="L511" s="462"/>
      <c r="M511" s="493"/>
      <c r="N511" s="493"/>
      <c r="O511" s="516">
        <f t="shared" si="306"/>
        <v>6.6741236304393839E-2</v>
      </c>
      <c r="P511" s="516">
        <f t="shared" si="300"/>
        <v>6.5663318456707032E-2</v>
      </c>
      <c r="Q511" s="450">
        <f t="shared" si="300"/>
        <v>46107</v>
      </c>
      <c r="R511" s="450">
        <v>46773</v>
      </c>
      <c r="S511" s="509" t="s">
        <v>146</v>
      </c>
      <c r="T511" s="510">
        <f>Tabla3[[#This Row],[Cantidad]]*Tabla3[[#This Row],[Cortes]]</f>
        <v>16250</v>
      </c>
      <c r="U511" s="583">
        <f t="shared" si="301"/>
        <v>14432.240921593751</v>
      </c>
      <c r="V511" s="511">
        <f t="shared" si="302"/>
        <v>14429.651030683575</v>
      </c>
      <c r="W511" s="497">
        <f>IF(Tabla3[[#This Row],[Fecha de operación]]=$C$1,0,U511-V511)</f>
        <v>2.5898909101761092</v>
      </c>
      <c r="X511" s="512" t="str">
        <f t="shared" si="291"/>
        <v>Vigente</v>
      </c>
      <c r="Y511" s="517" t="str">
        <f t="shared" si="307"/>
        <v>Semestral</v>
      </c>
      <c r="Z511" s="449">
        <f t="shared" si="292"/>
        <v>661</v>
      </c>
      <c r="AA511" s="518">
        <f t="shared" si="303"/>
        <v>5.5317545898593377</v>
      </c>
      <c r="AB511" s="518">
        <f t="shared" si="303"/>
        <v>5.3531177417748195</v>
      </c>
      <c r="AC511" s="449" t="s">
        <v>451</v>
      </c>
      <c r="AD511" s="449" t="s">
        <v>454</v>
      </c>
      <c r="AG511" s="605">
        <f>+IF(Tabla3[[#This Row],[Amortización k | cupón de intereses]]="Amortización de K",Tabla3[[#This Row],[Valor Nominal]],0)</f>
        <v>0</v>
      </c>
      <c r="AH511" s="605">
        <f>+IF(AND(Tabla3[[#This Row],[Amortización k | cupón de intereses]]="Cupón de interés",Tabla3[[#This Row],[Estado]]="Vigente"),Tabla3[[#This Row],[Valor Nominal]],0)</f>
        <v>16250</v>
      </c>
      <c r="AI511" s="618">
        <f>+IF(Tabla3[[#This Row],[Amortización k | cupón de intereses]]="Amortización de K",SUMIFS($AH$7:$AH$557,Tabla3[Código Emisión],Tabla3[[#This Row],[Código Emisión]],Tabla3[Fecha de operación],Tabla3[[#This Row],[Fecha de operación]]),0)-Tabla3[[#This Row],[Accrued]]*Tabla3[[#This Row],[Valor Nominal]]</f>
        <v>0</v>
      </c>
      <c r="AJ511" s="605">
        <f>+IF(Tabla3[[#This Row],[Amortización k | cupón de intereses]]="Amortización de K",IF(Tabla3[[#This Row],[Precio Clean]]&gt;1,Tabla3[[#This Row],[Valor Nominal]]*(Tabla3[[#This Row],[Precio Clean]]-1),0),0)</f>
        <v>0</v>
      </c>
      <c r="AK511" s="605">
        <f>+IF(Tabla3[[#This Row],[Amortización k | cupón de intereses]]="Amortización de K",IF(Tabla3[[#This Row],[Precio Clean]]&lt;1,Tabla3[[#This Row],[Valor Nominal]]*(Tabla3[[#This Row],[Precio Clean]]-1),0),0)</f>
        <v>0</v>
      </c>
    </row>
    <row r="512" spans="1:37">
      <c r="A512" s="502"/>
      <c r="B512" s="437" t="str">
        <f t="shared" si="308"/>
        <v>Gobierno de Colombia</v>
      </c>
      <c r="C512" s="437" t="str">
        <f t="shared" si="308"/>
        <v>Colombia-US195325EV39-6.5%-21012033</v>
      </c>
      <c r="D512" s="437" t="str">
        <f t="shared" si="308"/>
        <v>Bonos soberanos extranjeros</v>
      </c>
      <c r="E512" s="437" t="s">
        <v>612</v>
      </c>
      <c r="F512" s="437" t="str">
        <f t="shared" si="305"/>
        <v>Gobierno</v>
      </c>
      <c r="G512" s="437" t="str">
        <f t="shared" si="305"/>
        <v>Colombia</v>
      </c>
      <c r="H512" s="437">
        <f t="shared" si="299"/>
        <v>500</v>
      </c>
      <c r="I512" s="445">
        <v>32.5</v>
      </c>
      <c r="J512" s="462"/>
      <c r="K512" s="450"/>
      <c r="L512" s="462"/>
      <c r="M512" s="493"/>
      <c r="N512" s="493"/>
      <c r="O512" s="516">
        <f t="shared" si="306"/>
        <v>6.6741236304393839E-2</v>
      </c>
      <c r="P512" s="516">
        <f t="shared" si="300"/>
        <v>6.5663318456707032E-2</v>
      </c>
      <c r="Q512" s="450">
        <f t="shared" si="300"/>
        <v>46107</v>
      </c>
      <c r="R512" s="450">
        <v>46589</v>
      </c>
      <c r="S512" s="509" t="s">
        <v>146</v>
      </c>
      <c r="T512" s="510">
        <f>Tabla3[[#This Row],[Cantidad]]*Tabla3[[#This Row],[Cortes]]</f>
        <v>16250</v>
      </c>
      <c r="U512" s="583">
        <f t="shared" si="301"/>
        <v>14916.779824653449</v>
      </c>
      <c r="V512" s="511">
        <f t="shared" si="302"/>
        <v>14914.102982388491</v>
      </c>
      <c r="W512" s="497">
        <f>IF(Tabla3[[#This Row],[Fecha de operación]]=$C$1,0,U512-V512)</f>
        <v>2.6768422649583954</v>
      </c>
      <c r="X512" s="512" t="str">
        <f t="shared" si="291"/>
        <v>Vigente</v>
      </c>
      <c r="Y512" s="517" t="str">
        <f t="shared" si="307"/>
        <v>Semestral</v>
      </c>
      <c r="Z512" s="449">
        <f t="shared" si="292"/>
        <v>477</v>
      </c>
      <c r="AA512" s="518">
        <f t="shared" si="303"/>
        <v>5.5317545898593377</v>
      </c>
      <c r="AB512" s="518">
        <f t="shared" si="303"/>
        <v>5.3531177417748195</v>
      </c>
      <c r="AC512" s="449" t="s">
        <v>451</v>
      </c>
      <c r="AD512" s="449" t="s">
        <v>454</v>
      </c>
      <c r="AG512" s="605">
        <f>+IF(Tabla3[[#This Row],[Amortización k | cupón de intereses]]="Amortización de K",Tabla3[[#This Row],[Valor Nominal]],0)</f>
        <v>0</v>
      </c>
      <c r="AH512" s="605">
        <f>+IF(AND(Tabla3[[#This Row],[Amortización k | cupón de intereses]]="Cupón de interés",Tabla3[[#This Row],[Estado]]="Vigente"),Tabla3[[#This Row],[Valor Nominal]],0)</f>
        <v>16250</v>
      </c>
      <c r="AI512" s="618">
        <f>+IF(Tabla3[[#This Row],[Amortización k | cupón de intereses]]="Amortización de K",SUMIFS($AH$7:$AH$557,Tabla3[Código Emisión],Tabla3[[#This Row],[Código Emisión]],Tabla3[Fecha de operación],Tabla3[[#This Row],[Fecha de operación]]),0)-Tabla3[[#This Row],[Accrued]]*Tabla3[[#This Row],[Valor Nominal]]</f>
        <v>0</v>
      </c>
      <c r="AJ512" s="605">
        <f>+IF(Tabla3[[#This Row],[Amortización k | cupón de intereses]]="Amortización de K",IF(Tabla3[[#This Row],[Precio Clean]]&gt;1,Tabla3[[#This Row],[Valor Nominal]]*(Tabla3[[#This Row],[Precio Clean]]-1),0),0)</f>
        <v>0</v>
      </c>
      <c r="AK512" s="605">
        <f>+IF(Tabla3[[#This Row],[Amortización k | cupón de intereses]]="Amortización de K",IF(Tabla3[[#This Row],[Precio Clean]]&lt;1,Tabla3[[#This Row],[Valor Nominal]]*(Tabla3[[#This Row],[Precio Clean]]-1),0),0)</f>
        <v>0</v>
      </c>
    </row>
    <row r="513" spans="1:41">
      <c r="A513" s="502"/>
      <c r="B513" s="437" t="str">
        <f t="shared" si="308"/>
        <v>Gobierno de Colombia</v>
      </c>
      <c r="C513" s="437" t="str">
        <f t="shared" si="308"/>
        <v>Colombia-US195325EV39-6.5%-21012033</v>
      </c>
      <c r="D513" s="437" t="str">
        <f t="shared" si="308"/>
        <v>Bonos soberanos extranjeros</v>
      </c>
      <c r="E513" s="437" t="s">
        <v>612</v>
      </c>
      <c r="F513" s="437" t="str">
        <f t="shared" si="305"/>
        <v>Gobierno</v>
      </c>
      <c r="G513" s="437" t="str">
        <f t="shared" si="305"/>
        <v>Colombia</v>
      </c>
      <c r="H513" s="437">
        <f t="shared" si="299"/>
        <v>500</v>
      </c>
      <c r="I513" s="445">
        <v>32.5</v>
      </c>
      <c r="J513" s="462"/>
      <c r="K513" s="450"/>
      <c r="L513" s="462"/>
      <c r="M513" s="493"/>
      <c r="N513" s="493"/>
      <c r="O513" s="516">
        <f t="shared" si="306"/>
        <v>6.6741236304393839E-2</v>
      </c>
      <c r="P513" s="516">
        <f t="shared" si="300"/>
        <v>6.5663318456707032E-2</v>
      </c>
      <c r="Q513" s="450">
        <f t="shared" si="300"/>
        <v>46107</v>
      </c>
      <c r="R513" s="450">
        <v>46408</v>
      </c>
      <c r="S513" s="509" t="s">
        <v>146</v>
      </c>
      <c r="T513" s="510">
        <f>Tabla3[[#This Row],[Cantidad]]*Tabla3[[#This Row],[Cortes]]</f>
        <v>16250</v>
      </c>
      <c r="U513" s="583">
        <f t="shared" si="301"/>
        <v>15409.287680303089</v>
      </c>
      <c r="V513" s="511">
        <f t="shared" si="302"/>
        <v>15406.522456640849</v>
      </c>
      <c r="W513" s="497">
        <f>IF(Tabla3[[#This Row],[Fecha de operación]]=$C$1,0,U513-V513)</f>
        <v>2.765223662239805</v>
      </c>
      <c r="X513" s="512" t="str">
        <f t="shared" si="291"/>
        <v>Vigente</v>
      </c>
      <c r="Y513" s="517" t="str">
        <f t="shared" si="307"/>
        <v>Semestral</v>
      </c>
      <c r="Z513" s="449">
        <f t="shared" si="292"/>
        <v>296</v>
      </c>
      <c r="AA513" s="518">
        <f t="shared" si="303"/>
        <v>5.5317545898593377</v>
      </c>
      <c r="AB513" s="518">
        <f t="shared" si="303"/>
        <v>5.3531177417748195</v>
      </c>
      <c r="AC513" s="449" t="s">
        <v>451</v>
      </c>
      <c r="AD513" s="449" t="s">
        <v>454</v>
      </c>
      <c r="AG513" s="605">
        <f>+IF(Tabla3[[#This Row],[Amortización k | cupón de intereses]]="Amortización de K",Tabla3[[#This Row],[Valor Nominal]],0)</f>
        <v>0</v>
      </c>
      <c r="AH513" s="605">
        <f>+IF(AND(Tabla3[[#This Row],[Amortización k | cupón de intereses]]="Cupón de interés",Tabla3[[#This Row],[Estado]]="Vigente"),Tabla3[[#This Row],[Valor Nominal]],0)</f>
        <v>16250</v>
      </c>
      <c r="AI513" s="618">
        <f>+IF(Tabla3[[#This Row],[Amortización k | cupón de intereses]]="Amortización de K",SUMIFS($AH$7:$AH$557,Tabla3[Código Emisión],Tabla3[[#This Row],[Código Emisión]],Tabla3[Fecha de operación],Tabla3[[#This Row],[Fecha de operación]]),0)-Tabla3[[#This Row],[Accrued]]*Tabla3[[#This Row],[Valor Nominal]]</f>
        <v>0</v>
      </c>
      <c r="AJ513" s="605">
        <f>+IF(Tabla3[[#This Row],[Amortización k | cupón de intereses]]="Amortización de K",IF(Tabla3[[#This Row],[Precio Clean]]&gt;1,Tabla3[[#This Row],[Valor Nominal]]*(Tabla3[[#This Row],[Precio Clean]]-1),0),0)</f>
        <v>0</v>
      </c>
      <c r="AK513" s="605">
        <f>+IF(Tabla3[[#This Row],[Amortización k | cupón de intereses]]="Amortización de K",IF(Tabla3[[#This Row],[Precio Clean]]&lt;1,Tabla3[[#This Row],[Valor Nominal]]*(Tabla3[[#This Row],[Precio Clean]]-1),0),0)</f>
        <v>0</v>
      </c>
    </row>
    <row r="514" spans="1:41">
      <c r="A514" s="502"/>
      <c r="B514" s="437" t="str">
        <f t="shared" si="308"/>
        <v>Gobierno de Colombia</v>
      </c>
      <c r="C514" s="437" t="str">
        <f t="shared" si="308"/>
        <v>Colombia-US195325EV39-6.5%-21012033</v>
      </c>
      <c r="D514" s="437" t="str">
        <f t="shared" si="308"/>
        <v>Bonos soberanos extranjeros</v>
      </c>
      <c r="E514" s="437" t="s">
        <v>612</v>
      </c>
      <c r="F514" s="437" t="str">
        <f t="shared" si="305"/>
        <v>Gobierno</v>
      </c>
      <c r="G514" s="437" t="str">
        <f t="shared" si="305"/>
        <v>Colombia</v>
      </c>
      <c r="H514" s="437">
        <f t="shared" si="305"/>
        <v>500</v>
      </c>
      <c r="I514" s="445">
        <v>32.5</v>
      </c>
      <c r="J514" s="462"/>
      <c r="K514" s="450"/>
      <c r="L514" s="462"/>
      <c r="M514" s="493"/>
      <c r="N514" s="493"/>
      <c r="O514" s="516">
        <f t="shared" si="306"/>
        <v>6.6741236304393839E-2</v>
      </c>
      <c r="P514" s="516">
        <f>+P513</f>
        <v>6.5663318456707032E-2</v>
      </c>
      <c r="Q514" s="450">
        <f>+Q513</f>
        <v>46107</v>
      </c>
      <c r="R514" s="450">
        <v>46224</v>
      </c>
      <c r="S514" s="509" t="s">
        <v>146</v>
      </c>
      <c r="T514" s="510">
        <f>Tabla3[[#This Row],[Cantidad]]*Tabla3[[#This Row],[Cortes]]</f>
        <v>16250</v>
      </c>
      <c r="U514" s="583">
        <f>IF(X514="VIgente",(T514/(1+O514)^((R514-$U$5)/360)))</f>
        <v>15926.629331548254</v>
      </c>
      <c r="V514" s="511">
        <f>IF(X514="VIgente",(T514/(1+O514)^((R514-$V$5)/360)))</f>
        <v>15923.771270020623</v>
      </c>
      <c r="W514" s="497">
        <f>IF(Tabla3[[#This Row],[Fecha de operación]]=$C$1,0,U514-V514)</f>
        <v>2.8580615276314347</v>
      </c>
      <c r="X514" s="512" t="str">
        <f>IF(R514&lt;=$U$5,"Vencido","Vigente")</f>
        <v>Vigente</v>
      </c>
      <c r="Y514" s="517" t="str">
        <f>+Y513</f>
        <v>Semestral</v>
      </c>
      <c r="Z514" s="449">
        <f>+R514-$U$5</f>
        <v>112</v>
      </c>
      <c r="AA514" s="518">
        <f>+AA513</f>
        <v>5.5317545898593377</v>
      </c>
      <c r="AB514" s="518">
        <f>+AB513</f>
        <v>5.3531177417748195</v>
      </c>
      <c r="AC514" s="449" t="s">
        <v>451</v>
      </c>
      <c r="AD514" s="449" t="s">
        <v>454</v>
      </c>
      <c r="AG514" s="605">
        <f>+IF(Tabla3[[#This Row],[Amortización k | cupón de intereses]]="Amortización de K",Tabla3[[#This Row],[Valor Nominal]],0)</f>
        <v>0</v>
      </c>
      <c r="AH514" s="605">
        <f>+IF(AND(Tabla3[[#This Row],[Amortización k | cupón de intereses]]="Cupón de interés",Tabla3[[#This Row],[Estado]]="Vigente"),Tabla3[[#This Row],[Valor Nominal]],0)</f>
        <v>16250</v>
      </c>
      <c r="AI514" s="618">
        <f>+IF(Tabla3[[#This Row],[Amortización k | cupón de intereses]]="Amortización de K",SUMIFS($AH$7:$AH$557,Tabla3[Código Emisión],Tabla3[[#This Row],[Código Emisión]],Tabla3[Fecha de operación],Tabla3[[#This Row],[Fecha de operación]]),0)-Tabla3[[#This Row],[Accrued]]*Tabla3[[#This Row],[Valor Nominal]]</f>
        <v>0</v>
      </c>
      <c r="AJ514" s="605">
        <f>+IF(Tabla3[[#This Row],[Amortización k | cupón de intereses]]="Amortización de K",IF(Tabla3[[#This Row],[Precio Clean]]&gt;1,Tabla3[[#This Row],[Valor Nominal]]*(Tabla3[[#This Row],[Precio Clean]]-1),0),0)</f>
        <v>0</v>
      </c>
      <c r="AK514" s="605">
        <f>+IF(Tabla3[[#This Row],[Amortización k | cupón de intereses]]="Amortización de K",IF(Tabla3[[#This Row],[Precio Clean]]&lt;1,Tabla3[[#This Row],[Valor Nominal]]*(Tabla3[[#This Row],[Precio Clean]]-1),0),0)</f>
        <v>0</v>
      </c>
    </row>
    <row r="515" spans="1:41">
      <c r="A515" s="502"/>
      <c r="B515" s="437" t="str">
        <f t="shared" si="308"/>
        <v>Gobierno de Colombia</v>
      </c>
      <c r="C515" s="437" t="str">
        <f t="shared" si="308"/>
        <v>Colombia-US195325EV39-6.5%-21012033</v>
      </c>
      <c r="D515" s="437" t="str">
        <f t="shared" si="308"/>
        <v>Bonos soberanos extranjeros</v>
      </c>
      <c r="E515" s="437" t="s">
        <v>612</v>
      </c>
      <c r="F515" s="437" t="str">
        <f t="shared" si="305"/>
        <v>Gobierno</v>
      </c>
      <c r="G515" s="437" t="str">
        <f t="shared" si="305"/>
        <v>Colombia</v>
      </c>
      <c r="H515" s="437">
        <f t="shared" si="305"/>
        <v>500</v>
      </c>
      <c r="I515" s="445">
        <v>32.5</v>
      </c>
      <c r="J515" s="462"/>
      <c r="K515" s="450"/>
      <c r="L515" s="462"/>
      <c r="M515" s="493"/>
      <c r="N515" s="493"/>
      <c r="O515" s="516">
        <f t="shared" si="306"/>
        <v>6.6741236304393839E-2</v>
      </c>
      <c r="P515" s="516">
        <f>+P514</f>
        <v>6.5663318456707032E-2</v>
      </c>
      <c r="Q515" s="450">
        <f>+Q514</f>
        <v>46107</v>
      </c>
      <c r="R515" s="450">
        <v>46043</v>
      </c>
      <c r="S515" s="509" t="s">
        <v>146</v>
      </c>
      <c r="T515" s="510">
        <f>Tabla3[[#This Row],[Cantidad]]*Tabla3[[#This Row],[Cortes]]</f>
        <v>16250</v>
      </c>
      <c r="U515" s="583" t="b">
        <f>IF(X515="VIgente",(T515/(1+O515)^((R515-$U$5)/360)))</f>
        <v>0</v>
      </c>
      <c r="V515" s="511" t="b">
        <f>IF(X515="VIgente",(T515/(1+O515)^((R515-$V$5)/360)))</f>
        <v>0</v>
      </c>
      <c r="W515" s="497">
        <f>IF(Tabla3[[#This Row],[Fecha de operación]]=$C$1,0,U515-V515)</f>
        <v>0</v>
      </c>
      <c r="X515" s="512" t="str">
        <f>IF(R515&lt;=$U$5,"Vencido","Vigente")</f>
        <v>Vencido</v>
      </c>
      <c r="Y515" s="517" t="str">
        <f>+Y514</f>
        <v>Semestral</v>
      </c>
      <c r="Z515" s="449">
        <f>+R515-$U$5</f>
        <v>-69</v>
      </c>
      <c r="AA515" s="518">
        <f>+AA514</f>
        <v>5.5317545898593377</v>
      </c>
      <c r="AB515" s="518">
        <f>+AB514</f>
        <v>5.3531177417748195</v>
      </c>
      <c r="AC515" s="449" t="s">
        <v>451</v>
      </c>
      <c r="AD515" s="449" t="s">
        <v>454</v>
      </c>
      <c r="AG515" s="605">
        <f>+IF(Tabla3[[#This Row],[Amortización k | cupón de intereses]]="Amortización de K",Tabla3[[#This Row],[Valor Nominal]],0)</f>
        <v>0</v>
      </c>
      <c r="AH515" s="605">
        <f>+IF(AND(Tabla3[[#This Row],[Amortización k | cupón de intereses]]="Cupón de interés",Tabla3[[#This Row],[Estado]]="Vigente"),Tabla3[[#This Row],[Valor Nominal]],0)</f>
        <v>0</v>
      </c>
      <c r="AI515" s="618">
        <f>+IF(Tabla3[[#This Row],[Amortización k | cupón de intereses]]="Amortización de K",SUMIFS($AH$7:$AH$557,Tabla3[Código Emisión],Tabla3[[#This Row],[Código Emisión]],Tabla3[Fecha de operación],Tabla3[[#This Row],[Fecha de operación]]),0)-Tabla3[[#This Row],[Accrued]]*Tabla3[[#This Row],[Valor Nominal]]</f>
        <v>0</v>
      </c>
      <c r="AJ515" s="605">
        <f>+IF(Tabla3[[#This Row],[Amortización k | cupón de intereses]]="Amortización de K",IF(Tabla3[[#This Row],[Precio Clean]]&gt;1,Tabla3[[#This Row],[Valor Nominal]]*(Tabla3[[#This Row],[Precio Clean]]-1),0),0)</f>
        <v>0</v>
      </c>
      <c r="AK515" s="605">
        <f>+IF(Tabla3[[#This Row],[Amortización k | cupón de intereses]]="Amortización de K",IF(Tabla3[[#This Row],[Precio Clean]]&lt;1,Tabla3[[#This Row],[Valor Nominal]]*(Tabla3[[#This Row],[Precio Clean]]-1),0),0)</f>
        <v>0</v>
      </c>
    </row>
    <row r="516" spans="1:41">
      <c r="A516" s="500">
        <f>+A500+1</f>
        <v>51</v>
      </c>
      <c r="B516" s="437" t="s">
        <v>624</v>
      </c>
      <c r="C516" s="475" t="s">
        <v>626</v>
      </c>
      <c r="D516" s="475" t="s">
        <v>602</v>
      </c>
      <c r="E516" s="475" t="s">
        <v>612</v>
      </c>
      <c r="F516" s="475" t="s">
        <v>520</v>
      </c>
      <c r="G516" s="475" t="s">
        <v>613</v>
      </c>
      <c r="H516" s="475">
        <v>500</v>
      </c>
      <c r="I516" s="477">
        <v>1000</v>
      </c>
      <c r="J516" s="478">
        <v>6.5000000000000002E-2</v>
      </c>
      <c r="K516" s="479">
        <f>_xlfn.MAXIFS(R:R,C:C,C516,AD:AD,"Cupón de interés",X:X,"Vencido")</f>
        <v>46043</v>
      </c>
      <c r="L516" s="478">
        <f>+Tabla3[[#This Row],[Tasa de Interés]]*($U$5-Tabla3[[#This Row],[Last coupon]])/365</f>
        <v>1.2287671232876713E-2</v>
      </c>
      <c r="M516" s="503">
        <f>+Tabla3[[#This Row],[Precio Dirty]]-Tabla3[[#This Row],[Accrued]]</f>
        <v>0.99034947670737583</v>
      </c>
      <c r="N516" s="503">
        <f>SUMIFS(U:U,C:C,C516,Q:Q,Q516)/SUMIFS(T:T,C:C,C516,Q:Q,Q516,AD:AD,"Amortización de K")</f>
        <v>1.0026371479402525</v>
      </c>
      <c r="O516" s="482">
        <v>6.6873565357210049E-2</v>
      </c>
      <c r="P516" s="482">
        <f>+NOMINAL(Tabla3[[#This Row],[YTM]],2)</f>
        <v>6.5791437059617763E-2</v>
      </c>
      <c r="Q516" s="484">
        <v>46107</v>
      </c>
      <c r="R516" s="484">
        <v>48600</v>
      </c>
      <c r="S516" s="504" t="s">
        <v>146</v>
      </c>
      <c r="T516" s="505">
        <f>Tabla3[[#This Row],[Cantidad]]*Tabla3[[#This Row],[Cortes]]</f>
        <v>500000</v>
      </c>
      <c r="U516" s="576">
        <f>IF(X516="VIgente",(T516/(1+O516)^((R516-$U$5)/360)))</f>
        <v>319652.60821869411</v>
      </c>
      <c r="V516" s="576">
        <f>IF(X516="VIgente",(T516/(1+O516)^((R516-$V$5)/360)))</f>
        <v>319595.13587812416</v>
      </c>
      <c r="W516" s="505">
        <f>IF(Tabla3[[#This Row],[Fecha de operación]]=$C$1,0,U516-V516)</f>
        <v>57.472340569947846</v>
      </c>
      <c r="X516" s="507" t="str">
        <f t="shared" ref="X516:X529" si="309">IF(R516&lt;=$U$5,"Vencido","Vigente")</f>
        <v>Vigente</v>
      </c>
      <c r="Y516" s="489" t="s">
        <v>488</v>
      </c>
      <c r="Z516" s="488">
        <f t="shared" ref="Z516:Z529" si="310">+R516-$U$5</f>
        <v>2488</v>
      </c>
      <c r="AA516" s="508">
        <f>IF(Y516="Mensual",DURATION($C$1,$C$1+Z516*12,J516/12,O516/12,1)/12,DURATION($C$1,R516,J516,O516,IF(Y516="Cupón cero",1,IF(Y516="Al vencimiento",1,IF(Y516="Anual",1,IF(Y516="Semestral",2,IF(Y516="Trimestral",4,"")))))))</f>
        <v>5.5312023040099758</v>
      </c>
      <c r="AB516" s="508">
        <f>IF(Y516="Mensual",MDURATION($C$1,$C$1+Z516*12,J516/12,O516/12,1)/12,MDURATION($C$1,R516,J516,O516,IF(Y516="Cupón cero",1,IF(Y516="Al vencimiento",1,IF(Y516="Anual",1,IF(Y516="Semestral",2,IF(Y516="Trimestral",4,"")))))))</f>
        <v>5.3522405982816261</v>
      </c>
      <c r="AC516" s="488" t="s">
        <v>451</v>
      </c>
      <c r="AD516" s="488" t="s">
        <v>452</v>
      </c>
      <c r="AG516" s="605">
        <f>+IF(Tabla3[[#This Row],[Amortización k | cupón de intereses]]="Amortización de K",Tabla3[[#This Row],[Valor Nominal]],0)</f>
        <v>500000</v>
      </c>
      <c r="AH516" s="605">
        <f>+IF(AND(Tabla3[[#This Row],[Amortización k | cupón de intereses]]="Cupón de interés",Tabla3[[#This Row],[Estado]]="Vigente"),Tabla3[[#This Row],[Valor Nominal]],0)</f>
        <v>0</v>
      </c>
      <c r="AI516" s="618">
        <f>+IF(Tabla3[[#This Row],[Amortización k | cupón de intereses]]="Amortización de K",SUMIFS($AH$7:$AH$557,Tabla3[Código Emisión],Tabla3[[#This Row],[Código Emisión]],Tabla3[Fecha de operación],Tabla3[[#This Row],[Fecha de operación]]),0)-Tabla3[[#This Row],[Accrued]]*Tabla3[[#This Row],[Valor Nominal]]</f>
        <v>221356.16438356164</v>
      </c>
      <c r="AJ516" s="605">
        <f>+IF(Tabla3[[#This Row],[Amortización k | cupón de intereses]]="Amortización de K",IF(Tabla3[[#This Row],[Precio Clean]]&gt;1,Tabla3[[#This Row],[Valor Nominal]]*(Tabla3[[#This Row],[Precio Clean]]-1),0),0)</f>
        <v>0</v>
      </c>
      <c r="AK516" s="605">
        <f>+IF(Tabla3[[#This Row],[Amortización k | cupón de intereses]]="Amortización de K",IF(Tabla3[[#This Row],[Precio Clean]]&lt;1,Tabla3[[#This Row],[Valor Nominal]]*(Tabla3[[#This Row],[Precio Clean]]-1),0),0)</f>
        <v>-4825.2616463120848</v>
      </c>
      <c r="AO516" s="611"/>
    </row>
    <row r="517" spans="1:41">
      <c r="A517" s="502"/>
      <c r="B517" s="437" t="str">
        <f>+B516</f>
        <v>Gobierno de Colombia</v>
      </c>
      <c r="C517" s="437" t="str">
        <f t="shared" ref="C517" si="311">+C516</f>
        <v>Colombia-US195325EV39-6.5%-21012033-2</v>
      </c>
      <c r="D517" s="437" t="str">
        <f>+D516</f>
        <v>Bonos soberanos extranjeros</v>
      </c>
      <c r="E517" s="437" t="s">
        <v>612</v>
      </c>
      <c r="F517" s="437" t="str">
        <f>+F516</f>
        <v>Gobierno</v>
      </c>
      <c r="G517" s="437" t="str">
        <f>+G516</f>
        <v>Colombia</v>
      </c>
      <c r="H517" s="437">
        <f t="shared" ref="H517:H529" si="312">+H516</f>
        <v>500</v>
      </c>
      <c r="I517" s="445">
        <v>32.5</v>
      </c>
      <c r="J517" s="462"/>
      <c r="K517" s="450"/>
      <c r="L517" s="462"/>
      <c r="M517" s="493"/>
      <c r="N517" s="493"/>
      <c r="O517" s="516">
        <f>+O516</f>
        <v>6.6873565357210049E-2</v>
      </c>
      <c r="P517" s="516">
        <f t="shared" ref="P517:Q529" si="313">+P516</f>
        <v>6.5791437059617763E-2</v>
      </c>
      <c r="Q517" s="450">
        <f t="shared" si="313"/>
        <v>46107</v>
      </c>
      <c r="R517" s="450">
        <v>48600</v>
      </c>
      <c r="S517" s="509" t="s">
        <v>146</v>
      </c>
      <c r="T517" s="510">
        <f>Tabla3[[#This Row],[Cantidad]]*Tabla3[[#This Row],[Cortes]]</f>
        <v>16250</v>
      </c>
      <c r="U517" s="583">
        <f t="shared" ref="U517:U529" si="314">IF(X517="VIgente",(T517/(1+O517)^((R517-$U$5)/360)))</f>
        <v>10388.709767107559</v>
      </c>
      <c r="V517" s="511">
        <f t="shared" ref="V517:V529" si="315">IF(X517="VIgente",(T517/(1+O517)^((R517-$V$5)/360)))</f>
        <v>10386.841916039037</v>
      </c>
      <c r="W517" s="497">
        <f>IF(Tabla3[[#This Row],[Fecha de operación]]=$C$1,0,U517-V517)</f>
        <v>1.8678510685222136</v>
      </c>
      <c r="X517" s="512" t="str">
        <f t="shared" si="309"/>
        <v>Vigente</v>
      </c>
      <c r="Y517" s="517" t="str">
        <f>+Y516</f>
        <v>Semestral</v>
      </c>
      <c r="Z517" s="449">
        <f t="shared" si="310"/>
        <v>2488</v>
      </c>
      <c r="AA517" s="518">
        <f t="shared" ref="AA517:AB529" si="316">+AA516</f>
        <v>5.5312023040099758</v>
      </c>
      <c r="AB517" s="518">
        <f t="shared" si="316"/>
        <v>5.3522405982816261</v>
      </c>
      <c r="AC517" s="449" t="s">
        <v>451</v>
      </c>
      <c r="AD517" s="449" t="s">
        <v>454</v>
      </c>
      <c r="AG517" s="605">
        <f>+IF(Tabla3[[#This Row],[Amortización k | cupón de intereses]]="Amortización de K",Tabla3[[#This Row],[Valor Nominal]],0)</f>
        <v>0</v>
      </c>
      <c r="AH517" s="605">
        <f>+IF(AND(Tabla3[[#This Row],[Amortización k | cupón de intereses]]="Cupón de interés",Tabla3[[#This Row],[Estado]]="Vigente"),Tabla3[[#This Row],[Valor Nominal]],0)</f>
        <v>16250</v>
      </c>
      <c r="AI517" s="618">
        <f>+IF(Tabla3[[#This Row],[Amortización k | cupón de intereses]]="Amortización de K",SUMIFS($AH$7:$AH$557,Tabla3[Código Emisión],Tabla3[[#This Row],[Código Emisión]],Tabla3[Fecha de operación],Tabla3[[#This Row],[Fecha de operación]]),0)-Tabla3[[#This Row],[Accrued]]*Tabla3[[#This Row],[Valor Nominal]]</f>
        <v>0</v>
      </c>
      <c r="AJ517" s="605">
        <f>+IF(Tabla3[[#This Row],[Amortización k | cupón de intereses]]="Amortización de K",IF(Tabla3[[#This Row],[Precio Clean]]&gt;1,Tabla3[[#This Row],[Valor Nominal]]*(Tabla3[[#This Row],[Precio Clean]]-1),0),0)</f>
        <v>0</v>
      </c>
      <c r="AK517" s="605">
        <f>+IF(Tabla3[[#This Row],[Amortización k | cupón de intereses]]="Amortización de K",IF(Tabla3[[#This Row],[Precio Clean]]&lt;1,Tabla3[[#This Row],[Valor Nominal]]*(Tabla3[[#This Row],[Precio Clean]]-1),0),0)</f>
        <v>0</v>
      </c>
    </row>
    <row r="518" spans="1:41">
      <c r="A518" s="502"/>
      <c r="B518" s="437" t="str">
        <f t="shared" ref="B518:D519" si="317">+B517</f>
        <v>Gobierno de Colombia</v>
      </c>
      <c r="C518" s="437" t="str">
        <f t="shared" si="317"/>
        <v>Colombia-US195325EV39-6.5%-21012033-2</v>
      </c>
      <c r="D518" s="437" t="str">
        <f t="shared" si="317"/>
        <v>Bonos soberanos extranjeros</v>
      </c>
      <c r="E518" s="437" t="s">
        <v>612</v>
      </c>
      <c r="F518" s="437" t="str">
        <f t="shared" ref="F518:H531" si="318">+F517</f>
        <v>Gobierno</v>
      </c>
      <c r="G518" s="437" t="str">
        <f t="shared" si="318"/>
        <v>Colombia</v>
      </c>
      <c r="H518" s="437">
        <f t="shared" si="312"/>
        <v>500</v>
      </c>
      <c r="I518" s="445">
        <v>32.5</v>
      </c>
      <c r="J518" s="462"/>
      <c r="K518" s="450"/>
      <c r="L518" s="462"/>
      <c r="M518" s="493"/>
      <c r="N518" s="493"/>
      <c r="O518" s="516">
        <f>+O517</f>
        <v>6.6873565357210049E-2</v>
      </c>
      <c r="P518" s="516">
        <f t="shared" si="313"/>
        <v>6.5791437059617763E-2</v>
      </c>
      <c r="Q518" s="450">
        <f t="shared" si="313"/>
        <v>46107</v>
      </c>
      <c r="R518" s="450">
        <v>48416</v>
      </c>
      <c r="S518" s="509" t="s">
        <v>146</v>
      </c>
      <c r="T518" s="510">
        <f>Tabla3[[#This Row],[Cantidad]]*Tabla3[[#This Row],[Cortes]]</f>
        <v>16250</v>
      </c>
      <c r="U518" s="583">
        <f t="shared" si="314"/>
        <v>10738.17449102882</v>
      </c>
      <c r="V518" s="511">
        <f t="shared" si="315"/>
        <v>10736.243807513089</v>
      </c>
      <c r="W518" s="497">
        <f>IF(Tabla3[[#This Row],[Fecha de operación]]=$C$1,0,U518-V518)</f>
        <v>1.9306835157312889</v>
      </c>
      <c r="X518" s="512" t="str">
        <f t="shared" si="309"/>
        <v>Vigente</v>
      </c>
      <c r="Y518" s="517" t="str">
        <f t="shared" ref="Y518:Y529" si="319">+Y517</f>
        <v>Semestral</v>
      </c>
      <c r="Z518" s="449">
        <f t="shared" si="310"/>
        <v>2304</v>
      </c>
      <c r="AA518" s="518">
        <f t="shared" si="316"/>
        <v>5.5312023040099758</v>
      </c>
      <c r="AB518" s="518">
        <f t="shared" si="316"/>
        <v>5.3522405982816261</v>
      </c>
      <c r="AC518" s="449" t="s">
        <v>451</v>
      </c>
      <c r="AD518" s="449" t="s">
        <v>454</v>
      </c>
      <c r="AG518" s="605">
        <f>+IF(Tabla3[[#This Row],[Amortización k | cupón de intereses]]="Amortización de K",Tabla3[[#This Row],[Valor Nominal]],0)</f>
        <v>0</v>
      </c>
      <c r="AH518" s="605">
        <f>+IF(AND(Tabla3[[#This Row],[Amortización k | cupón de intereses]]="Cupón de interés",Tabla3[[#This Row],[Estado]]="Vigente"),Tabla3[[#This Row],[Valor Nominal]],0)</f>
        <v>16250</v>
      </c>
      <c r="AI518" s="618">
        <f>+IF(Tabla3[[#This Row],[Amortización k | cupón de intereses]]="Amortización de K",SUMIFS($AH$7:$AH$557,Tabla3[Código Emisión],Tabla3[[#This Row],[Código Emisión]],Tabla3[Fecha de operación],Tabla3[[#This Row],[Fecha de operación]]),0)-Tabla3[[#This Row],[Accrued]]*Tabla3[[#This Row],[Valor Nominal]]</f>
        <v>0</v>
      </c>
      <c r="AJ518" s="605">
        <f>+IF(Tabla3[[#This Row],[Amortización k | cupón de intereses]]="Amortización de K",IF(Tabla3[[#This Row],[Precio Clean]]&gt;1,Tabla3[[#This Row],[Valor Nominal]]*(Tabla3[[#This Row],[Precio Clean]]-1),0),0)</f>
        <v>0</v>
      </c>
      <c r="AK518" s="605">
        <f>+IF(Tabla3[[#This Row],[Amortización k | cupón de intereses]]="Amortización de K",IF(Tabla3[[#This Row],[Precio Clean]]&lt;1,Tabla3[[#This Row],[Valor Nominal]]*(Tabla3[[#This Row],[Precio Clean]]-1),0),0)</f>
        <v>0</v>
      </c>
    </row>
    <row r="519" spans="1:41">
      <c r="A519" s="502"/>
      <c r="B519" s="437" t="str">
        <f>+B518</f>
        <v>Gobierno de Colombia</v>
      </c>
      <c r="C519" s="437" t="str">
        <f t="shared" si="317"/>
        <v>Colombia-US195325EV39-6.5%-21012033-2</v>
      </c>
      <c r="D519" s="437" t="str">
        <f t="shared" si="317"/>
        <v>Bonos soberanos extranjeros</v>
      </c>
      <c r="E519" s="437" t="s">
        <v>612</v>
      </c>
      <c r="F519" s="437" t="str">
        <f t="shared" si="318"/>
        <v>Gobierno</v>
      </c>
      <c r="G519" s="437" t="str">
        <f t="shared" si="318"/>
        <v>Colombia</v>
      </c>
      <c r="H519" s="437">
        <f t="shared" si="312"/>
        <v>500</v>
      </c>
      <c r="I519" s="445">
        <v>32.5</v>
      </c>
      <c r="J519" s="462"/>
      <c r="K519" s="450"/>
      <c r="L519" s="462"/>
      <c r="M519" s="493"/>
      <c r="N519" s="493"/>
      <c r="O519" s="516">
        <f>+O518</f>
        <v>6.6873565357210049E-2</v>
      </c>
      <c r="P519" s="516">
        <f t="shared" si="313"/>
        <v>6.5791437059617763E-2</v>
      </c>
      <c r="Q519" s="450">
        <f t="shared" si="313"/>
        <v>46107</v>
      </c>
      <c r="R519" s="450">
        <v>48234</v>
      </c>
      <c r="S519" s="509" t="s">
        <v>146</v>
      </c>
      <c r="T519" s="510">
        <f>Tabla3[[#This Row],[Cantidad]]*Tabla3[[#This Row],[Cortes]]</f>
        <v>16250</v>
      </c>
      <c r="U519" s="583">
        <f t="shared" si="314"/>
        <v>11095.403921988278</v>
      </c>
      <c r="V519" s="511">
        <f t="shared" si="315"/>
        <v>11093.409009960127</v>
      </c>
      <c r="W519" s="497">
        <f>IF(Tabla3[[#This Row],[Fecha de operación]]=$C$1,0,U519-V519)</f>
        <v>1.994912028150793</v>
      </c>
      <c r="X519" s="512" t="str">
        <f t="shared" si="309"/>
        <v>Vigente</v>
      </c>
      <c r="Y519" s="517" t="str">
        <f t="shared" si="319"/>
        <v>Semestral</v>
      </c>
      <c r="Z519" s="449">
        <f t="shared" si="310"/>
        <v>2122</v>
      </c>
      <c r="AA519" s="518">
        <f t="shared" si="316"/>
        <v>5.5312023040099758</v>
      </c>
      <c r="AB519" s="518">
        <f t="shared" si="316"/>
        <v>5.3522405982816261</v>
      </c>
      <c r="AC519" s="449" t="s">
        <v>451</v>
      </c>
      <c r="AD519" s="449" t="s">
        <v>454</v>
      </c>
      <c r="AG519" s="605">
        <f>+IF(Tabla3[[#This Row],[Amortización k | cupón de intereses]]="Amortización de K",Tabla3[[#This Row],[Valor Nominal]],0)</f>
        <v>0</v>
      </c>
      <c r="AH519" s="605">
        <f>+IF(AND(Tabla3[[#This Row],[Amortización k | cupón de intereses]]="Cupón de interés",Tabla3[[#This Row],[Estado]]="Vigente"),Tabla3[[#This Row],[Valor Nominal]],0)</f>
        <v>16250</v>
      </c>
      <c r="AI519" s="618">
        <f>+IF(Tabla3[[#This Row],[Amortización k | cupón de intereses]]="Amortización de K",SUMIFS($AH$7:$AH$557,Tabla3[Código Emisión],Tabla3[[#This Row],[Código Emisión]],Tabla3[Fecha de operación],Tabla3[[#This Row],[Fecha de operación]]),0)-Tabla3[[#This Row],[Accrued]]*Tabla3[[#This Row],[Valor Nominal]]</f>
        <v>0</v>
      </c>
      <c r="AJ519" s="605">
        <f>+IF(Tabla3[[#This Row],[Amortización k | cupón de intereses]]="Amortización de K",IF(Tabla3[[#This Row],[Precio Clean]]&gt;1,Tabla3[[#This Row],[Valor Nominal]]*(Tabla3[[#This Row],[Precio Clean]]-1),0),0)</f>
        <v>0</v>
      </c>
      <c r="AK519" s="605">
        <f>+IF(Tabla3[[#This Row],[Amortización k | cupón de intereses]]="Amortización de K",IF(Tabla3[[#This Row],[Precio Clean]]&lt;1,Tabla3[[#This Row],[Valor Nominal]]*(Tabla3[[#This Row],[Precio Clean]]-1),0),0)</f>
        <v>0</v>
      </c>
    </row>
    <row r="520" spans="1:41">
      <c r="A520" s="502"/>
      <c r="B520" s="437" t="str">
        <f t="shared" ref="B520:D531" si="320">+B519</f>
        <v>Gobierno de Colombia</v>
      </c>
      <c r="C520" s="437" t="str">
        <f t="shared" si="320"/>
        <v>Colombia-US195325EV39-6.5%-21012033-2</v>
      </c>
      <c r="D520" s="437" t="str">
        <f t="shared" si="320"/>
        <v>Bonos soberanos extranjeros</v>
      </c>
      <c r="E520" s="437" t="s">
        <v>612</v>
      </c>
      <c r="F520" s="437" t="str">
        <f t="shared" si="318"/>
        <v>Gobierno</v>
      </c>
      <c r="G520" s="437" t="str">
        <f t="shared" si="318"/>
        <v>Colombia</v>
      </c>
      <c r="H520" s="437">
        <f t="shared" si="312"/>
        <v>500</v>
      </c>
      <c r="I520" s="445">
        <v>32.5</v>
      </c>
      <c r="J520" s="462"/>
      <c r="K520" s="450"/>
      <c r="L520" s="462"/>
      <c r="M520" s="493"/>
      <c r="N520" s="493"/>
      <c r="O520" s="516">
        <f t="shared" ref="O520:O531" si="321">+O519</f>
        <v>6.6873565357210049E-2</v>
      </c>
      <c r="P520" s="516">
        <f t="shared" si="313"/>
        <v>6.5791437059617763E-2</v>
      </c>
      <c r="Q520" s="450">
        <f t="shared" si="313"/>
        <v>46107</v>
      </c>
      <c r="R520" s="450">
        <v>48050</v>
      </c>
      <c r="S520" s="509" t="s">
        <v>146</v>
      </c>
      <c r="T520" s="510">
        <f>Tabla3[[#This Row],[Cantidad]]*Tabla3[[#This Row],[Cortes]]</f>
        <v>16250</v>
      </c>
      <c r="U520" s="583">
        <f t="shared" si="314"/>
        <v>11468.641056850704</v>
      </c>
      <c r="V520" s="511">
        <f t="shared" si="315"/>
        <v>11466.57903818498</v>
      </c>
      <c r="W520" s="497">
        <f>IF(Tabla3[[#This Row],[Fecha de operación]]=$C$1,0,U520-V520)</f>
        <v>2.0620186657233717</v>
      </c>
      <c r="X520" s="512" t="str">
        <f t="shared" si="309"/>
        <v>Vigente</v>
      </c>
      <c r="Y520" s="517" t="str">
        <f t="shared" si="319"/>
        <v>Semestral</v>
      </c>
      <c r="Z520" s="449">
        <f t="shared" si="310"/>
        <v>1938</v>
      </c>
      <c r="AA520" s="518">
        <f t="shared" si="316"/>
        <v>5.5312023040099758</v>
      </c>
      <c r="AB520" s="518">
        <f t="shared" si="316"/>
        <v>5.3522405982816261</v>
      </c>
      <c r="AC520" s="449" t="s">
        <v>451</v>
      </c>
      <c r="AD520" s="449" t="s">
        <v>454</v>
      </c>
      <c r="AG520" s="605">
        <f>+IF(Tabla3[[#This Row],[Amortización k | cupón de intereses]]="Amortización de K",Tabla3[[#This Row],[Valor Nominal]],0)</f>
        <v>0</v>
      </c>
      <c r="AH520" s="605">
        <f>+IF(AND(Tabla3[[#This Row],[Amortización k | cupón de intereses]]="Cupón de interés",Tabla3[[#This Row],[Estado]]="Vigente"),Tabla3[[#This Row],[Valor Nominal]],0)</f>
        <v>16250</v>
      </c>
      <c r="AI520" s="618">
        <f>+IF(Tabla3[[#This Row],[Amortización k | cupón de intereses]]="Amortización de K",SUMIFS($AH$7:$AH$557,Tabla3[Código Emisión],Tabla3[[#This Row],[Código Emisión]],Tabla3[Fecha de operación],Tabla3[[#This Row],[Fecha de operación]]),0)-Tabla3[[#This Row],[Accrued]]*Tabla3[[#This Row],[Valor Nominal]]</f>
        <v>0</v>
      </c>
      <c r="AJ520" s="605">
        <f>+IF(Tabla3[[#This Row],[Amortización k | cupón de intereses]]="Amortización de K",IF(Tabla3[[#This Row],[Precio Clean]]&gt;1,Tabla3[[#This Row],[Valor Nominal]]*(Tabla3[[#This Row],[Precio Clean]]-1),0),0)</f>
        <v>0</v>
      </c>
      <c r="AK520" s="605">
        <f>+IF(Tabla3[[#This Row],[Amortización k | cupón de intereses]]="Amortización de K",IF(Tabla3[[#This Row],[Precio Clean]]&lt;1,Tabla3[[#This Row],[Valor Nominal]]*(Tabla3[[#This Row],[Precio Clean]]-1),0),0)</f>
        <v>0</v>
      </c>
    </row>
    <row r="521" spans="1:41">
      <c r="A521" s="502"/>
      <c r="B521" s="437" t="str">
        <f t="shared" si="320"/>
        <v>Gobierno de Colombia</v>
      </c>
      <c r="C521" s="437" t="str">
        <f t="shared" si="320"/>
        <v>Colombia-US195325EV39-6.5%-21012033-2</v>
      </c>
      <c r="D521" s="437" t="str">
        <f t="shared" si="320"/>
        <v>Bonos soberanos extranjeros</v>
      </c>
      <c r="E521" s="437" t="s">
        <v>612</v>
      </c>
      <c r="F521" s="437" t="str">
        <f t="shared" si="318"/>
        <v>Gobierno</v>
      </c>
      <c r="G521" s="437" t="str">
        <f t="shared" si="318"/>
        <v>Colombia</v>
      </c>
      <c r="H521" s="437">
        <f t="shared" si="312"/>
        <v>500</v>
      </c>
      <c r="I521" s="445">
        <v>32.5</v>
      </c>
      <c r="J521" s="462"/>
      <c r="K521" s="450"/>
      <c r="L521" s="462"/>
      <c r="M521" s="493"/>
      <c r="N521" s="493"/>
      <c r="O521" s="516">
        <f t="shared" si="321"/>
        <v>6.6873565357210049E-2</v>
      </c>
      <c r="P521" s="516">
        <f t="shared" si="313"/>
        <v>6.5791437059617763E-2</v>
      </c>
      <c r="Q521" s="450">
        <f t="shared" si="313"/>
        <v>46107</v>
      </c>
      <c r="R521" s="450">
        <v>47869</v>
      </c>
      <c r="S521" s="509" t="s">
        <v>146</v>
      </c>
      <c r="T521" s="510">
        <f>Tabla3[[#This Row],[Cantidad]]*Tabla3[[#This Row],[Cortes]]</f>
        <v>16250</v>
      </c>
      <c r="U521" s="583">
        <f t="shared" si="314"/>
        <v>11848.04047823558</v>
      </c>
      <c r="V521" s="511">
        <f t="shared" si="315"/>
        <v>11845.910244976272</v>
      </c>
      <c r="W521" s="497">
        <f>IF(Tabla3[[#This Row],[Fecha de operación]]=$C$1,0,U521-V521)</f>
        <v>2.1302332593077153</v>
      </c>
      <c r="X521" s="512" t="str">
        <f t="shared" si="309"/>
        <v>Vigente</v>
      </c>
      <c r="Y521" s="517" t="str">
        <f t="shared" si="319"/>
        <v>Semestral</v>
      </c>
      <c r="Z521" s="449">
        <f t="shared" si="310"/>
        <v>1757</v>
      </c>
      <c r="AA521" s="518">
        <f t="shared" si="316"/>
        <v>5.5312023040099758</v>
      </c>
      <c r="AB521" s="518">
        <f t="shared" si="316"/>
        <v>5.3522405982816261</v>
      </c>
      <c r="AC521" s="449" t="s">
        <v>451</v>
      </c>
      <c r="AD521" s="449" t="s">
        <v>454</v>
      </c>
      <c r="AG521" s="605">
        <f>+IF(Tabla3[[#This Row],[Amortización k | cupón de intereses]]="Amortización de K",Tabla3[[#This Row],[Valor Nominal]],0)</f>
        <v>0</v>
      </c>
      <c r="AH521" s="605">
        <f>+IF(AND(Tabla3[[#This Row],[Amortización k | cupón de intereses]]="Cupón de interés",Tabla3[[#This Row],[Estado]]="Vigente"),Tabla3[[#This Row],[Valor Nominal]],0)</f>
        <v>16250</v>
      </c>
      <c r="AI521" s="618">
        <f>+IF(Tabla3[[#This Row],[Amortización k | cupón de intereses]]="Amortización de K",SUMIFS($AH$7:$AH$557,Tabla3[Código Emisión],Tabla3[[#This Row],[Código Emisión]],Tabla3[Fecha de operación],Tabla3[[#This Row],[Fecha de operación]]),0)-Tabla3[[#This Row],[Accrued]]*Tabla3[[#This Row],[Valor Nominal]]</f>
        <v>0</v>
      </c>
      <c r="AJ521" s="605">
        <f>+IF(Tabla3[[#This Row],[Amortización k | cupón de intereses]]="Amortización de K",IF(Tabla3[[#This Row],[Precio Clean]]&gt;1,Tabla3[[#This Row],[Valor Nominal]]*(Tabla3[[#This Row],[Precio Clean]]-1),0),0)</f>
        <v>0</v>
      </c>
      <c r="AK521" s="605">
        <f>+IF(Tabla3[[#This Row],[Amortización k | cupón de intereses]]="Amortización de K",IF(Tabla3[[#This Row],[Precio Clean]]&lt;1,Tabla3[[#This Row],[Valor Nominal]]*(Tabla3[[#This Row],[Precio Clean]]-1),0),0)</f>
        <v>0</v>
      </c>
    </row>
    <row r="522" spans="1:41">
      <c r="A522" s="502"/>
      <c r="B522" s="437" t="str">
        <f t="shared" si="320"/>
        <v>Gobierno de Colombia</v>
      </c>
      <c r="C522" s="437" t="str">
        <f t="shared" si="320"/>
        <v>Colombia-US195325EV39-6.5%-21012033-2</v>
      </c>
      <c r="D522" s="437" t="str">
        <f t="shared" si="320"/>
        <v>Bonos soberanos extranjeros</v>
      </c>
      <c r="E522" s="437" t="s">
        <v>612</v>
      </c>
      <c r="F522" s="437" t="str">
        <f t="shared" si="318"/>
        <v>Gobierno</v>
      </c>
      <c r="G522" s="437" t="str">
        <f t="shared" si="318"/>
        <v>Colombia</v>
      </c>
      <c r="H522" s="437">
        <f t="shared" si="312"/>
        <v>500</v>
      </c>
      <c r="I522" s="445">
        <v>32.5</v>
      </c>
      <c r="J522" s="462"/>
      <c r="K522" s="450"/>
      <c r="L522" s="462"/>
      <c r="M522" s="493"/>
      <c r="N522" s="493"/>
      <c r="O522" s="516">
        <f t="shared" si="321"/>
        <v>6.6873565357210049E-2</v>
      </c>
      <c r="P522" s="516">
        <f t="shared" si="313"/>
        <v>6.5791437059617763E-2</v>
      </c>
      <c r="Q522" s="450">
        <f t="shared" si="313"/>
        <v>46107</v>
      </c>
      <c r="R522" s="450">
        <v>47685</v>
      </c>
      <c r="S522" s="509" t="s">
        <v>146</v>
      </c>
      <c r="T522" s="510">
        <f>Tabla3[[#This Row],[Cantidad]]*Tabla3[[#This Row],[Cortes]]</f>
        <v>16250</v>
      </c>
      <c r="U522" s="583">
        <f t="shared" si="314"/>
        <v>12246.595475685212</v>
      </c>
      <c r="V522" s="511">
        <f t="shared" si="315"/>
        <v>12244.393583731558</v>
      </c>
      <c r="W522" s="497">
        <f>IF(Tabla3[[#This Row],[Fecha de operación]]=$C$1,0,U522-V522)</f>
        <v>2.201891953653103</v>
      </c>
      <c r="X522" s="512" t="str">
        <f t="shared" si="309"/>
        <v>Vigente</v>
      </c>
      <c r="Y522" s="517" t="str">
        <f t="shared" si="319"/>
        <v>Semestral</v>
      </c>
      <c r="Z522" s="449">
        <f t="shared" si="310"/>
        <v>1573</v>
      </c>
      <c r="AA522" s="518">
        <f t="shared" si="316"/>
        <v>5.5312023040099758</v>
      </c>
      <c r="AB522" s="518">
        <f t="shared" si="316"/>
        <v>5.3522405982816261</v>
      </c>
      <c r="AC522" s="449" t="s">
        <v>451</v>
      </c>
      <c r="AD522" s="449" t="s">
        <v>454</v>
      </c>
      <c r="AG522" s="605">
        <f>+IF(Tabla3[[#This Row],[Amortización k | cupón de intereses]]="Amortización de K",Tabla3[[#This Row],[Valor Nominal]],0)</f>
        <v>0</v>
      </c>
      <c r="AH522" s="605">
        <f>+IF(AND(Tabla3[[#This Row],[Amortización k | cupón de intereses]]="Cupón de interés",Tabla3[[#This Row],[Estado]]="Vigente"),Tabla3[[#This Row],[Valor Nominal]],0)</f>
        <v>16250</v>
      </c>
      <c r="AI522" s="618">
        <f>+IF(Tabla3[[#This Row],[Amortización k | cupón de intereses]]="Amortización de K",SUMIFS($AH$7:$AH$557,Tabla3[Código Emisión],Tabla3[[#This Row],[Código Emisión]],Tabla3[Fecha de operación],Tabla3[[#This Row],[Fecha de operación]]),0)-Tabla3[[#This Row],[Accrued]]*Tabla3[[#This Row],[Valor Nominal]]</f>
        <v>0</v>
      </c>
      <c r="AJ522" s="605">
        <f>+IF(Tabla3[[#This Row],[Amortización k | cupón de intereses]]="Amortización de K",IF(Tabla3[[#This Row],[Precio Clean]]&gt;1,Tabla3[[#This Row],[Valor Nominal]]*(Tabla3[[#This Row],[Precio Clean]]-1),0),0)</f>
        <v>0</v>
      </c>
      <c r="AK522" s="605">
        <f>+IF(Tabla3[[#This Row],[Amortización k | cupón de intereses]]="Amortización de K",IF(Tabla3[[#This Row],[Precio Clean]]&lt;1,Tabla3[[#This Row],[Valor Nominal]]*(Tabla3[[#This Row],[Precio Clean]]-1),0),0)</f>
        <v>0</v>
      </c>
    </row>
    <row r="523" spans="1:41">
      <c r="A523" s="502"/>
      <c r="B523" s="437" t="str">
        <f t="shared" si="320"/>
        <v>Gobierno de Colombia</v>
      </c>
      <c r="C523" s="437" t="str">
        <f t="shared" si="320"/>
        <v>Colombia-US195325EV39-6.5%-21012033-2</v>
      </c>
      <c r="D523" s="437" t="str">
        <f t="shared" si="320"/>
        <v>Bonos soberanos extranjeros</v>
      </c>
      <c r="E523" s="437" t="s">
        <v>612</v>
      </c>
      <c r="F523" s="437" t="str">
        <f t="shared" si="318"/>
        <v>Gobierno</v>
      </c>
      <c r="G523" s="437" t="str">
        <f t="shared" si="318"/>
        <v>Colombia</v>
      </c>
      <c r="H523" s="437">
        <f t="shared" si="312"/>
        <v>500</v>
      </c>
      <c r="I523" s="445">
        <v>32.5</v>
      </c>
      <c r="J523" s="462"/>
      <c r="K523" s="450"/>
      <c r="L523" s="462"/>
      <c r="M523" s="493"/>
      <c r="N523" s="493"/>
      <c r="O523" s="516">
        <f t="shared" si="321"/>
        <v>6.6873565357210049E-2</v>
      </c>
      <c r="P523" s="516">
        <f t="shared" si="313"/>
        <v>6.5791437059617763E-2</v>
      </c>
      <c r="Q523" s="450">
        <f t="shared" si="313"/>
        <v>46107</v>
      </c>
      <c r="R523" s="450">
        <v>47504</v>
      </c>
      <c r="S523" s="509" t="s">
        <v>146</v>
      </c>
      <c r="T523" s="510">
        <f>Tabla3[[#This Row],[Cantidad]]*Tabla3[[#This Row],[Cortes]]</f>
        <v>16250</v>
      </c>
      <c r="U523" s="583">
        <f t="shared" si="314"/>
        <v>12651.730767161978</v>
      </c>
      <c r="V523" s="511">
        <f t="shared" si="315"/>
        <v>12649.456033401782</v>
      </c>
      <c r="W523" s="497">
        <f>IF(Tabla3[[#This Row],[Fecha de operación]]=$C$1,0,U523-V523)</f>
        <v>2.2747337601958861</v>
      </c>
      <c r="X523" s="512" t="str">
        <f t="shared" si="309"/>
        <v>Vigente</v>
      </c>
      <c r="Y523" s="517" t="str">
        <f t="shared" si="319"/>
        <v>Semestral</v>
      </c>
      <c r="Z523" s="449">
        <f t="shared" si="310"/>
        <v>1392</v>
      </c>
      <c r="AA523" s="518">
        <f t="shared" si="316"/>
        <v>5.5312023040099758</v>
      </c>
      <c r="AB523" s="518">
        <f t="shared" si="316"/>
        <v>5.3522405982816261</v>
      </c>
      <c r="AC523" s="449" t="s">
        <v>451</v>
      </c>
      <c r="AD523" s="449" t="s">
        <v>454</v>
      </c>
      <c r="AG523" s="605">
        <f>+IF(Tabla3[[#This Row],[Amortización k | cupón de intereses]]="Amortización de K",Tabla3[[#This Row],[Valor Nominal]],0)</f>
        <v>0</v>
      </c>
      <c r="AH523" s="605">
        <f>+IF(AND(Tabla3[[#This Row],[Amortización k | cupón de intereses]]="Cupón de interés",Tabla3[[#This Row],[Estado]]="Vigente"),Tabla3[[#This Row],[Valor Nominal]],0)</f>
        <v>16250</v>
      </c>
      <c r="AI523" s="618">
        <f>+IF(Tabla3[[#This Row],[Amortización k | cupón de intereses]]="Amortización de K",SUMIFS($AH$7:$AH$557,Tabla3[Código Emisión],Tabla3[[#This Row],[Código Emisión]],Tabla3[Fecha de operación],Tabla3[[#This Row],[Fecha de operación]]),0)-Tabla3[[#This Row],[Accrued]]*Tabla3[[#This Row],[Valor Nominal]]</f>
        <v>0</v>
      </c>
      <c r="AJ523" s="605">
        <f>+IF(Tabla3[[#This Row],[Amortización k | cupón de intereses]]="Amortización de K",IF(Tabla3[[#This Row],[Precio Clean]]&gt;1,Tabla3[[#This Row],[Valor Nominal]]*(Tabla3[[#This Row],[Precio Clean]]-1),0),0)</f>
        <v>0</v>
      </c>
      <c r="AK523" s="605">
        <f>+IF(Tabla3[[#This Row],[Amortización k | cupón de intereses]]="Amortización de K",IF(Tabla3[[#This Row],[Precio Clean]]&lt;1,Tabla3[[#This Row],[Valor Nominal]]*(Tabla3[[#This Row],[Precio Clean]]-1),0),0)</f>
        <v>0</v>
      </c>
    </row>
    <row r="524" spans="1:41">
      <c r="A524" s="502"/>
      <c r="B524" s="437" t="str">
        <f t="shared" si="320"/>
        <v>Gobierno de Colombia</v>
      </c>
      <c r="C524" s="437" t="str">
        <f t="shared" si="320"/>
        <v>Colombia-US195325EV39-6.5%-21012033-2</v>
      </c>
      <c r="D524" s="437" t="str">
        <f t="shared" si="320"/>
        <v>Bonos soberanos extranjeros</v>
      </c>
      <c r="E524" s="437" t="s">
        <v>612</v>
      </c>
      <c r="F524" s="437" t="str">
        <f t="shared" si="318"/>
        <v>Gobierno</v>
      </c>
      <c r="G524" s="437" t="str">
        <f t="shared" si="318"/>
        <v>Colombia</v>
      </c>
      <c r="H524" s="437">
        <f t="shared" si="312"/>
        <v>500</v>
      </c>
      <c r="I524" s="445">
        <v>32.5</v>
      </c>
      <c r="J524" s="462"/>
      <c r="K524" s="450"/>
      <c r="L524" s="462"/>
      <c r="M524" s="493"/>
      <c r="N524" s="493"/>
      <c r="O524" s="516">
        <f t="shared" si="321"/>
        <v>6.6873565357210049E-2</v>
      </c>
      <c r="P524" s="516">
        <f t="shared" si="313"/>
        <v>6.5791437059617763E-2</v>
      </c>
      <c r="Q524" s="450">
        <f t="shared" si="313"/>
        <v>46107</v>
      </c>
      <c r="R524" s="450">
        <v>47320</v>
      </c>
      <c r="S524" s="509" t="s">
        <v>146</v>
      </c>
      <c r="T524" s="510">
        <f>Tabla3[[#This Row],[Cantidad]]*Tabla3[[#This Row],[Cortes]]</f>
        <v>16250</v>
      </c>
      <c r="U524" s="583">
        <f t="shared" si="314"/>
        <v>13077.321018385579</v>
      </c>
      <c r="V524" s="511">
        <f t="shared" si="315"/>
        <v>13074.969765093765</v>
      </c>
      <c r="W524" s="497">
        <f>IF(Tabla3[[#This Row],[Fecha de operación]]=$C$1,0,U524-V524)</f>
        <v>2.3512532918139186</v>
      </c>
      <c r="X524" s="512" t="str">
        <f t="shared" si="309"/>
        <v>Vigente</v>
      </c>
      <c r="Y524" s="517" t="str">
        <f t="shared" si="319"/>
        <v>Semestral</v>
      </c>
      <c r="Z524" s="449">
        <f t="shared" si="310"/>
        <v>1208</v>
      </c>
      <c r="AA524" s="518">
        <f t="shared" si="316"/>
        <v>5.5312023040099758</v>
      </c>
      <c r="AB524" s="518">
        <f t="shared" si="316"/>
        <v>5.3522405982816261</v>
      </c>
      <c r="AC524" s="449" t="s">
        <v>451</v>
      </c>
      <c r="AD524" s="449" t="s">
        <v>454</v>
      </c>
      <c r="AG524" s="605">
        <f>+IF(Tabla3[[#This Row],[Amortización k | cupón de intereses]]="Amortización de K",Tabla3[[#This Row],[Valor Nominal]],0)</f>
        <v>0</v>
      </c>
      <c r="AH524" s="605">
        <f>+IF(AND(Tabla3[[#This Row],[Amortización k | cupón de intereses]]="Cupón de interés",Tabla3[[#This Row],[Estado]]="Vigente"),Tabla3[[#This Row],[Valor Nominal]],0)</f>
        <v>16250</v>
      </c>
      <c r="AI524" s="618">
        <f>+IF(Tabla3[[#This Row],[Amortización k | cupón de intereses]]="Amortización de K",SUMIFS($AH$7:$AH$557,Tabla3[Código Emisión],Tabla3[[#This Row],[Código Emisión]],Tabla3[Fecha de operación],Tabla3[[#This Row],[Fecha de operación]]),0)-Tabla3[[#This Row],[Accrued]]*Tabla3[[#This Row],[Valor Nominal]]</f>
        <v>0</v>
      </c>
      <c r="AJ524" s="605">
        <f>+IF(Tabla3[[#This Row],[Amortización k | cupón de intereses]]="Amortización de K",IF(Tabla3[[#This Row],[Precio Clean]]&gt;1,Tabla3[[#This Row],[Valor Nominal]]*(Tabla3[[#This Row],[Precio Clean]]-1),0),0)</f>
        <v>0</v>
      </c>
      <c r="AK524" s="605">
        <f>+IF(Tabla3[[#This Row],[Amortización k | cupón de intereses]]="Amortización de K",IF(Tabla3[[#This Row],[Precio Clean]]&lt;1,Tabla3[[#This Row],[Valor Nominal]]*(Tabla3[[#This Row],[Precio Clean]]-1),0),0)</f>
        <v>0</v>
      </c>
    </row>
    <row r="525" spans="1:41">
      <c r="A525" s="502"/>
      <c r="B525" s="437" t="str">
        <f t="shared" si="320"/>
        <v>Gobierno de Colombia</v>
      </c>
      <c r="C525" s="437" t="str">
        <f t="shared" si="320"/>
        <v>Colombia-US195325EV39-6.5%-21012033-2</v>
      </c>
      <c r="D525" s="437" t="str">
        <f t="shared" si="320"/>
        <v>Bonos soberanos extranjeros</v>
      </c>
      <c r="E525" s="437" t="s">
        <v>612</v>
      </c>
      <c r="F525" s="437" t="str">
        <f t="shared" si="318"/>
        <v>Gobierno</v>
      </c>
      <c r="G525" s="437" t="str">
        <f t="shared" si="318"/>
        <v>Colombia</v>
      </c>
      <c r="H525" s="437">
        <f t="shared" si="312"/>
        <v>500</v>
      </c>
      <c r="I525" s="445">
        <v>32.5</v>
      </c>
      <c r="J525" s="462"/>
      <c r="K525" s="450"/>
      <c r="L525" s="462"/>
      <c r="M525" s="493"/>
      <c r="N525" s="493"/>
      <c r="O525" s="516">
        <f t="shared" si="321"/>
        <v>6.6873565357210049E-2</v>
      </c>
      <c r="P525" s="516">
        <f t="shared" si="313"/>
        <v>6.5791437059617763E-2</v>
      </c>
      <c r="Q525" s="450">
        <f t="shared" si="313"/>
        <v>46107</v>
      </c>
      <c r="R525" s="450">
        <v>47139</v>
      </c>
      <c r="S525" s="509" t="s">
        <v>146</v>
      </c>
      <c r="T525" s="510">
        <f>Tabla3[[#This Row],[Cantidad]]*Tabla3[[#This Row],[Cortes]]</f>
        <v>16250</v>
      </c>
      <c r="U525" s="583">
        <f t="shared" si="314"/>
        <v>13509.93792592024</v>
      </c>
      <c r="V525" s="511">
        <f t="shared" si="315"/>
        <v>13507.508889730343</v>
      </c>
      <c r="W525" s="497">
        <f>IF(Tabla3[[#This Row],[Fecha de operación]]=$C$1,0,U525-V525)</f>
        <v>2.4290361898965784</v>
      </c>
      <c r="X525" s="512" t="str">
        <f t="shared" si="309"/>
        <v>Vigente</v>
      </c>
      <c r="Y525" s="517" t="str">
        <f t="shared" si="319"/>
        <v>Semestral</v>
      </c>
      <c r="Z525" s="449">
        <f t="shared" si="310"/>
        <v>1027</v>
      </c>
      <c r="AA525" s="518">
        <f t="shared" si="316"/>
        <v>5.5312023040099758</v>
      </c>
      <c r="AB525" s="518">
        <f t="shared" si="316"/>
        <v>5.3522405982816261</v>
      </c>
      <c r="AC525" s="449" t="s">
        <v>451</v>
      </c>
      <c r="AD525" s="449" t="s">
        <v>454</v>
      </c>
      <c r="AG525" s="605">
        <f>+IF(Tabla3[[#This Row],[Amortización k | cupón de intereses]]="Amortización de K",Tabla3[[#This Row],[Valor Nominal]],0)</f>
        <v>0</v>
      </c>
      <c r="AH525" s="605">
        <f>+IF(AND(Tabla3[[#This Row],[Amortización k | cupón de intereses]]="Cupón de interés",Tabla3[[#This Row],[Estado]]="Vigente"),Tabla3[[#This Row],[Valor Nominal]],0)</f>
        <v>16250</v>
      </c>
      <c r="AI525" s="618">
        <f>+IF(Tabla3[[#This Row],[Amortización k | cupón de intereses]]="Amortización de K",SUMIFS($AH$7:$AH$557,Tabla3[Código Emisión],Tabla3[[#This Row],[Código Emisión]],Tabla3[Fecha de operación],Tabla3[[#This Row],[Fecha de operación]]),0)-Tabla3[[#This Row],[Accrued]]*Tabla3[[#This Row],[Valor Nominal]]</f>
        <v>0</v>
      </c>
      <c r="AJ525" s="605">
        <f>+IF(Tabla3[[#This Row],[Amortización k | cupón de intereses]]="Amortización de K",IF(Tabla3[[#This Row],[Precio Clean]]&gt;1,Tabla3[[#This Row],[Valor Nominal]]*(Tabla3[[#This Row],[Precio Clean]]-1),0),0)</f>
        <v>0</v>
      </c>
      <c r="AK525" s="605">
        <f>+IF(Tabla3[[#This Row],[Amortización k | cupón de intereses]]="Amortización de K",IF(Tabla3[[#This Row],[Precio Clean]]&lt;1,Tabla3[[#This Row],[Valor Nominal]]*(Tabla3[[#This Row],[Precio Clean]]-1),0),0)</f>
        <v>0</v>
      </c>
    </row>
    <row r="526" spans="1:41">
      <c r="A526" s="502"/>
      <c r="B526" s="437" t="str">
        <f t="shared" si="320"/>
        <v>Gobierno de Colombia</v>
      </c>
      <c r="C526" s="437" t="str">
        <f t="shared" si="320"/>
        <v>Colombia-US195325EV39-6.5%-21012033-2</v>
      </c>
      <c r="D526" s="437" t="str">
        <f t="shared" si="320"/>
        <v>Bonos soberanos extranjeros</v>
      </c>
      <c r="E526" s="437" t="s">
        <v>612</v>
      </c>
      <c r="F526" s="437" t="str">
        <f t="shared" si="318"/>
        <v>Gobierno</v>
      </c>
      <c r="G526" s="437" t="str">
        <f t="shared" si="318"/>
        <v>Colombia</v>
      </c>
      <c r="H526" s="437">
        <f t="shared" si="312"/>
        <v>500</v>
      </c>
      <c r="I526" s="445">
        <v>32.5</v>
      </c>
      <c r="J526" s="462"/>
      <c r="K526" s="450"/>
      <c r="L526" s="462"/>
      <c r="M526" s="493"/>
      <c r="N526" s="493"/>
      <c r="O526" s="516">
        <f t="shared" si="321"/>
        <v>6.6873565357210049E-2</v>
      </c>
      <c r="P526" s="516">
        <f t="shared" si="313"/>
        <v>6.5791437059617763E-2</v>
      </c>
      <c r="Q526" s="450">
        <f t="shared" si="313"/>
        <v>46107</v>
      </c>
      <c r="R526" s="450">
        <v>46955</v>
      </c>
      <c r="S526" s="509" t="s">
        <v>146</v>
      </c>
      <c r="T526" s="510">
        <f>Tabla3[[#This Row],[Cantidad]]*Tabla3[[#This Row],[Cortes]]</f>
        <v>16250</v>
      </c>
      <c r="U526" s="583">
        <f t="shared" si="314"/>
        <v>13964.397318213914</v>
      </c>
      <c r="V526" s="511">
        <f t="shared" si="315"/>
        <v>13961.886571929068</v>
      </c>
      <c r="W526" s="497">
        <f>IF(Tabla3[[#This Row],[Fecha de operación]]=$C$1,0,U526-V526)</f>
        <v>2.5107462848463911</v>
      </c>
      <c r="X526" s="512" t="str">
        <f t="shared" si="309"/>
        <v>Vigente</v>
      </c>
      <c r="Y526" s="517" t="str">
        <f t="shared" si="319"/>
        <v>Semestral</v>
      </c>
      <c r="Z526" s="449">
        <f t="shared" si="310"/>
        <v>843</v>
      </c>
      <c r="AA526" s="518">
        <f t="shared" si="316"/>
        <v>5.5312023040099758</v>
      </c>
      <c r="AB526" s="518">
        <f t="shared" si="316"/>
        <v>5.3522405982816261</v>
      </c>
      <c r="AC526" s="449" t="s">
        <v>451</v>
      </c>
      <c r="AD526" s="449" t="s">
        <v>454</v>
      </c>
      <c r="AG526" s="605">
        <f>+IF(Tabla3[[#This Row],[Amortización k | cupón de intereses]]="Amortización de K",Tabla3[[#This Row],[Valor Nominal]],0)</f>
        <v>0</v>
      </c>
      <c r="AH526" s="605">
        <f>+IF(AND(Tabla3[[#This Row],[Amortización k | cupón de intereses]]="Cupón de interés",Tabla3[[#This Row],[Estado]]="Vigente"),Tabla3[[#This Row],[Valor Nominal]],0)</f>
        <v>16250</v>
      </c>
      <c r="AI526" s="618">
        <f>+IF(Tabla3[[#This Row],[Amortización k | cupón de intereses]]="Amortización de K",SUMIFS($AH$7:$AH$557,Tabla3[Código Emisión],Tabla3[[#This Row],[Código Emisión]],Tabla3[Fecha de operación],Tabla3[[#This Row],[Fecha de operación]]),0)-Tabla3[[#This Row],[Accrued]]*Tabla3[[#This Row],[Valor Nominal]]</f>
        <v>0</v>
      </c>
      <c r="AJ526" s="605">
        <f>+IF(Tabla3[[#This Row],[Amortización k | cupón de intereses]]="Amortización de K",IF(Tabla3[[#This Row],[Precio Clean]]&gt;1,Tabla3[[#This Row],[Valor Nominal]]*(Tabla3[[#This Row],[Precio Clean]]-1),0),0)</f>
        <v>0</v>
      </c>
      <c r="AK526" s="605">
        <f>+IF(Tabla3[[#This Row],[Amortización k | cupón de intereses]]="Amortización de K",IF(Tabla3[[#This Row],[Precio Clean]]&lt;1,Tabla3[[#This Row],[Valor Nominal]]*(Tabla3[[#This Row],[Precio Clean]]-1),0),0)</f>
        <v>0</v>
      </c>
    </row>
    <row r="527" spans="1:41">
      <c r="A527" s="502"/>
      <c r="B527" s="437" t="str">
        <f t="shared" si="320"/>
        <v>Gobierno de Colombia</v>
      </c>
      <c r="C527" s="437" t="str">
        <f t="shared" si="320"/>
        <v>Colombia-US195325EV39-6.5%-21012033-2</v>
      </c>
      <c r="D527" s="437" t="str">
        <f t="shared" si="320"/>
        <v>Bonos soberanos extranjeros</v>
      </c>
      <c r="E527" s="437" t="s">
        <v>612</v>
      </c>
      <c r="F527" s="437" t="str">
        <f t="shared" si="318"/>
        <v>Gobierno</v>
      </c>
      <c r="G527" s="437" t="str">
        <f t="shared" si="318"/>
        <v>Colombia</v>
      </c>
      <c r="H527" s="437">
        <f t="shared" si="312"/>
        <v>500</v>
      </c>
      <c r="I527" s="445">
        <v>32.5</v>
      </c>
      <c r="J527" s="462"/>
      <c r="K527" s="450"/>
      <c r="L527" s="462"/>
      <c r="M527" s="493"/>
      <c r="N527" s="493"/>
      <c r="O527" s="516">
        <f t="shared" si="321"/>
        <v>6.6873565357210049E-2</v>
      </c>
      <c r="P527" s="516">
        <f t="shared" si="313"/>
        <v>6.5791437059617763E-2</v>
      </c>
      <c r="Q527" s="450">
        <f t="shared" si="313"/>
        <v>46107</v>
      </c>
      <c r="R527" s="450">
        <v>46773</v>
      </c>
      <c r="S527" s="509" t="s">
        <v>146</v>
      </c>
      <c r="T527" s="510">
        <f>Tabla3[[#This Row],[Cantidad]]*Tabla3[[#This Row],[Cortes]]</f>
        <v>16250</v>
      </c>
      <c r="U527" s="583">
        <f t="shared" si="314"/>
        <v>14428.954279161511</v>
      </c>
      <c r="V527" s="511">
        <f t="shared" si="315"/>
        <v>14426.360007276726</v>
      </c>
      <c r="W527" s="497">
        <f>IF(Tabla3[[#This Row],[Fecha de operación]]=$C$1,0,U527-V527)</f>
        <v>2.5942718847854849</v>
      </c>
      <c r="X527" s="512" t="str">
        <f t="shared" si="309"/>
        <v>Vigente</v>
      </c>
      <c r="Y527" s="517" t="str">
        <f t="shared" si="319"/>
        <v>Semestral</v>
      </c>
      <c r="Z527" s="449">
        <f t="shared" si="310"/>
        <v>661</v>
      </c>
      <c r="AA527" s="518">
        <f t="shared" si="316"/>
        <v>5.5312023040099758</v>
      </c>
      <c r="AB527" s="518">
        <f t="shared" si="316"/>
        <v>5.3522405982816261</v>
      </c>
      <c r="AC527" s="449" t="s">
        <v>451</v>
      </c>
      <c r="AD527" s="449" t="s">
        <v>454</v>
      </c>
      <c r="AG527" s="605">
        <f>+IF(Tabla3[[#This Row],[Amortización k | cupón de intereses]]="Amortización de K",Tabla3[[#This Row],[Valor Nominal]],0)</f>
        <v>0</v>
      </c>
      <c r="AH527" s="605">
        <f>+IF(AND(Tabla3[[#This Row],[Amortización k | cupón de intereses]]="Cupón de interés",Tabla3[[#This Row],[Estado]]="Vigente"),Tabla3[[#This Row],[Valor Nominal]],0)</f>
        <v>16250</v>
      </c>
      <c r="AI527" s="618">
        <f>+IF(Tabla3[[#This Row],[Amortización k | cupón de intereses]]="Amortización de K",SUMIFS($AH$7:$AH$557,Tabla3[Código Emisión],Tabla3[[#This Row],[Código Emisión]],Tabla3[Fecha de operación],Tabla3[[#This Row],[Fecha de operación]]),0)-Tabla3[[#This Row],[Accrued]]*Tabla3[[#This Row],[Valor Nominal]]</f>
        <v>0</v>
      </c>
      <c r="AJ527" s="605">
        <f>+IF(Tabla3[[#This Row],[Amortización k | cupón de intereses]]="Amortización de K",IF(Tabla3[[#This Row],[Precio Clean]]&gt;1,Tabla3[[#This Row],[Valor Nominal]]*(Tabla3[[#This Row],[Precio Clean]]-1),0),0)</f>
        <v>0</v>
      </c>
      <c r="AK527" s="605">
        <f>+IF(Tabla3[[#This Row],[Amortización k | cupón de intereses]]="Amortización de K",IF(Tabla3[[#This Row],[Precio Clean]]&lt;1,Tabla3[[#This Row],[Valor Nominal]]*(Tabla3[[#This Row],[Precio Clean]]-1),0),0)</f>
        <v>0</v>
      </c>
    </row>
    <row r="528" spans="1:41">
      <c r="A528" s="502"/>
      <c r="B528" s="437" t="str">
        <f t="shared" si="320"/>
        <v>Gobierno de Colombia</v>
      </c>
      <c r="C528" s="437" t="str">
        <f t="shared" si="320"/>
        <v>Colombia-US195325EV39-6.5%-21012033-2</v>
      </c>
      <c r="D528" s="437" t="str">
        <f t="shared" si="320"/>
        <v>Bonos soberanos extranjeros</v>
      </c>
      <c r="E528" s="437" t="s">
        <v>612</v>
      </c>
      <c r="F528" s="437" t="str">
        <f t="shared" si="318"/>
        <v>Gobierno</v>
      </c>
      <c r="G528" s="437" t="str">
        <f t="shared" si="318"/>
        <v>Colombia</v>
      </c>
      <c r="H528" s="437">
        <f t="shared" si="312"/>
        <v>500</v>
      </c>
      <c r="I528" s="445">
        <v>32.5</v>
      </c>
      <c r="J528" s="462"/>
      <c r="K528" s="450"/>
      <c r="L528" s="462"/>
      <c r="M528" s="493"/>
      <c r="N528" s="493"/>
      <c r="O528" s="516">
        <f t="shared" si="321"/>
        <v>6.6873565357210049E-2</v>
      </c>
      <c r="P528" s="516">
        <f t="shared" si="313"/>
        <v>6.5791437059617763E-2</v>
      </c>
      <c r="Q528" s="450">
        <f t="shared" si="313"/>
        <v>46107</v>
      </c>
      <c r="R528" s="450">
        <v>46589</v>
      </c>
      <c r="S528" s="509" t="s">
        <v>146</v>
      </c>
      <c r="T528" s="510">
        <f>Tabla3[[#This Row],[Cantidad]]*Tabla3[[#This Row],[Cortes]]</f>
        <v>16250</v>
      </c>
      <c r="U528" s="583">
        <f t="shared" si="314"/>
        <v>14914.328366673784</v>
      </c>
      <c r="V528" s="511">
        <f t="shared" si="315"/>
        <v>14911.646826347747</v>
      </c>
      <c r="W528" s="497">
        <f>IF(Tabla3[[#This Row],[Fecha de operación]]=$C$1,0,U528-V528)</f>
        <v>2.6815403260370658</v>
      </c>
      <c r="X528" s="512" t="str">
        <f t="shared" si="309"/>
        <v>Vigente</v>
      </c>
      <c r="Y528" s="517" t="str">
        <f t="shared" si="319"/>
        <v>Semestral</v>
      </c>
      <c r="Z528" s="449">
        <f t="shared" si="310"/>
        <v>477</v>
      </c>
      <c r="AA528" s="518">
        <f t="shared" si="316"/>
        <v>5.5312023040099758</v>
      </c>
      <c r="AB528" s="518">
        <f t="shared" si="316"/>
        <v>5.3522405982816261</v>
      </c>
      <c r="AC528" s="449" t="s">
        <v>451</v>
      </c>
      <c r="AD528" s="449" t="s">
        <v>454</v>
      </c>
      <c r="AG528" s="605">
        <f>+IF(Tabla3[[#This Row],[Amortización k | cupón de intereses]]="Amortización de K",Tabla3[[#This Row],[Valor Nominal]],0)</f>
        <v>0</v>
      </c>
      <c r="AH528" s="605">
        <f>+IF(AND(Tabla3[[#This Row],[Amortización k | cupón de intereses]]="Cupón de interés",Tabla3[[#This Row],[Estado]]="Vigente"),Tabla3[[#This Row],[Valor Nominal]],0)</f>
        <v>16250</v>
      </c>
      <c r="AI528" s="618">
        <f>+IF(Tabla3[[#This Row],[Amortización k | cupón de intereses]]="Amortización de K",SUMIFS($AH$7:$AH$557,Tabla3[Código Emisión],Tabla3[[#This Row],[Código Emisión]],Tabla3[Fecha de operación],Tabla3[[#This Row],[Fecha de operación]]),0)-Tabla3[[#This Row],[Accrued]]*Tabla3[[#This Row],[Valor Nominal]]</f>
        <v>0</v>
      </c>
      <c r="AJ528" s="605">
        <f>+IF(Tabla3[[#This Row],[Amortización k | cupón de intereses]]="Amortización de K",IF(Tabla3[[#This Row],[Precio Clean]]&gt;1,Tabla3[[#This Row],[Valor Nominal]]*(Tabla3[[#This Row],[Precio Clean]]-1),0),0)</f>
        <v>0</v>
      </c>
      <c r="AK528" s="605">
        <f>+IF(Tabla3[[#This Row],[Amortización k | cupón de intereses]]="Amortización de K",IF(Tabla3[[#This Row],[Precio Clean]]&lt;1,Tabla3[[#This Row],[Valor Nominal]]*(Tabla3[[#This Row],[Precio Clean]]-1),0),0)</f>
        <v>0</v>
      </c>
    </row>
    <row r="529" spans="1:37">
      <c r="A529" s="502"/>
      <c r="B529" s="437" t="str">
        <f t="shared" si="320"/>
        <v>Gobierno de Colombia</v>
      </c>
      <c r="C529" s="437" t="str">
        <f t="shared" si="320"/>
        <v>Colombia-US195325EV39-6.5%-21012033-2</v>
      </c>
      <c r="D529" s="437" t="str">
        <f t="shared" si="320"/>
        <v>Bonos soberanos extranjeros</v>
      </c>
      <c r="E529" s="437" t="s">
        <v>612</v>
      </c>
      <c r="F529" s="437" t="str">
        <f t="shared" si="318"/>
        <v>Gobierno</v>
      </c>
      <c r="G529" s="437" t="str">
        <f t="shared" si="318"/>
        <v>Colombia</v>
      </c>
      <c r="H529" s="437">
        <f t="shared" si="312"/>
        <v>500</v>
      </c>
      <c r="I529" s="445">
        <v>32.5</v>
      </c>
      <c r="J529" s="462"/>
      <c r="K529" s="450"/>
      <c r="L529" s="462"/>
      <c r="M529" s="493"/>
      <c r="N529" s="493"/>
      <c r="O529" s="516">
        <f t="shared" si="321"/>
        <v>6.6873565357210049E-2</v>
      </c>
      <c r="P529" s="516">
        <f t="shared" si="313"/>
        <v>6.5791437059617763E-2</v>
      </c>
      <c r="Q529" s="450">
        <f t="shared" si="313"/>
        <v>46107</v>
      </c>
      <c r="R529" s="450">
        <v>46408</v>
      </c>
      <c r="S529" s="509" t="s">
        <v>146</v>
      </c>
      <c r="T529" s="510">
        <f>Tabla3[[#This Row],[Cantidad]]*Tabla3[[#This Row],[Cortes]]</f>
        <v>16250</v>
      </c>
      <c r="U529" s="583">
        <f t="shared" si="314"/>
        <v>15407.716164287353</v>
      </c>
      <c r="V529" s="511">
        <f t="shared" si="315"/>
        <v>15404.945914685029</v>
      </c>
      <c r="W529" s="497">
        <f>IF(Tabla3[[#This Row],[Fecha de operación]]=$C$1,0,U529-V529)</f>
        <v>2.7702496023230196</v>
      </c>
      <c r="X529" s="512" t="str">
        <f t="shared" si="309"/>
        <v>Vigente</v>
      </c>
      <c r="Y529" s="517" t="str">
        <f t="shared" si="319"/>
        <v>Semestral</v>
      </c>
      <c r="Z529" s="449">
        <f t="shared" si="310"/>
        <v>296</v>
      </c>
      <c r="AA529" s="518">
        <f t="shared" si="316"/>
        <v>5.5312023040099758</v>
      </c>
      <c r="AB529" s="518">
        <f t="shared" si="316"/>
        <v>5.3522405982816261</v>
      </c>
      <c r="AC529" s="449" t="s">
        <v>451</v>
      </c>
      <c r="AD529" s="449" t="s">
        <v>454</v>
      </c>
      <c r="AG529" s="605">
        <f>+IF(Tabla3[[#This Row],[Amortización k | cupón de intereses]]="Amortización de K",Tabla3[[#This Row],[Valor Nominal]],0)</f>
        <v>0</v>
      </c>
      <c r="AH529" s="605">
        <f>+IF(AND(Tabla3[[#This Row],[Amortización k | cupón de intereses]]="Cupón de interés",Tabla3[[#This Row],[Estado]]="Vigente"),Tabla3[[#This Row],[Valor Nominal]],0)</f>
        <v>16250</v>
      </c>
      <c r="AI529" s="618">
        <f>+IF(Tabla3[[#This Row],[Amortización k | cupón de intereses]]="Amortización de K",SUMIFS($AH$7:$AH$557,Tabla3[Código Emisión],Tabla3[[#This Row],[Código Emisión]],Tabla3[Fecha de operación],Tabla3[[#This Row],[Fecha de operación]]),0)-Tabla3[[#This Row],[Accrued]]*Tabla3[[#This Row],[Valor Nominal]]</f>
        <v>0</v>
      </c>
      <c r="AJ529" s="605">
        <f>+IF(Tabla3[[#This Row],[Amortización k | cupón de intereses]]="Amortización de K",IF(Tabla3[[#This Row],[Precio Clean]]&gt;1,Tabla3[[#This Row],[Valor Nominal]]*(Tabla3[[#This Row],[Precio Clean]]-1),0),0)</f>
        <v>0</v>
      </c>
      <c r="AK529" s="605">
        <f>+IF(Tabla3[[#This Row],[Amortización k | cupón de intereses]]="Amortización de K",IF(Tabla3[[#This Row],[Precio Clean]]&lt;1,Tabla3[[#This Row],[Valor Nominal]]*(Tabla3[[#This Row],[Precio Clean]]-1),0),0)</f>
        <v>0</v>
      </c>
    </row>
    <row r="530" spans="1:37">
      <c r="A530" s="502"/>
      <c r="B530" s="437" t="str">
        <f t="shared" si="320"/>
        <v>Gobierno de Colombia</v>
      </c>
      <c r="C530" s="437" t="str">
        <f t="shared" si="320"/>
        <v>Colombia-US195325EV39-6.5%-21012033-2</v>
      </c>
      <c r="D530" s="437" t="str">
        <f t="shared" si="320"/>
        <v>Bonos soberanos extranjeros</v>
      </c>
      <c r="E530" s="437" t="s">
        <v>612</v>
      </c>
      <c r="F530" s="437" t="str">
        <f t="shared" si="318"/>
        <v>Gobierno</v>
      </c>
      <c r="G530" s="437" t="str">
        <f t="shared" si="318"/>
        <v>Colombia</v>
      </c>
      <c r="H530" s="437">
        <f t="shared" si="318"/>
        <v>500</v>
      </c>
      <c r="I530" s="445">
        <v>32.5</v>
      </c>
      <c r="J530" s="462"/>
      <c r="K530" s="450"/>
      <c r="L530" s="462"/>
      <c r="M530" s="493"/>
      <c r="N530" s="493"/>
      <c r="O530" s="516">
        <f t="shared" si="321"/>
        <v>6.6873565357210049E-2</v>
      </c>
      <c r="P530" s="516">
        <f>+P529</f>
        <v>6.5791437059617763E-2</v>
      </c>
      <c r="Q530" s="450">
        <f>+Q529</f>
        <v>46107</v>
      </c>
      <c r="R530" s="450">
        <v>46224</v>
      </c>
      <c r="S530" s="509" t="s">
        <v>146</v>
      </c>
      <c r="T530" s="510">
        <f>Tabla3[[#This Row],[Cantidad]]*Tabla3[[#This Row],[Cortes]]</f>
        <v>16250</v>
      </c>
      <c r="U530" s="583">
        <f>IF(X530="VIgente",(T530/(1+O530)^((R530-$U$5)/360)))</f>
        <v>15926.014720731573</v>
      </c>
      <c r="V530" s="511">
        <f>IF(X530="VIgente",(T530/(1+O530)^((R530-$V$5)/360)))</f>
        <v>15923.151282991917</v>
      </c>
      <c r="W530" s="497">
        <f>IF(Tabla3[[#This Row],[Fecha de operación]]=$C$1,0,U530-V530)</f>
        <v>2.8634377396556374</v>
      </c>
      <c r="X530" s="512" t="str">
        <f>IF(R530&lt;=$U$5,"Vencido","Vigente")</f>
        <v>Vigente</v>
      </c>
      <c r="Y530" s="517" t="str">
        <f>+Y529</f>
        <v>Semestral</v>
      </c>
      <c r="Z530" s="449">
        <f>+R530-$U$5</f>
        <v>112</v>
      </c>
      <c r="AA530" s="518">
        <f>+AA529</f>
        <v>5.5312023040099758</v>
      </c>
      <c r="AB530" s="518">
        <f>+AB529</f>
        <v>5.3522405982816261</v>
      </c>
      <c r="AC530" s="449" t="s">
        <v>451</v>
      </c>
      <c r="AD530" s="449" t="s">
        <v>454</v>
      </c>
      <c r="AG530" s="605">
        <f>+IF(Tabla3[[#This Row],[Amortización k | cupón de intereses]]="Amortización de K",Tabla3[[#This Row],[Valor Nominal]],0)</f>
        <v>0</v>
      </c>
      <c r="AH530" s="605">
        <f>+IF(AND(Tabla3[[#This Row],[Amortización k | cupón de intereses]]="Cupón de interés",Tabla3[[#This Row],[Estado]]="Vigente"),Tabla3[[#This Row],[Valor Nominal]],0)</f>
        <v>16250</v>
      </c>
      <c r="AI530" s="618">
        <f>+IF(Tabla3[[#This Row],[Amortización k | cupón de intereses]]="Amortización de K",SUMIFS($AH$7:$AH$557,Tabla3[Código Emisión],Tabla3[[#This Row],[Código Emisión]],Tabla3[Fecha de operación],Tabla3[[#This Row],[Fecha de operación]]),0)-Tabla3[[#This Row],[Accrued]]*Tabla3[[#This Row],[Valor Nominal]]</f>
        <v>0</v>
      </c>
      <c r="AJ530" s="605">
        <f>+IF(Tabla3[[#This Row],[Amortización k | cupón de intereses]]="Amortización de K",IF(Tabla3[[#This Row],[Precio Clean]]&gt;1,Tabla3[[#This Row],[Valor Nominal]]*(Tabla3[[#This Row],[Precio Clean]]-1),0),0)</f>
        <v>0</v>
      </c>
      <c r="AK530" s="605">
        <f>+IF(Tabla3[[#This Row],[Amortización k | cupón de intereses]]="Amortización de K",IF(Tabla3[[#This Row],[Precio Clean]]&lt;1,Tabla3[[#This Row],[Valor Nominal]]*(Tabla3[[#This Row],[Precio Clean]]-1),0),0)</f>
        <v>0</v>
      </c>
    </row>
    <row r="531" spans="1:37">
      <c r="A531" s="502"/>
      <c r="B531" s="437" t="str">
        <f t="shared" si="320"/>
        <v>Gobierno de Colombia</v>
      </c>
      <c r="C531" s="437" t="str">
        <f t="shared" si="320"/>
        <v>Colombia-US195325EV39-6.5%-21012033-2</v>
      </c>
      <c r="D531" s="437" t="str">
        <f t="shared" si="320"/>
        <v>Bonos soberanos extranjeros</v>
      </c>
      <c r="E531" s="437" t="s">
        <v>612</v>
      </c>
      <c r="F531" s="437" t="str">
        <f t="shared" si="318"/>
        <v>Gobierno</v>
      </c>
      <c r="G531" s="437" t="str">
        <f t="shared" si="318"/>
        <v>Colombia</v>
      </c>
      <c r="H531" s="437">
        <f t="shared" si="318"/>
        <v>500</v>
      </c>
      <c r="I531" s="445">
        <v>32.5</v>
      </c>
      <c r="J531" s="462"/>
      <c r="K531" s="450"/>
      <c r="L531" s="462"/>
      <c r="M531" s="493"/>
      <c r="N531" s="493"/>
      <c r="O531" s="516">
        <f t="shared" si="321"/>
        <v>6.6873565357210049E-2</v>
      </c>
      <c r="P531" s="516">
        <f>+P530</f>
        <v>6.5791437059617763E-2</v>
      </c>
      <c r="Q531" s="450">
        <f>+Q530</f>
        <v>46107</v>
      </c>
      <c r="R531" s="450">
        <v>46043</v>
      </c>
      <c r="S531" s="509" t="s">
        <v>146</v>
      </c>
      <c r="T531" s="510">
        <f>Tabla3[[#This Row],[Cantidad]]*Tabla3[[#This Row],[Cortes]]</f>
        <v>16250</v>
      </c>
      <c r="U531" s="583" t="b">
        <f>IF(X531="VIgente",(T531/(1+O531)^((R531-$U$5)/360)))</f>
        <v>0</v>
      </c>
      <c r="V531" s="511" t="b">
        <f>IF(X531="VIgente",(T531/(1+O531)^((R531-$V$5)/360)))</f>
        <v>0</v>
      </c>
      <c r="W531" s="497">
        <f>IF(Tabla3[[#This Row],[Fecha de operación]]=$C$1,0,U531-V531)</f>
        <v>0</v>
      </c>
      <c r="X531" s="512" t="str">
        <f>IF(R531&lt;=$U$5,"Vencido","Vigente")</f>
        <v>Vencido</v>
      </c>
      <c r="Y531" s="517" t="str">
        <f>+Y530</f>
        <v>Semestral</v>
      </c>
      <c r="Z531" s="449">
        <f>+R531-$U$5</f>
        <v>-69</v>
      </c>
      <c r="AA531" s="518">
        <f>+AA530</f>
        <v>5.5312023040099758</v>
      </c>
      <c r="AB531" s="518">
        <f>+AB530</f>
        <v>5.3522405982816261</v>
      </c>
      <c r="AC531" s="449" t="s">
        <v>451</v>
      </c>
      <c r="AD531" s="449" t="s">
        <v>454</v>
      </c>
      <c r="AG531" s="605">
        <f>+IF(Tabla3[[#This Row],[Amortización k | cupón de intereses]]="Amortización de K",Tabla3[[#This Row],[Valor Nominal]],0)</f>
        <v>0</v>
      </c>
      <c r="AH531" s="605">
        <f>+IF(AND(Tabla3[[#This Row],[Amortización k | cupón de intereses]]="Cupón de interés",Tabla3[[#This Row],[Estado]]="Vigente"),Tabla3[[#This Row],[Valor Nominal]],0)</f>
        <v>0</v>
      </c>
      <c r="AI531" s="618">
        <f>+IF(Tabla3[[#This Row],[Amortización k | cupón de intereses]]="Amortización de K",SUMIFS($AH$7:$AH$557,Tabla3[Código Emisión],Tabla3[[#This Row],[Código Emisión]],Tabla3[Fecha de operación],Tabla3[[#This Row],[Fecha de operación]]),0)-Tabla3[[#This Row],[Accrued]]*Tabla3[[#This Row],[Valor Nominal]]</f>
        <v>0</v>
      </c>
      <c r="AJ531" s="605">
        <f>+IF(Tabla3[[#This Row],[Amortización k | cupón de intereses]]="Amortización de K",IF(Tabla3[[#This Row],[Precio Clean]]&gt;1,Tabla3[[#This Row],[Valor Nominal]]*(Tabla3[[#This Row],[Precio Clean]]-1),0),0)</f>
        <v>0</v>
      </c>
      <c r="AK531" s="605">
        <f>+IF(Tabla3[[#This Row],[Amortización k | cupón de intereses]]="Amortización de K",IF(Tabla3[[#This Row],[Precio Clean]]&lt;1,Tabla3[[#This Row],[Valor Nominal]]*(Tabla3[[#This Row],[Precio Clean]]-1),0),0)</f>
        <v>0</v>
      </c>
    </row>
    <row r="532" spans="1:37">
      <c r="A532" s="500">
        <f>+A516+1</f>
        <v>52</v>
      </c>
      <c r="B532" s="475" t="s">
        <v>485</v>
      </c>
      <c r="C532" s="475" t="s">
        <v>627</v>
      </c>
      <c r="D532" s="475" t="s">
        <v>453</v>
      </c>
      <c r="E532" s="475" t="s">
        <v>487</v>
      </c>
      <c r="F532" s="475" t="s">
        <v>297</v>
      </c>
      <c r="G532" s="475" t="s">
        <v>298</v>
      </c>
      <c r="H532" s="475">
        <v>1</v>
      </c>
      <c r="I532" s="477">
        <v>100000</v>
      </c>
      <c r="J532" s="478">
        <v>6.5000000000000002E-2</v>
      </c>
      <c r="K532" s="479">
        <f>_xlfn.MAXIFS(R:R,C:C,C532,AD:AD,"Cupón de interés",X:X,"Vencido")</f>
        <v>46065</v>
      </c>
      <c r="L532" s="478">
        <f>+Tabla3[[#This Row],[Tasa de Interés]]*($U$5-Tabla3[[#This Row],[Last coupon]])/365</f>
        <v>8.3698630136986307E-3</v>
      </c>
      <c r="M532" s="503">
        <f>+Tabla3[[#This Row],[Precio Dirty]]-Tabla3[[#This Row],[Accrued]]</f>
        <v>1.0023685399973374</v>
      </c>
      <c r="N532" s="503">
        <f>SUMIFS(U:U,C:C,C532,Q:Q,Q532)/SUMIFS(T:T,C:C,C532,Q:Q,Q532,AD:AD,"Amortización de K")</f>
        <v>1.010738403011036</v>
      </c>
      <c r="O532" s="482">
        <v>6.554993093013764E-2</v>
      </c>
      <c r="P532" s="482">
        <v>6.3997598517252285E-2</v>
      </c>
      <c r="Q532" s="484">
        <v>46112</v>
      </c>
      <c r="R532" s="484">
        <v>47069</v>
      </c>
      <c r="S532" s="504" t="s">
        <v>146</v>
      </c>
      <c r="T532" s="510">
        <f>Tabla3[[#This Row],[Cantidad]]*Tabla3[[#This Row],[Cortes]]</f>
        <v>100000</v>
      </c>
      <c r="U532" s="583">
        <f t="shared" ref="U532:U557" si="322">IF(X532="VIgente",(T532/(1+O532)^((R532-$U$5)/365)))</f>
        <v>84664.96807197429</v>
      </c>
      <c r="V532" s="583">
        <f t="shared" ref="V532:V557" si="323">IF(X532="VIgente",(T532/(1+O532)^((R532-$V$5)/365)))</f>
        <v>84650.242047920459</v>
      </c>
      <c r="W532" s="510">
        <f>IF(Tabla3[[#This Row],[Fecha de operación]]=$C$1,0,U532-V532)</f>
        <v>0</v>
      </c>
      <c r="X532" s="507" t="str">
        <f t="shared" ref="X532:X557" si="324">IF(R532&lt;=$U$5,"Vencido","Vigente")</f>
        <v>Vigente</v>
      </c>
      <c r="Y532" s="489" t="s">
        <v>450</v>
      </c>
      <c r="Z532" s="488">
        <f t="shared" ref="Z532:Z557" si="325">+R532-$U$5</f>
        <v>957</v>
      </c>
      <c r="AA532" s="508">
        <f>IF(Y532="Mensual",DURATION($C$1,$C$1+Z532*12,J532/12,O532/12,1)/12,DURATION($C$1,R532,J532,O532,IF(Y532="Cupón cero",1,IF(Y532="Al vencimiento",1,IF(Y532="Anual",1,IF(Y532="Semestral",2,IF(Y532="Trimestral",4,"")))))))</f>
        <v>2.4040638137267236</v>
      </c>
      <c r="AB532" s="508">
        <f>IF(Y532="Mensual",MDURATION($C$1,$C$1+Z532*12,J532/12,O532/12,1)/12,MDURATION($C$1,R532,J532,O532,IF(Y532="Cupón cero",1,IF(Y532="Al vencimiento",1,IF(Y532="Anual",1,IF(Y532="Semestral",2,IF(Y532="Trimestral",4,"")))))))</f>
        <v>2.3653024604980901</v>
      </c>
      <c r="AC532" s="488" t="s">
        <v>451</v>
      </c>
      <c r="AD532" s="488" t="s">
        <v>452</v>
      </c>
      <c r="AG532" s="605">
        <f>+IF(Tabla3[[#This Row],[Amortización k | cupón de intereses]]="Amortización de K",Tabla3[[#This Row],[Valor Nominal]],0)</f>
        <v>100000</v>
      </c>
      <c r="AH532" s="605">
        <f>+IF(AND(Tabla3[[#This Row],[Amortización k | cupón de intereses]]="Cupón de interés",Tabla3[[#This Row],[Estado]]="Vigente"),Tabla3[[#This Row],[Valor Nominal]],0)</f>
        <v>0</v>
      </c>
      <c r="AI532" s="618">
        <f>+IF(Tabla3[[#This Row],[Amortización k | cupón de intereses]]="Amortización de K",SUMIFS($AH$7:$AH$557,Tabla3[Código Emisión],Tabla3[[#This Row],[Código Emisión]],Tabla3[Fecha de operación],Tabla3[[#This Row],[Fecha de operación]]),0)-Tabla3[[#This Row],[Accrued]]*Tabla3[[#This Row],[Valor Nominal]]</f>
        <v>17042.413698630138</v>
      </c>
      <c r="AJ532" s="605">
        <f>+IF(Tabla3[[#This Row],[Amortización k | cupón de intereses]]="Amortización de K",IF(Tabla3[[#This Row],[Precio Clean]]&gt;1,Tabla3[[#This Row],[Valor Nominal]]*(Tabla3[[#This Row],[Precio Clean]]-1),0),0)</f>
        <v>236.85399973374376</v>
      </c>
      <c r="AK532" s="605">
        <f>+IF(Tabla3[[#This Row],[Amortización k | cupón de intereses]]="Amortización de K",IF(Tabla3[[#This Row],[Precio Clean]]&lt;1,Tabla3[[#This Row],[Valor Nominal]]*(Tabla3[[#This Row],[Precio Clean]]-1),0),0)</f>
        <v>0</v>
      </c>
    </row>
    <row r="533" spans="1:37">
      <c r="A533" s="502"/>
      <c r="B533" s="437" t="str">
        <f t="shared" ref="B533:C544" si="326">+B532</f>
        <v>Banco Nacional de Fomento</v>
      </c>
      <c r="C533" s="437" t="str">
        <f t="shared" si="326"/>
        <v>BNF_6,50%_12112028_BB3141-42_100K</v>
      </c>
      <c r="D533" s="437" t="s">
        <v>453</v>
      </c>
      <c r="E533" s="437" t="str">
        <f>+E532</f>
        <v>AA+py</v>
      </c>
      <c r="F533" s="437" t="s">
        <v>297</v>
      </c>
      <c r="G533" s="437" t="s">
        <v>298</v>
      </c>
      <c r="H533" s="437">
        <f>+H532</f>
        <v>1</v>
      </c>
      <c r="I533" s="445">
        <v>1602.73</v>
      </c>
      <c r="J533" s="462"/>
      <c r="K533" s="450"/>
      <c r="L533" s="462"/>
      <c r="M533" s="493"/>
      <c r="N533" s="493"/>
      <c r="O533" s="516">
        <f t="shared" ref="O533:Q544" si="327">+O532</f>
        <v>6.554993093013764E-2</v>
      </c>
      <c r="P533" s="516">
        <f t="shared" si="327"/>
        <v>6.3997598517252285E-2</v>
      </c>
      <c r="Q533" s="450">
        <f t="shared" si="327"/>
        <v>46112</v>
      </c>
      <c r="R533" s="450">
        <v>47069</v>
      </c>
      <c r="S533" s="509" t="s">
        <v>146</v>
      </c>
      <c r="T533" s="510">
        <f>Tabla3[[#This Row],[Cantidad]]*Tabla3[[#This Row],[Cortes]]</f>
        <v>1602.73</v>
      </c>
      <c r="U533" s="583">
        <f t="shared" si="322"/>
        <v>1356.9508427799535</v>
      </c>
      <c r="V533" s="511">
        <f t="shared" si="323"/>
        <v>1356.7148243746356</v>
      </c>
      <c r="W533" s="497">
        <f>IF(Tabla3[[#This Row],[Fecha de operación]]=$C$1,0,U533-V533)</f>
        <v>0</v>
      </c>
      <c r="X533" s="512" t="str">
        <f t="shared" si="324"/>
        <v>Vigente</v>
      </c>
      <c r="Y533" s="517" t="s">
        <v>450</v>
      </c>
      <c r="Z533" s="449">
        <f t="shared" si="325"/>
        <v>957</v>
      </c>
      <c r="AA533" s="518">
        <f t="shared" ref="AA533:AB544" si="328">+AA532</f>
        <v>2.4040638137267236</v>
      </c>
      <c r="AB533" s="518">
        <f t="shared" si="328"/>
        <v>2.3653024604980901</v>
      </c>
      <c r="AC533" s="449" t="s">
        <v>451</v>
      </c>
      <c r="AD533" s="449" t="s">
        <v>454</v>
      </c>
      <c r="AG533" s="605">
        <f>+IF(Tabla3[[#This Row],[Amortización k | cupón de intereses]]="Amortización de K",Tabla3[[#This Row],[Valor Nominal]],0)</f>
        <v>0</v>
      </c>
      <c r="AH533" s="605">
        <f>+IF(AND(Tabla3[[#This Row],[Amortización k | cupón de intereses]]="Cupón de interés",Tabla3[[#This Row],[Estado]]="Vigente"),Tabla3[[#This Row],[Valor Nominal]],0)</f>
        <v>1602.73</v>
      </c>
      <c r="AI533" s="618">
        <f>+IF(Tabla3[[#This Row],[Amortización k | cupón de intereses]]="Amortización de K",SUMIFS($AH$7:$AH$557,Tabla3[Código Emisión],Tabla3[[#This Row],[Código Emisión]],Tabla3[Fecha de operación],Tabla3[[#This Row],[Fecha de operación]]),0)-Tabla3[[#This Row],[Accrued]]*Tabla3[[#This Row],[Valor Nominal]]</f>
        <v>0</v>
      </c>
      <c r="AJ533" s="605">
        <f>+IF(Tabla3[[#This Row],[Amortización k | cupón de intereses]]="Amortización de K",IF(Tabla3[[#This Row],[Precio Clean]]&gt;1,Tabla3[[#This Row],[Valor Nominal]]*(Tabla3[[#This Row],[Precio Clean]]-1),0),0)</f>
        <v>0</v>
      </c>
      <c r="AK533" s="605">
        <f>+IF(Tabla3[[#This Row],[Amortización k | cupón de intereses]]="Amortización de K",IF(Tabla3[[#This Row],[Precio Clean]]&lt;1,Tabla3[[#This Row],[Valor Nominal]]*(Tabla3[[#This Row],[Precio Clean]]-1),0),0)</f>
        <v>0</v>
      </c>
    </row>
    <row r="534" spans="1:37">
      <c r="A534" s="502"/>
      <c r="B534" s="437" t="str">
        <f t="shared" si="326"/>
        <v>Banco Nacional de Fomento</v>
      </c>
      <c r="C534" s="437" t="str">
        <f t="shared" si="326"/>
        <v>BNF_6,50%_12112028_BB3141-42_100K</v>
      </c>
      <c r="D534" s="437" t="s">
        <v>453</v>
      </c>
      <c r="E534" s="437" t="str">
        <f t="shared" ref="E534:E544" si="329">+E533</f>
        <v>AA+py</v>
      </c>
      <c r="F534" s="437" t="s">
        <v>297</v>
      </c>
      <c r="G534" s="437" t="s">
        <v>298</v>
      </c>
      <c r="H534" s="437">
        <f t="shared" ref="H534:H544" si="330">+H533</f>
        <v>1</v>
      </c>
      <c r="I534" s="445">
        <v>1673.97</v>
      </c>
      <c r="J534" s="462"/>
      <c r="K534" s="450"/>
      <c r="L534" s="462"/>
      <c r="M534" s="493"/>
      <c r="N534" s="493"/>
      <c r="O534" s="516">
        <f t="shared" si="327"/>
        <v>6.554993093013764E-2</v>
      </c>
      <c r="P534" s="516">
        <f t="shared" si="327"/>
        <v>6.3997598517252285E-2</v>
      </c>
      <c r="Q534" s="450">
        <f t="shared" si="327"/>
        <v>46112</v>
      </c>
      <c r="R534" s="450">
        <v>46979</v>
      </c>
      <c r="S534" s="509" t="s">
        <v>146</v>
      </c>
      <c r="T534" s="510">
        <f>Tabla3[[#This Row],[Cantidad]]*Tabla3[[#This Row],[Cortes]]</f>
        <v>1673.97</v>
      </c>
      <c r="U534" s="583">
        <f t="shared" si="322"/>
        <v>1439.6285140822165</v>
      </c>
      <c r="V534" s="511">
        <f t="shared" si="323"/>
        <v>1439.3781153091495</v>
      </c>
      <c r="W534" s="497">
        <f>IF(Tabla3[[#This Row],[Fecha de operación]]=$C$1,0,U534-V534)</f>
        <v>0</v>
      </c>
      <c r="X534" s="512" t="str">
        <f t="shared" si="324"/>
        <v>Vigente</v>
      </c>
      <c r="Y534" s="517" t="s">
        <v>450</v>
      </c>
      <c r="Z534" s="449">
        <f t="shared" si="325"/>
        <v>867</v>
      </c>
      <c r="AA534" s="518">
        <f t="shared" si="328"/>
        <v>2.4040638137267236</v>
      </c>
      <c r="AB534" s="518">
        <f t="shared" si="328"/>
        <v>2.3653024604980901</v>
      </c>
      <c r="AC534" s="449" t="s">
        <v>451</v>
      </c>
      <c r="AD534" s="449" t="s">
        <v>454</v>
      </c>
      <c r="AG534" s="605">
        <f>+IF(Tabla3[[#This Row],[Amortización k | cupón de intereses]]="Amortización de K",Tabla3[[#This Row],[Valor Nominal]],0)</f>
        <v>0</v>
      </c>
      <c r="AH534" s="605">
        <f>+IF(AND(Tabla3[[#This Row],[Amortización k | cupón de intereses]]="Cupón de interés",Tabla3[[#This Row],[Estado]]="Vigente"),Tabla3[[#This Row],[Valor Nominal]],0)</f>
        <v>1673.97</v>
      </c>
      <c r="AI534" s="618">
        <f>+IF(Tabla3[[#This Row],[Amortización k | cupón de intereses]]="Amortización de K",SUMIFS($AH$7:$AH$557,Tabla3[Código Emisión],Tabla3[[#This Row],[Código Emisión]],Tabla3[Fecha de operación],Tabla3[[#This Row],[Fecha de operación]]),0)-Tabla3[[#This Row],[Accrued]]*Tabla3[[#This Row],[Valor Nominal]]</f>
        <v>0</v>
      </c>
      <c r="AJ534" s="605">
        <f>+IF(Tabla3[[#This Row],[Amortización k | cupón de intereses]]="Amortización de K",IF(Tabla3[[#This Row],[Precio Clean]]&gt;1,Tabla3[[#This Row],[Valor Nominal]]*(Tabla3[[#This Row],[Precio Clean]]-1),0),0)</f>
        <v>0</v>
      </c>
      <c r="AK534" s="605">
        <f>+IF(Tabla3[[#This Row],[Amortización k | cupón de intereses]]="Amortización de K",IF(Tabla3[[#This Row],[Precio Clean]]&lt;1,Tabla3[[#This Row],[Valor Nominal]]*(Tabla3[[#This Row],[Precio Clean]]-1),0),0)</f>
        <v>0</v>
      </c>
    </row>
    <row r="535" spans="1:37">
      <c r="A535" s="502"/>
      <c r="B535" s="437" t="str">
        <f t="shared" si="326"/>
        <v>Banco Nacional de Fomento</v>
      </c>
      <c r="C535" s="437" t="str">
        <f t="shared" si="326"/>
        <v>BNF_6,50%_12112028_BB3141-42_100K</v>
      </c>
      <c r="D535" s="437" t="s">
        <v>453</v>
      </c>
      <c r="E535" s="437" t="str">
        <f t="shared" si="329"/>
        <v>AA+py</v>
      </c>
      <c r="F535" s="437" t="s">
        <v>297</v>
      </c>
      <c r="G535" s="437" t="s">
        <v>298</v>
      </c>
      <c r="H535" s="437">
        <f t="shared" si="330"/>
        <v>1</v>
      </c>
      <c r="I535" s="445">
        <v>1567.12</v>
      </c>
      <c r="J535" s="462"/>
      <c r="K535" s="450"/>
      <c r="L535" s="462"/>
      <c r="M535" s="493"/>
      <c r="N535" s="493"/>
      <c r="O535" s="516">
        <f t="shared" si="327"/>
        <v>6.554993093013764E-2</v>
      </c>
      <c r="P535" s="516">
        <f t="shared" si="327"/>
        <v>6.3997598517252285E-2</v>
      </c>
      <c r="Q535" s="450">
        <f t="shared" si="327"/>
        <v>46112</v>
      </c>
      <c r="R535" s="450">
        <v>46885</v>
      </c>
      <c r="S535" s="509" t="s">
        <v>146</v>
      </c>
      <c r="T535" s="510">
        <f>Tabla3[[#This Row],[Cantidad]]*Tabla3[[#This Row],[Cortes]]</f>
        <v>1567.12</v>
      </c>
      <c r="U535" s="583">
        <f t="shared" si="322"/>
        <v>1369.9547477368549</v>
      </c>
      <c r="V535" s="511">
        <f t="shared" si="323"/>
        <v>1369.7164675245397</v>
      </c>
      <c r="W535" s="497">
        <f>IF(Tabla3[[#This Row],[Fecha de operación]]=$C$1,0,U535-V535)</f>
        <v>0</v>
      </c>
      <c r="X535" s="512" t="str">
        <f t="shared" si="324"/>
        <v>Vigente</v>
      </c>
      <c r="Y535" s="517" t="s">
        <v>450</v>
      </c>
      <c r="Z535" s="449">
        <f t="shared" si="325"/>
        <v>773</v>
      </c>
      <c r="AA535" s="518">
        <f t="shared" si="328"/>
        <v>2.4040638137267236</v>
      </c>
      <c r="AB535" s="518">
        <f t="shared" si="328"/>
        <v>2.3653024604980901</v>
      </c>
      <c r="AC535" s="449" t="s">
        <v>451</v>
      </c>
      <c r="AD535" s="449" t="s">
        <v>454</v>
      </c>
      <c r="AG535" s="605">
        <f>+IF(Tabla3[[#This Row],[Amortización k | cupón de intereses]]="Amortización de K",Tabla3[[#This Row],[Valor Nominal]],0)</f>
        <v>0</v>
      </c>
      <c r="AH535" s="605">
        <f>+IF(AND(Tabla3[[#This Row],[Amortización k | cupón de intereses]]="Cupón de interés",Tabla3[[#This Row],[Estado]]="Vigente"),Tabla3[[#This Row],[Valor Nominal]],0)</f>
        <v>1567.12</v>
      </c>
      <c r="AI535" s="618">
        <f>+IF(Tabla3[[#This Row],[Amortización k | cupón de intereses]]="Amortización de K",SUMIFS($AH$7:$AH$557,Tabla3[Código Emisión],Tabla3[[#This Row],[Código Emisión]],Tabla3[Fecha de operación],Tabla3[[#This Row],[Fecha de operación]]),0)-Tabla3[[#This Row],[Accrued]]*Tabla3[[#This Row],[Valor Nominal]]</f>
        <v>0</v>
      </c>
      <c r="AJ535" s="605">
        <f>+IF(Tabla3[[#This Row],[Amortización k | cupón de intereses]]="Amortización de K",IF(Tabla3[[#This Row],[Precio Clean]]&gt;1,Tabla3[[#This Row],[Valor Nominal]]*(Tabla3[[#This Row],[Precio Clean]]-1),0),0)</f>
        <v>0</v>
      </c>
      <c r="AK535" s="605">
        <f>+IF(Tabla3[[#This Row],[Amortización k | cupón de intereses]]="Amortización de K",IF(Tabla3[[#This Row],[Precio Clean]]&lt;1,Tabla3[[#This Row],[Valor Nominal]]*(Tabla3[[#This Row],[Precio Clean]]-1),0),0)</f>
        <v>0</v>
      </c>
    </row>
    <row r="536" spans="1:37">
      <c r="A536" s="502"/>
      <c r="B536" s="437" t="str">
        <f t="shared" si="326"/>
        <v>Banco Nacional de Fomento</v>
      </c>
      <c r="C536" s="437" t="str">
        <f t="shared" si="326"/>
        <v>BNF_6,50%_12112028_BB3141-42_100K</v>
      </c>
      <c r="D536" s="437" t="s">
        <v>453</v>
      </c>
      <c r="E536" s="437" t="str">
        <f t="shared" si="329"/>
        <v>AA+py</v>
      </c>
      <c r="F536" s="437" t="s">
        <v>297</v>
      </c>
      <c r="G536" s="437" t="s">
        <v>298</v>
      </c>
      <c r="H536" s="437">
        <f t="shared" si="330"/>
        <v>1</v>
      </c>
      <c r="I536" s="445">
        <v>1673.97</v>
      </c>
      <c r="J536" s="462"/>
      <c r="K536" s="450"/>
      <c r="L536" s="462"/>
      <c r="M536" s="493"/>
      <c r="N536" s="493"/>
      <c r="O536" s="516">
        <f t="shared" si="327"/>
        <v>6.554993093013764E-2</v>
      </c>
      <c r="P536" s="516">
        <f t="shared" si="327"/>
        <v>6.3997598517252285E-2</v>
      </c>
      <c r="Q536" s="450">
        <f t="shared" si="327"/>
        <v>46112</v>
      </c>
      <c r="R536" s="450">
        <v>46797</v>
      </c>
      <c r="S536" s="509" t="s">
        <v>146</v>
      </c>
      <c r="T536" s="510">
        <f>Tabla3[[#This Row],[Cantidad]]*Tabla3[[#This Row],[Cortes]]</f>
        <v>1673.97</v>
      </c>
      <c r="U536" s="583">
        <f t="shared" si="322"/>
        <v>1485.9341718681396</v>
      </c>
      <c r="V536" s="511">
        <f t="shared" si="323"/>
        <v>1485.6757190173837</v>
      </c>
      <c r="W536" s="497">
        <f>IF(Tabla3[[#This Row],[Fecha de operación]]=$C$1,0,U536-V536)</f>
        <v>0</v>
      </c>
      <c r="X536" s="512" t="str">
        <f t="shared" si="324"/>
        <v>Vigente</v>
      </c>
      <c r="Y536" s="517" t="s">
        <v>450</v>
      </c>
      <c r="Z536" s="449">
        <f t="shared" si="325"/>
        <v>685</v>
      </c>
      <c r="AA536" s="518">
        <f t="shared" si="328"/>
        <v>2.4040638137267236</v>
      </c>
      <c r="AB536" s="518">
        <f t="shared" si="328"/>
        <v>2.3653024604980901</v>
      </c>
      <c r="AC536" s="449" t="s">
        <v>451</v>
      </c>
      <c r="AD536" s="449" t="s">
        <v>454</v>
      </c>
      <c r="AG536" s="605">
        <f>+IF(Tabla3[[#This Row],[Amortización k | cupón de intereses]]="Amortización de K",Tabla3[[#This Row],[Valor Nominal]],0)</f>
        <v>0</v>
      </c>
      <c r="AH536" s="605">
        <f>+IF(AND(Tabla3[[#This Row],[Amortización k | cupón de intereses]]="Cupón de interés",Tabla3[[#This Row],[Estado]]="Vigente"),Tabla3[[#This Row],[Valor Nominal]],0)</f>
        <v>1673.97</v>
      </c>
      <c r="AI536" s="618">
        <f>+IF(Tabla3[[#This Row],[Amortización k | cupón de intereses]]="Amortización de K",SUMIFS($AH$7:$AH$557,Tabla3[Código Emisión],Tabla3[[#This Row],[Código Emisión]],Tabla3[Fecha de operación],Tabla3[[#This Row],[Fecha de operación]]),0)-Tabla3[[#This Row],[Accrued]]*Tabla3[[#This Row],[Valor Nominal]]</f>
        <v>0</v>
      </c>
      <c r="AJ536" s="605">
        <f>+IF(Tabla3[[#This Row],[Amortización k | cupón de intereses]]="Amortización de K",IF(Tabla3[[#This Row],[Precio Clean]]&gt;1,Tabla3[[#This Row],[Valor Nominal]]*(Tabla3[[#This Row],[Precio Clean]]-1),0),0)</f>
        <v>0</v>
      </c>
      <c r="AK536" s="605">
        <f>+IF(Tabla3[[#This Row],[Amortización k | cupón de intereses]]="Amortización de K",IF(Tabla3[[#This Row],[Precio Clean]]&lt;1,Tabla3[[#This Row],[Valor Nominal]]*(Tabla3[[#This Row],[Precio Clean]]-1),0),0)</f>
        <v>0</v>
      </c>
    </row>
    <row r="537" spans="1:37">
      <c r="A537" s="502"/>
      <c r="B537" s="437" t="str">
        <f t="shared" si="326"/>
        <v>Banco Nacional de Fomento</v>
      </c>
      <c r="C537" s="437" t="str">
        <f t="shared" si="326"/>
        <v>BNF_6,50%_12112028_BB3141-42_100K</v>
      </c>
      <c r="D537" s="437" t="s">
        <v>453</v>
      </c>
      <c r="E537" s="437" t="str">
        <f t="shared" si="329"/>
        <v>AA+py</v>
      </c>
      <c r="F537" s="437" t="s">
        <v>297</v>
      </c>
      <c r="G537" s="437" t="s">
        <v>298</v>
      </c>
      <c r="H537" s="437">
        <f t="shared" si="330"/>
        <v>1</v>
      </c>
      <c r="I537" s="445">
        <v>1638.35</v>
      </c>
      <c r="J537" s="462"/>
      <c r="K537" s="450"/>
      <c r="L537" s="462"/>
      <c r="M537" s="493"/>
      <c r="N537" s="493"/>
      <c r="O537" s="516">
        <f t="shared" si="327"/>
        <v>6.554993093013764E-2</v>
      </c>
      <c r="P537" s="516">
        <f t="shared" si="327"/>
        <v>6.3997598517252285E-2</v>
      </c>
      <c r="Q537" s="450">
        <f t="shared" si="327"/>
        <v>46112</v>
      </c>
      <c r="R537" s="450">
        <v>46703</v>
      </c>
      <c r="S537" s="509" t="s">
        <v>146</v>
      </c>
      <c r="T537" s="510">
        <f>Tabla3[[#This Row],[Cantidad]]*Tabla3[[#This Row],[Cortes]]</f>
        <v>1638.35</v>
      </c>
      <c r="U537" s="583">
        <f t="shared" si="322"/>
        <v>1478.2904944274039</v>
      </c>
      <c r="V537" s="511">
        <f t="shared" si="323"/>
        <v>1478.0333710636889</v>
      </c>
      <c r="W537" s="497">
        <f>IF(Tabla3[[#This Row],[Fecha de operación]]=$C$1,0,U537-V537)</f>
        <v>0</v>
      </c>
      <c r="X537" s="512" t="str">
        <f t="shared" si="324"/>
        <v>Vigente</v>
      </c>
      <c r="Y537" s="517" t="s">
        <v>450</v>
      </c>
      <c r="Z537" s="449">
        <f t="shared" si="325"/>
        <v>591</v>
      </c>
      <c r="AA537" s="518">
        <f t="shared" si="328"/>
        <v>2.4040638137267236</v>
      </c>
      <c r="AB537" s="518">
        <f t="shared" si="328"/>
        <v>2.3653024604980901</v>
      </c>
      <c r="AC537" s="449" t="s">
        <v>451</v>
      </c>
      <c r="AD537" s="449" t="s">
        <v>454</v>
      </c>
      <c r="AG537" s="605">
        <f>+IF(Tabla3[[#This Row],[Amortización k | cupón de intereses]]="Amortización de K",Tabla3[[#This Row],[Valor Nominal]],0)</f>
        <v>0</v>
      </c>
      <c r="AH537" s="605">
        <f>+IF(AND(Tabla3[[#This Row],[Amortización k | cupón de intereses]]="Cupón de interés",Tabla3[[#This Row],[Estado]]="Vigente"),Tabla3[[#This Row],[Valor Nominal]],0)</f>
        <v>1638.35</v>
      </c>
      <c r="AI537" s="618">
        <f>+IF(Tabla3[[#This Row],[Amortización k | cupón de intereses]]="Amortización de K",SUMIFS($AH$7:$AH$557,Tabla3[Código Emisión],Tabla3[[#This Row],[Código Emisión]],Tabla3[Fecha de operación],Tabla3[[#This Row],[Fecha de operación]]),0)-Tabla3[[#This Row],[Accrued]]*Tabla3[[#This Row],[Valor Nominal]]</f>
        <v>0</v>
      </c>
      <c r="AJ537" s="605">
        <f>+IF(Tabla3[[#This Row],[Amortización k | cupón de intereses]]="Amortización de K",IF(Tabla3[[#This Row],[Precio Clean]]&gt;1,Tabla3[[#This Row],[Valor Nominal]]*(Tabla3[[#This Row],[Precio Clean]]-1),0),0)</f>
        <v>0</v>
      </c>
      <c r="AK537" s="605">
        <f>+IF(Tabla3[[#This Row],[Amortización k | cupón de intereses]]="Amortización de K",IF(Tabla3[[#This Row],[Precio Clean]]&lt;1,Tabla3[[#This Row],[Valor Nominal]]*(Tabla3[[#This Row],[Precio Clean]]-1),0),0)</f>
        <v>0</v>
      </c>
    </row>
    <row r="538" spans="1:37">
      <c r="A538" s="502"/>
      <c r="B538" s="437" t="str">
        <f t="shared" si="326"/>
        <v>Banco Nacional de Fomento</v>
      </c>
      <c r="C538" s="437" t="str">
        <f t="shared" si="326"/>
        <v>BNF_6,50%_12112028_BB3141-42_100K</v>
      </c>
      <c r="D538" s="437" t="s">
        <v>453</v>
      </c>
      <c r="E538" s="437" t="str">
        <f t="shared" si="329"/>
        <v>AA+py</v>
      </c>
      <c r="F538" s="437" t="s">
        <v>297</v>
      </c>
      <c r="G538" s="437" t="s">
        <v>298</v>
      </c>
      <c r="H538" s="437">
        <f t="shared" si="330"/>
        <v>1</v>
      </c>
      <c r="I538" s="445">
        <v>1638.35</v>
      </c>
      <c r="J538" s="462"/>
      <c r="K538" s="450"/>
      <c r="L538" s="462"/>
      <c r="M538" s="493"/>
      <c r="N538" s="493"/>
      <c r="O538" s="516">
        <f t="shared" si="327"/>
        <v>6.554993093013764E-2</v>
      </c>
      <c r="P538" s="516">
        <f t="shared" si="327"/>
        <v>6.3997598517252285E-2</v>
      </c>
      <c r="Q538" s="450">
        <f t="shared" si="327"/>
        <v>46112</v>
      </c>
      <c r="R538" s="450">
        <v>46611</v>
      </c>
      <c r="S538" s="509" t="s">
        <v>146</v>
      </c>
      <c r="T538" s="510">
        <f>Tabla3[[#This Row],[Cantidad]]*Tabla3[[#This Row],[Cortes]]</f>
        <v>1638.35</v>
      </c>
      <c r="U538" s="583">
        <f t="shared" si="322"/>
        <v>1502.1382125266105</v>
      </c>
      <c r="V538" s="511">
        <f t="shared" si="323"/>
        <v>1501.8769412599511</v>
      </c>
      <c r="W538" s="497">
        <f>IF(Tabla3[[#This Row],[Fecha de operación]]=$C$1,0,U538-V538)</f>
        <v>0</v>
      </c>
      <c r="X538" s="512" t="str">
        <f t="shared" si="324"/>
        <v>Vigente</v>
      </c>
      <c r="Y538" s="517" t="s">
        <v>450</v>
      </c>
      <c r="Z538" s="449">
        <f t="shared" si="325"/>
        <v>499</v>
      </c>
      <c r="AA538" s="518">
        <f t="shared" si="328"/>
        <v>2.4040638137267236</v>
      </c>
      <c r="AB538" s="518">
        <f t="shared" si="328"/>
        <v>2.3653024604980901</v>
      </c>
      <c r="AC538" s="449" t="s">
        <v>451</v>
      </c>
      <c r="AD538" s="449" t="s">
        <v>454</v>
      </c>
      <c r="AG538" s="605">
        <f>+IF(Tabla3[[#This Row],[Amortización k | cupón de intereses]]="Amortización de K",Tabla3[[#This Row],[Valor Nominal]],0)</f>
        <v>0</v>
      </c>
      <c r="AH538" s="605">
        <f>+IF(AND(Tabla3[[#This Row],[Amortización k | cupón de intereses]]="Cupón de interés",Tabla3[[#This Row],[Estado]]="Vigente"),Tabla3[[#This Row],[Valor Nominal]],0)</f>
        <v>1638.35</v>
      </c>
      <c r="AI538" s="618">
        <f>+IF(Tabla3[[#This Row],[Amortización k | cupón de intereses]]="Amortización de K",SUMIFS($AH$7:$AH$557,Tabla3[Código Emisión],Tabla3[[#This Row],[Código Emisión]],Tabla3[Fecha de operación],Tabla3[[#This Row],[Fecha de operación]]),0)-Tabla3[[#This Row],[Accrued]]*Tabla3[[#This Row],[Valor Nominal]]</f>
        <v>0</v>
      </c>
      <c r="AJ538" s="605">
        <f>+IF(Tabla3[[#This Row],[Amortización k | cupón de intereses]]="Amortización de K",IF(Tabla3[[#This Row],[Precio Clean]]&gt;1,Tabla3[[#This Row],[Valor Nominal]]*(Tabla3[[#This Row],[Precio Clean]]-1),0),0)</f>
        <v>0</v>
      </c>
      <c r="AK538" s="605">
        <f>+IF(Tabla3[[#This Row],[Amortización k | cupón de intereses]]="Amortización de K",IF(Tabla3[[#This Row],[Precio Clean]]&lt;1,Tabla3[[#This Row],[Valor Nominal]]*(Tabla3[[#This Row],[Precio Clean]]-1),0),0)</f>
        <v>0</v>
      </c>
    </row>
    <row r="539" spans="1:37">
      <c r="A539" s="502"/>
      <c r="B539" s="437" t="str">
        <f t="shared" si="326"/>
        <v>Banco Nacional de Fomento</v>
      </c>
      <c r="C539" s="437" t="str">
        <f t="shared" si="326"/>
        <v>BNF_6,50%_12112028_BB3141-42_100K</v>
      </c>
      <c r="D539" s="437" t="s">
        <v>453</v>
      </c>
      <c r="E539" s="437" t="str">
        <f t="shared" si="329"/>
        <v>AA+py</v>
      </c>
      <c r="F539" s="437" t="s">
        <v>297</v>
      </c>
      <c r="G539" s="437" t="s">
        <v>298</v>
      </c>
      <c r="H539" s="437">
        <f t="shared" si="330"/>
        <v>1</v>
      </c>
      <c r="I539" s="445">
        <v>1584.93</v>
      </c>
      <c r="J539" s="462"/>
      <c r="K539" s="450"/>
      <c r="L539" s="462"/>
      <c r="M539" s="493"/>
      <c r="N539" s="493"/>
      <c r="O539" s="516">
        <f t="shared" si="327"/>
        <v>6.554993093013764E-2</v>
      </c>
      <c r="P539" s="516">
        <f t="shared" si="327"/>
        <v>6.3997598517252285E-2</v>
      </c>
      <c r="Q539" s="450">
        <f t="shared" si="327"/>
        <v>46112</v>
      </c>
      <c r="R539" s="450">
        <v>46519</v>
      </c>
      <c r="S539" s="509" t="s">
        <v>146</v>
      </c>
      <c r="T539" s="510">
        <f>Tabla3[[#This Row],[Cantidad]]*Tabla3[[#This Row],[Cortes]]</f>
        <v>1584.93</v>
      </c>
      <c r="U539" s="583">
        <f t="shared" si="322"/>
        <v>1476.6018372186597</v>
      </c>
      <c r="V539" s="511">
        <f t="shared" si="323"/>
        <v>1476.3450075680025</v>
      </c>
      <c r="W539" s="497">
        <f>IF(Tabla3[[#This Row],[Fecha de operación]]=$C$1,0,U539-V539)</f>
        <v>0</v>
      </c>
      <c r="X539" s="512" t="str">
        <f t="shared" si="324"/>
        <v>Vigente</v>
      </c>
      <c r="Y539" s="517" t="s">
        <v>450</v>
      </c>
      <c r="Z539" s="449">
        <f t="shared" si="325"/>
        <v>407</v>
      </c>
      <c r="AA539" s="518">
        <f t="shared" si="328"/>
        <v>2.4040638137267236</v>
      </c>
      <c r="AB539" s="518">
        <f t="shared" si="328"/>
        <v>2.3653024604980901</v>
      </c>
      <c r="AC539" s="449" t="s">
        <v>451</v>
      </c>
      <c r="AD539" s="449" t="s">
        <v>454</v>
      </c>
      <c r="AG539" s="605">
        <f>+IF(Tabla3[[#This Row],[Amortización k | cupón de intereses]]="Amortización de K",Tabla3[[#This Row],[Valor Nominal]],0)</f>
        <v>0</v>
      </c>
      <c r="AH539" s="605">
        <f>+IF(AND(Tabla3[[#This Row],[Amortización k | cupón de intereses]]="Cupón de interés",Tabla3[[#This Row],[Estado]]="Vigente"),Tabla3[[#This Row],[Valor Nominal]],0)</f>
        <v>1584.93</v>
      </c>
      <c r="AI539" s="618">
        <f>+IF(Tabla3[[#This Row],[Amortización k | cupón de intereses]]="Amortización de K",SUMIFS($AH$7:$AH$557,Tabla3[Código Emisión],Tabla3[[#This Row],[Código Emisión]],Tabla3[Fecha de operación],Tabla3[[#This Row],[Fecha de operación]]),0)-Tabla3[[#This Row],[Accrued]]*Tabla3[[#This Row],[Valor Nominal]]</f>
        <v>0</v>
      </c>
      <c r="AJ539" s="605">
        <f>+IF(Tabla3[[#This Row],[Amortización k | cupón de intereses]]="Amortización de K",IF(Tabla3[[#This Row],[Precio Clean]]&gt;1,Tabla3[[#This Row],[Valor Nominal]]*(Tabla3[[#This Row],[Precio Clean]]-1),0),0)</f>
        <v>0</v>
      </c>
      <c r="AK539" s="605">
        <f>+IF(Tabla3[[#This Row],[Amortización k | cupón de intereses]]="Amortización de K",IF(Tabla3[[#This Row],[Precio Clean]]&lt;1,Tabla3[[#This Row],[Valor Nominal]]*(Tabla3[[#This Row],[Precio Clean]]-1),0),0)</f>
        <v>0</v>
      </c>
    </row>
    <row r="540" spans="1:37">
      <c r="A540" s="502"/>
      <c r="B540" s="437" t="str">
        <f t="shared" si="326"/>
        <v>Banco Nacional de Fomento</v>
      </c>
      <c r="C540" s="437" t="str">
        <f t="shared" si="326"/>
        <v>BNF_6,50%_12112028_BB3141-42_100K</v>
      </c>
      <c r="D540" s="437" t="s">
        <v>453</v>
      </c>
      <c r="E540" s="437" t="str">
        <f t="shared" si="329"/>
        <v>AA+py</v>
      </c>
      <c r="F540" s="437" t="s">
        <v>297</v>
      </c>
      <c r="G540" s="437" t="s">
        <v>298</v>
      </c>
      <c r="H540" s="437">
        <f t="shared" si="330"/>
        <v>1</v>
      </c>
      <c r="I540" s="445">
        <v>1638.35</v>
      </c>
      <c r="J540" s="462"/>
      <c r="K540" s="450"/>
      <c r="L540" s="462"/>
      <c r="M540" s="493"/>
      <c r="N540" s="493"/>
      <c r="O540" s="516">
        <f t="shared" si="327"/>
        <v>6.554993093013764E-2</v>
      </c>
      <c r="P540" s="516">
        <f t="shared" si="327"/>
        <v>6.3997598517252285E-2</v>
      </c>
      <c r="Q540" s="450">
        <f t="shared" si="327"/>
        <v>46112</v>
      </c>
      <c r="R540" s="450">
        <v>46430</v>
      </c>
      <c r="S540" s="509" t="s">
        <v>146</v>
      </c>
      <c r="T540" s="510">
        <f>Tabla3[[#This Row],[Cantidad]]*Tabla3[[#This Row],[Cortes]]</f>
        <v>1638.35</v>
      </c>
      <c r="U540" s="583">
        <f t="shared" si="322"/>
        <v>1550.1848199927424</v>
      </c>
      <c r="V540" s="511">
        <f t="shared" si="323"/>
        <v>1549.9151918399541</v>
      </c>
      <c r="W540" s="497">
        <f>IF(Tabla3[[#This Row],[Fecha de operación]]=$C$1,0,U540-V540)</f>
        <v>0</v>
      </c>
      <c r="X540" s="512" t="str">
        <f t="shared" si="324"/>
        <v>Vigente</v>
      </c>
      <c r="Y540" s="517" t="s">
        <v>450</v>
      </c>
      <c r="Z540" s="449">
        <f t="shared" si="325"/>
        <v>318</v>
      </c>
      <c r="AA540" s="518">
        <f t="shared" si="328"/>
        <v>2.4040638137267236</v>
      </c>
      <c r="AB540" s="518">
        <f t="shared" si="328"/>
        <v>2.3653024604980901</v>
      </c>
      <c r="AC540" s="449" t="s">
        <v>451</v>
      </c>
      <c r="AD540" s="449" t="s">
        <v>454</v>
      </c>
      <c r="AG540" s="605">
        <f>+IF(Tabla3[[#This Row],[Amortización k | cupón de intereses]]="Amortización de K",Tabla3[[#This Row],[Valor Nominal]],0)</f>
        <v>0</v>
      </c>
      <c r="AH540" s="605">
        <f>+IF(AND(Tabla3[[#This Row],[Amortización k | cupón de intereses]]="Cupón de interés",Tabla3[[#This Row],[Estado]]="Vigente"),Tabla3[[#This Row],[Valor Nominal]],0)</f>
        <v>1638.35</v>
      </c>
      <c r="AI540" s="618">
        <f>+IF(Tabla3[[#This Row],[Amortización k | cupón de intereses]]="Amortización de K",SUMIFS($AH$7:$AH$557,Tabla3[Código Emisión],Tabla3[[#This Row],[Código Emisión]],Tabla3[Fecha de operación],Tabla3[[#This Row],[Fecha de operación]]),0)-Tabla3[[#This Row],[Accrued]]*Tabla3[[#This Row],[Valor Nominal]]</f>
        <v>0</v>
      </c>
      <c r="AJ540" s="605">
        <f>+IF(Tabla3[[#This Row],[Amortización k | cupón de intereses]]="Amortización de K",IF(Tabla3[[#This Row],[Precio Clean]]&gt;1,Tabla3[[#This Row],[Valor Nominal]]*(Tabla3[[#This Row],[Precio Clean]]-1),0),0)</f>
        <v>0</v>
      </c>
      <c r="AK540" s="605">
        <f>+IF(Tabla3[[#This Row],[Amortización k | cupón de intereses]]="Amortización de K",IF(Tabla3[[#This Row],[Precio Clean]]&lt;1,Tabla3[[#This Row],[Valor Nominal]]*(Tabla3[[#This Row],[Precio Clean]]-1),0),0)</f>
        <v>0</v>
      </c>
    </row>
    <row r="541" spans="1:37">
      <c r="A541" s="502"/>
      <c r="B541" s="437" t="str">
        <f t="shared" si="326"/>
        <v>Banco Nacional de Fomento</v>
      </c>
      <c r="C541" s="437" t="str">
        <f t="shared" si="326"/>
        <v>BNF_6,50%_12112028_BB3141-42_100K</v>
      </c>
      <c r="D541" s="437" t="s">
        <v>453</v>
      </c>
      <c r="E541" s="437" t="str">
        <f t="shared" si="329"/>
        <v>AA+py</v>
      </c>
      <c r="F541" s="437" t="s">
        <v>297</v>
      </c>
      <c r="G541" s="437" t="s">
        <v>298</v>
      </c>
      <c r="H541" s="437">
        <f t="shared" si="330"/>
        <v>1</v>
      </c>
      <c r="I541" s="445">
        <v>1638.35</v>
      </c>
      <c r="J541" s="462"/>
      <c r="K541" s="450"/>
      <c r="L541" s="462"/>
      <c r="M541" s="493"/>
      <c r="N541" s="493"/>
      <c r="O541" s="516">
        <f t="shared" si="327"/>
        <v>6.554993093013764E-2</v>
      </c>
      <c r="P541" s="516">
        <f t="shared" si="327"/>
        <v>6.3997598517252285E-2</v>
      </c>
      <c r="Q541" s="450">
        <f t="shared" si="327"/>
        <v>46112</v>
      </c>
      <c r="R541" s="450">
        <v>46338</v>
      </c>
      <c r="S541" s="509" t="s">
        <v>146</v>
      </c>
      <c r="T541" s="510">
        <f>Tabla3[[#This Row],[Cantidad]]*Tabla3[[#This Row],[Cortes]]</f>
        <v>1638.35</v>
      </c>
      <c r="U541" s="583">
        <f t="shared" si="322"/>
        <v>1575.1923342317994</v>
      </c>
      <c r="V541" s="511">
        <f t="shared" si="323"/>
        <v>1574.9183564493521</v>
      </c>
      <c r="W541" s="497">
        <f>IF(Tabla3[[#This Row],[Fecha de operación]]=$C$1,0,U541-V541)</f>
        <v>0</v>
      </c>
      <c r="X541" s="512" t="str">
        <f t="shared" si="324"/>
        <v>Vigente</v>
      </c>
      <c r="Y541" s="517" t="s">
        <v>450</v>
      </c>
      <c r="Z541" s="449">
        <f t="shared" si="325"/>
        <v>226</v>
      </c>
      <c r="AA541" s="518">
        <f t="shared" si="328"/>
        <v>2.4040638137267236</v>
      </c>
      <c r="AB541" s="518">
        <f t="shared" si="328"/>
        <v>2.3653024604980901</v>
      </c>
      <c r="AC541" s="449" t="s">
        <v>451</v>
      </c>
      <c r="AD541" s="449" t="s">
        <v>454</v>
      </c>
      <c r="AG541" s="605">
        <f>+IF(Tabla3[[#This Row],[Amortización k | cupón de intereses]]="Amortización de K",Tabla3[[#This Row],[Valor Nominal]],0)</f>
        <v>0</v>
      </c>
      <c r="AH541" s="605">
        <f>+IF(AND(Tabla3[[#This Row],[Amortización k | cupón de intereses]]="Cupón de interés",Tabla3[[#This Row],[Estado]]="Vigente"),Tabla3[[#This Row],[Valor Nominal]],0)</f>
        <v>1638.35</v>
      </c>
      <c r="AI541" s="618">
        <f>+IF(Tabla3[[#This Row],[Amortización k | cupón de intereses]]="Amortización de K",SUMIFS($AH$7:$AH$557,Tabla3[Código Emisión],Tabla3[[#This Row],[Código Emisión]],Tabla3[Fecha de operación],Tabla3[[#This Row],[Fecha de operación]]),0)-Tabla3[[#This Row],[Accrued]]*Tabla3[[#This Row],[Valor Nominal]]</f>
        <v>0</v>
      </c>
      <c r="AJ541" s="605">
        <f>+IF(Tabla3[[#This Row],[Amortización k | cupón de intereses]]="Amortización de K",IF(Tabla3[[#This Row],[Precio Clean]]&gt;1,Tabla3[[#This Row],[Valor Nominal]]*(Tabla3[[#This Row],[Precio Clean]]-1),0),0)</f>
        <v>0</v>
      </c>
      <c r="AK541" s="605">
        <f>+IF(Tabla3[[#This Row],[Amortización k | cupón de intereses]]="Amortización de K",IF(Tabla3[[#This Row],[Precio Clean]]&lt;1,Tabla3[[#This Row],[Valor Nominal]]*(Tabla3[[#This Row],[Precio Clean]]-1),0),0)</f>
        <v>0</v>
      </c>
    </row>
    <row r="542" spans="1:37">
      <c r="A542" s="502"/>
      <c r="B542" s="437" t="str">
        <f t="shared" si="326"/>
        <v>Banco Nacional de Fomento</v>
      </c>
      <c r="C542" s="437" t="str">
        <f t="shared" si="326"/>
        <v>BNF_6,50%_12112028_BB3141-42_100K</v>
      </c>
      <c r="D542" s="437" t="s">
        <v>453</v>
      </c>
      <c r="E542" s="437" t="str">
        <f t="shared" si="329"/>
        <v>AA+py</v>
      </c>
      <c r="F542" s="437" t="s">
        <v>297</v>
      </c>
      <c r="G542" s="437" t="s">
        <v>298</v>
      </c>
      <c r="H542" s="437">
        <f t="shared" si="330"/>
        <v>1</v>
      </c>
      <c r="I542" s="445">
        <v>1638.35</v>
      </c>
      <c r="J542" s="462"/>
      <c r="K542" s="450"/>
      <c r="L542" s="462"/>
      <c r="M542" s="493"/>
      <c r="N542" s="493"/>
      <c r="O542" s="516">
        <f t="shared" si="327"/>
        <v>6.554993093013764E-2</v>
      </c>
      <c r="P542" s="516">
        <f t="shared" si="327"/>
        <v>6.3997598517252285E-2</v>
      </c>
      <c r="Q542" s="450">
        <f t="shared" si="327"/>
        <v>46112</v>
      </c>
      <c r="R542" s="450">
        <v>46246</v>
      </c>
      <c r="S542" s="509" t="s">
        <v>146</v>
      </c>
      <c r="T542" s="510">
        <f>Tabla3[[#This Row],[Cantidad]]*Tabla3[[#This Row],[Cortes]]</f>
        <v>1638.35</v>
      </c>
      <c r="U542" s="583">
        <f t="shared" si="322"/>
        <v>1600.6032686052504</v>
      </c>
      <c r="V542" s="511">
        <f t="shared" si="323"/>
        <v>1600.3248710251073</v>
      </c>
      <c r="W542" s="497">
        <f>IF(Tabla3[[#This Row],[Fecha de operación]]=$C$1,0,U542-V542)</f>
        <v>0</v>
      </c>
      <c r="X542" s="512" t="str">
        <f t="shared" si="324"/>
        <v>Vigente</v>
      </c>
      <c r="Y542" s="517" t="s">
        <v>450</v>
      </c>
      <c r="Z542" s="449">
        <f t="shared" si="325"/>
        <v>134</v>
      </c>
      <c r="AA542" s="518">
        <f t="shared" si="328"/>
        <v>2.4040638137267236</v>
      </c>
      <c r="AB542" s="518">
        <f t="shared" si="328"/>
        <v>2.3653024604980901</v>
      </c>
      <c r="AC542" s="449" t="s">
        <v>451</v>
      </c>
      <c r="AD542" s="449" t="s">
        <v>454</v>
      </c>
      <c r="AG542" s="605">
        <f>+IF(Tabla3[[#This Row],[Amortización k | cupón de intereses]]="Amortización de K",Tabla3[[#This Row],[Valor Nominal]],0)</f>
        <v>0</v>
      </c>
      <c r="AH542" s="605">
        <f>+IF(AND(Tabla3[[#This Row],[Amortización k | cupón de intereses]]="Cupón de interés",Tabla3[[#This Row],[Estado]]="Vigente"),Tabla3[[#This Row],[Valor Nominal]],0)</f>
        <v>1638.35</v>
      </c>
      <c r="AI542" s="618">
        <f>+IF(Tabla3[[#This Row],[Amortización k | cupón de intereses]]="Amortización de K",SUMIFS($AH$7:$AH$557,Tabla3[Código Emisión],Tabla3[[#This Row],[Código Emisión]],Tabla3[Fecha de operación],Tabla3[[#This Row],[Fecha de operación]]),0)-Tabla3[[#This Row],[Accrued]]*Tabla3[[#This Row],[Valor Nominal]]</f>
        <v>0</v>
      </c>
      <c r="AJ542" s="605">
        <f>+IF(Tabla3[[#This Row],[Amortización k | cupón de intereses]]="Amortización de K",IF(Tabla3[[#This Row],[Precio Clean]]&gt;1,Tabla3[[#This Row],[Valor Nominal]]*(Tabla3[[#This Row],[Precio Clean]]-1),0),0)</f>
        <v>0</v>
      </c>
      <c r="AK542" s="605">
        <f>+IF(Tabla3[[#This Row],[Amortización k | cupón de intereses]]="Amortización de K",IF(Tabla3[[#This Row],[Precio Clean]]&lt;1,Tabla3[[#This Row],[Valor Nominal]]*(Tabla3[[#This Row],[Precio Clean]]-1),0),0)</f>
        <v>0</v>
      </c>
    </row>
    <row r="543" spans="1:37">
      <c r="A543" s="502"/>
      <c r="B543" s="437" t="str">
        <f t="shared" si="326"/>
        <v>Banco Nacional de Fomento</v>
      </c>
      <c r="C543" s="437" t="str">
        <f t="shared" si="326"/>
        <v>BNF_6,50%_12112028_BB3141-42_100K</v>
      </c>
      <c r="D543" s="437" t="s">
        <v>453</v>
      </c>
      <c r="E543" s="437" t="str">
        <f t="shared" si="329"/>
        <v>AA+py</v>
      </c>
      <c r="F543" s="437" t="s">
        <v>297</v>
      </c>
      <c r="G543" s="437" t="s">
        <v>298</v>
      </c>
      <c r="H543" s="437">
        <f t="shared" si="330"/>
        <v>1</v>
      </c>
      <c r="I543" s="445">
        <v>1584.93</v>
      </c>
      <c r="J543" s="462"/>
      <c r="K543" s="450"/>
      <c r="L543" s="462"/>
      <c r="M543" s="493"/>
      <c r="N543" s="493"/>
      <c r="O543" s="516">
        <f t="shared" si="327"/>
        <v>6.554993093013764E-2</v>
      </c>
      <c r="P543" s="516">
        <f t="shared" si="327"/>
        <v>6.3997598517252285E-2</v>
      </c>
      <c r="Q543" s="450">
        <f t="shared" si="327"/>
        <v>46112</v>
      </c>
      <c r="R543" s="450">
        <v>46154</v>
      </c>
      <c r="S543" s="509" t="s">
        <v>146</v>
      </c>
      <c r="T543" s="510">
        <f>Tabla3[[#This Row],[Cantidad]]*Tabla3[[#This Row],[Cortes]]</f>
        <v>1584.93</v>
      </c>
      <c r="U543" s="583">
        <f t="shared" si="322"/>
        <v>1573.3929856596571</v>
      </c>
      <c r="V543" s="511">
        <f t="shared" si="323"/>
        <v>1573.1193208431387</v>
      </c>
      <c r="W543" s="497">
        <f>IF(Tabla3[[#This Row],[Fecha de operación]]=$C$1,0,U543-V543)</f>
        <v>0</v>
      </c>
      <c r="X543" s="512" t="str">
        <f t="shared" si="324"/>
        <v>Vigente</v>
      </c>
      <c r="Y543" s="517" t="s">
        <v>450</v>
      </c>
      <c r="Z543" s="449">
        <f t="shared" si="325"/>
        <v>42</v>
      </c>
      <c r="AA543" s="518">
        <f t="shared" si="328"/>
        <v>2.4040638137267236</v>
      </c>
      <c r="AB543" s="518">
        <f t="shared" si="328"/>
        <v>2.3653024604980901</v>
      </c>
      <c r="AC543" s="449" t="s">
        <v>451</v>
      </c>
      <c r="AD543" s="449" t="s">
        <v>454</v>
      </c>
      <c r="AG543" s="605">
        <f>+IF(Tabla3[[#This Row],[Amortización k | cupón de intereses]]="Amortización de K",Tabla3[[#This Row],[Valor Nominal]],0)</f>
        <v>0</v>
      </c>
      <c r="AH543" s="605">
        <f>+IF(AND(Tabla3[[#This Row],[Amortización k | cupón de intereses]]="Cupón de interés",Tabla3[[#This Row],[Estado]]="Vigente"),Tabla3[[#This Row],[Valor Nominal]],0)</f>
        <v>1584.93</v>
      </c>
      <c r="AI543" s="618">
        <f>+IF(Tabla3[[#This Row],[Amortización k | cupón de intereses]]="Amortización de K",SUMIFS($AH$7:$AH$557,Tabla3[Código Emisión],Tabla3[[#This Row],[Código Emisión]],Tabla3[Fecha de operación],Tabla3[[#This Row],[Fecha de operación]]),0)-Tabla3[[#This Row],[Accrued]]*Tabla3[[#This Row],[Valor Nominal]]</f>
        <v>0</v>
      </c>
      <c r="AJ543" s="605">
        <f>+IF(Tabla3[[#This Row],[Amortización k | cupón de intereses]]="Amortización de K",IF(Tabla3[[#This Row],[Precio Clean]]&gt;1,Tabla3[[#This Row],[Valor Nominal]]*(Tabla3[[#This Row],[Precio Clean]]-1),0),0)</f>
        <v>0</v>
      </c>
      <c r="AK543" s="605">
        <f>+IF(Tabla3[[#This Row],[Amortización k | cupón de intereses]]="Amortización de K",IF(Tabla3[[#This Row],[Precio Clean]]&lt;1,Tabla3[[#This Row],[Valor Nominal]]*(Tabla3[[#This Row],[Precio Clean]]-1),0),0)</f>
        <v>0</v>
      </c>
    </row>
    <row r="544" spans="1:37">
      <c r="A544" s="502"/>
      <c r="B544" s="437" t="str">
        <f t="shared" si="326"/>
        <v>Banco Nacional de Fomento</v>
      </c>
      <c r="C544" s="437" t="str">
        <f t="shared" si="326"/>
        <v>BNF_6,50%_12112028_BB3141-42_100K</v>
      </c>
      <c r="D544" s="437" t="s">
        <v>453</v>
      </c>
      <c r="E544" s="437" t="str">
        <f t="shared" si="329"/>
        <v>AA+py</v>
      </c>
      <c r="F544" s="437" t="s">
        <v>297</v>
      </c>
      <c r="G544" s="437" t="s">
        <v>298</v>
      </c>
      <c r="H544" s="437">
        <f t="shared" si="330"/>
        <v>1</v>
      </c>
      <c r="I544" s="445">
        <v>1638.35</v>
      </c>
      <c r="J544" s="462"/>
      <c r="K544" s="450"/>
      <c r="L544" s="462"/>
      <c r="M544" s="493"/>
      <c r="N544" s="493"/>
      <c r="O544" s="516">
        <f t="shared" si="327"/>
        <v>6.554993093013764E-2</v>
      </c>
      <c r="P544" s="516">
        <f t="shared" si="327"/>
        <v>6.3997598517252285E-2</v>
      </c>
      <c r="Q544" s="450">
        <f t="shared" si="327"/>
        <v>46112</v>
      </c>
      <c r="R544" s="450">
        <v>46065</v>
      </c>
      <c r="S544" s="509" t="s">
        <v>146</v>
      </c>
      <c r="T544" s="510">
        <f>Tabla3[[#This Row],[Cantidad]]*Tabla3[[#This Row],[Cortes]]</f>
        <v>1638.35</v>
      </c>
      <c r="U544" s="583" t="b">
        <f t="shared" si="322"/>
        <v>0</v>
      </c>
      <c r="V544" s="511" t="b">
        <f t="shared" si="323"/>
        <v>0</v>
      </c>
      <c r="W544" s="497">
        <f>IF(Tabla3[[#This Row],[Fecha de operación]]=$C$1,0,U544-V544)</f>
        <v>0</v>
      </c>
      <c r="X544" s="512" t="str">
        <f t="shared" si="324"/>
        <v>Vencido</v>
      </c>
      <c r="Y544" s="517" t="s">
        <v>450</v>
      </c>
      <c r="Z544" s="449">
        <f t="shared" si="325"/>
        <v>-47</v>
      </c>
      <c r="AA544" s="518">
        <f t="shared" si="328"/>
        <v>2.4040638137267236</v>
      </c>
      <c r="AB544" s="518">
        <f t="shared" si="328"/>
        <v>2.3653024604980901</v>
      </c>
      <c r="AC544" s="449" t="s">
        <v>451</v>
      </c>
      <c r="AD544" s="449" t="s">
        <v>454</v>
      </c>
      <c r="AG544" s="605">
        <f>+IF(Tabla3[[#This Row],[Amortización k | cupón de intereses]]="Amortización de K",Tabla3[[#This Row],[Valor Nominal]],0)</f>
        <v>0</v>
      </c>
      <c r="AH544" s="605">
        <f>+IF(AND(Tabla3[[#This Row],[Amortización k | cupón de intereses]]="Cupón de interés",Tabla3[[#This Row],[Estado]]="Vigente"),Tabla3[[#This Row],[Valor Nominal]],0)</f>
        <v>0</v>
      </c>
      <c r="AI544" s="618">
        <f>+IF(Tabla3[[#This Row],[Amortización k | cupón de intereses]]="Amortización de K",SUMIFS($AH$7:$AH$557,Tabla3[Código Emisión],Tabla3[[#This Row],[Código Emisión]],Tabla3[Fecha de operación],Tabla3[[#This Row],[Fecha de operación]]),0)-Tabla3[[#This Row],[Accrued]]*Tabla3[[#This Row],[Valor Nominal]]</f>
        <v>0</v>
      </c>
      <c r="AJ544" s="605">
        <f>+IF(Tabla3[[#This Row],[Amortización k | cupón de intereses]]="Amortización de K",IF(Tabla3[[#This Row],[Precio Clean]]&gt;1,Tabla3[[#This Row],[Valor Nominal]]*(Tabla3[[#This Row],[Precio Clean]]-1),0),0)</f>
        <v>0</v>
      </c>
      <c r="AK544" s="605">
        <f>+IF(Tabla3[[#This Row],[Amortización k | cupón de intereses]]="Amortización de K",IF(Tabla3[[#This Row],[Precio Clean]]&lt;1,Tabla3[[#This Row],[Valor Nominal]]*(Tabla3[[#This Row],[Precio Clean]]-1),0),0)</f>
        <v>0</v>
      </c>
    </row>
    <row r="545" spans="1:37">
      <c r="A545" s="500">
        <f>+A532+1</f>
        <v>53</v>
      </c>
      <c r="B545" s="475" t="s">
        <v>485</v>
      </c>
      <c r="C545" s="475" t="s">
        <v>628</v>
      </c>
      <c r="D545" s="475" t="s">
        <v>453</v>
      </c>
      <c r="E545" s="475" t="s">
        <v>487</v>
      </c>
      <c r="F545" s="475" t="s">
        <v>297</v>
      </c>
      <c r="G545" s="475" t="s">
        <v>298</v>
      </c>
      <c r="H545" s="475">
        <v>1</v>
      </c>
      <c r="I545" s="477">
        <v>50000</v>
      </c>
      <c r="J545" s="478">
        <v>6.5000000000000002E-2</v>
      </c>
      <c r="K545" s="479">
        <f>_xlfn.MAXIFS(R:R,C:C,C545,AD:AD,"Cupón de interés",X:X,"Vencido")</f>
        <v>46057</v>
      </c>
      <c r="L545" s="478">
        <f>+Tabla3[[#This Row],[Tasa de Interés]]*($U$5-Tabla3[[#This Row],[Last coupon]])/365</f>
        <v>9.7945205479452058E-3</v>
      </c>
      <c r="M545" s="503">
        <f>+Tabla3[[#This Row],[Precio Dirty]]-Tabla3[[#This Row],[Accrued]]</f>
        <v>1.0023538861556547</v>
      </c>
      <c r="N545" s="503">
        <f>SUMIFS(U:U,C:C,C545,Q:Q,Q545)/SUMIFS(T:T,C:C,C545,Q:Q,Q545,AD:AD,"Amortización de K")</f>
        <v>1.0121484067036</v>
      </c>
      <c r="O545" s="482">
        <v>6.5548864006996152E-2</v>
      </c>
      <c r="P545" s="482">
        <v>6.3996581208117576E-2</v>
      </c>
      <c r="Q545" s="484">
        <v>46112</v>
      </c>
      <c r="R545" s="484">
        <v>47061</v>
      </c>
      <c r="S545" s="504" t="s">
        <v>146</v>
      </c>
      <c r="T545" s="510">
        <f>Tabla3[[#This Row],[Cantidad]]*Tabla3[[#This Row],[Cortes]]</f>
        <v>50000</v>
      </c>
      <c r="U545" s="583">
        <f t="shared" si="322"/>
        <v>42391.544623037938</v>
      </c>
      <c r="V545" s="583">
        <f t="shared" si="323"/>
        <v>42384.171454702126</v>
      </c>
      <c r="W545" s="510">
        <f>IF(Tabla3[[#This Row],[Fecha de operación]]=$C$1,0,U545-V545)</f>
        <v>0</v>
      </c>
      <c r="X545" s="507" t="str">
        <f t="shared" si="324"/>
        <v>Vigente</v>
      </c>
      <c r="Y545" s="489" t="s">
        <v>450</v>
      </c>
      <c r="Z545" s="488">
        <f t="shared" si="325"/>
        <v>949</v>
      </c>
      <c r="AA545" s="508">
        <f>IF(Y545="Mensual",DURATION($C$1,$C$1+Z545*12,J545/12,O545/12,1)/12,DURATION($C$1,R545,J545,O545,IF(Y545="Cupón cero",1,IF(Y545="Al vencimiento",1,IF(Y545="Anual",1,IF(Y545="Semestral",2,IF(Y545="Trimestral",4,"")))))))</f>
        <v>2.3818419360480885</v>
      </c>
      <c r="AB545" s="508">
        <f>IF(Y545="Mensual",MDURATION($C$1,$C$1+Z545*12,J545/12,O545/12,1)/12,MDURATION($C$1,R545,J545,O545,IF(Y545="Cupón cero",1,IF(Y545="Al vencimiento",1,IF(Y545="Anual",1,IF(Y545="Semestral",2,IF(Y545="Trimestral",4,"")))))))</f>
        <v>2.3434394869877915</v>
      </c>
      <c r="AC545" s="488" t="s">
        <v>451</v>
      </c>
      <c r="AD545" s="488" t="s">
        <v>452</v>
      </c>
      <c r="AG545" s="605">
        <f>+IF(Tabla3[[#This Row],[Amortización k | cupón de intereses]]="Amortización de K",Tabla3[[#This Row],[Valor Nominal]],0)</f>
        <v>50000</v>
      </c>
      <c r="AH545" s="605">
        <f>+IF(AND(Tabla3[[#This Row],[Amortización k | cupón de intereses]]="Cupón de interés",Tabla3[[#This Row],[Estado]]="Vigente"),Tabla3[[#This Row],[Valor Nominal]],0)</f>
        <v>0</v>
      </c>
      <c r="AI545" s="618">
        <f>+IF(Tabla3[[#This Row],[Amortización k | cupón de intereses]]="Amortización de K",SUMIFS($AH$7:$AH$557,Tabla3[Código Emisión],Tabla3[[#This Row],[Código Emisión]],Tabla3[Fecha de operación],Tabla3[[#This Row],[Fecha de operación]]),0)-Tabla3[[#This Row],[Accrued]]*Tabla3[[#This Row],[Valor Nominal]]</f>
        <v>8449.9539726027397</v>
      </c>
      <c r="AJ545" s="605">
        <f>+IF(Tabla3[[#This Row],[Amortización k | cupón de intereses]]="Amortización de K",IF(Tabla3[[#This Row],[Precio Clean]]&gt;1,Tabla3[[#This Row],[Valor Nominal]]*(Tabla3[[#This Row],[Precio Clean]]-1),0),0)</f>
        <v>117.69430778273416</v>
      </c>
      <c r="AK545" s="605">
        <f>+IF(Tabla3[[#This Row],[Amortización k | cupón de intereses]]="Amortización de K",IF(Tabla3[[#This Row],[Precio Clean]]&lt;1,Tabla3[[#This Row],[Valor Nominal]]*(Tabla3[[#This Row],[Precio Clean]]-1),0),0)</f>
        <v>0</v>
      </c>
    </row>
    <row r="546" spans="1:37">
      <c r="A546" s="502"/>
      <c r="B546" s="437" t="str">
        <f t="shared" ref="B546:C557" si="331">+B545</f>
        <v>Banco Nacional de Fomento</v>
      </c>
      <c r="C546" s="437" t="str">
        <f t="shared" si="331"/>
        <v>BNF_6,50%_04112028_BB3102-07_50K</v>
      </c>
      <c r="D546" s="437" t="s">
        <v>453</v>
      </c>
      <c r="E546" s="437" t="str">
        <f>+E545</f>
        <v>AA+py</v>
      </c>
      <c r="F546" s="437" t="s">
        <v>297</v>
      </c>
      <c r="G546" s="437" t="s">
        <v>298</v>
      </c>
      <c r="H546" s="437">
        <f>+H545</f>
        <v>1</v>
      </c>
      <c r="I546" s="445">
        <v>819.17</v>
      </c>
      <c r="J546" s="462"/>
      <c r="K546" s="450"/>
      <c r="L546" s="462"/>
      <c r="M546" s="493"/>
      <c r="N546" s="493"/>
      <c r="O546" s="516">
        <f t="shared" ref="O546:Q557" si="332">+O545</f>
        <v>6.5548864006996152E-2</v>
      </c>
      <c r="P546" s="516">
        <f t="shared" si="332"/>
        <v>6.3996581208117576E-2</v>
      </c>
      <c r="Q546" s="450">
        <f t="shared" si="332"/>
        <v>46112</v>
      </c>
      <c r="R546" s="450">
        <v>47061</v>
      </c>
      <c r="S546" s="509" t="s">
        <v>146</v>
      </c>
      <c r="T546" s="510">
        <f>Tabla3[[#This Row],[Cantidad]]*Tabla3[[#This Row],[Cortes]]</f>
        <v>819.17</v>
      </c>
      <c r="U546" s="583">
        <f t="shared" si="322"/>
        <v>694.5176321770798</v>
      </c>
      <c r="V546" s="511">
        <f t="shared" si="323"/>
        <v>694.39683461096683</v>
      </c>
      <c r="W546" s="497">
        <f>IF(Tabla3[[#This Row],[Fecha de operación]]=$C$1,0,U546-V546)</f>
        <v>0</v>
      </c>
      <c r="X546" s="512" t="str">
        <f t="shared" si="324"/>
        <v>Vigente</v>
      </c>
      <c r="Y546" s="517" t="s">
        <v>450</v>
      </c>
      <c r="Z546" s="449">
        <f t="shared" si="325"/>
        <v>949</v>
      </c>
      <c r="AA546" s="518">
        <f t="shared" ref="AA546:AB557" si="333">+AA545</f>
        <v>2.3818419360480885</v>
      </c>
      <c r="AB546" s="518">
        <f t="shared" si="333"/>
        <v>2.3434394869877915</v>
      </c>
      <c r="AC546" s="449" t="s">
        <v>451</v>
      </c>
      <c r="AD546" s="449" t="s">
        <v>454</v>
      </c>
      <c r="AG546" s="605">
        <f>+IF(Tabla3[[#This Row],[Amortización k | cupón de intereses]]="Amortización de K",Tabla3[[#This Row],[Valor Nominal]],0)</f>
        <v>0</v>
      </c>
      <c r="AH546" s="605">
        <f>+IF(AND(Tabla3[[#This Row],[Amortización k | cupón de intereses]]="Cupón de interés",Tabla3[[#This Row],[Estado]]="Vigente"),Tabla3[[#This Row],[Valor Nominal]],0)</f>
        <v>819.17</v>
      </c>
      <c r="AI546" s="618">
        <f>+IF(Tabla3[[#This Row],[Amortización k | cupón de intereses]]="Amortización de K",SUMIFS($AH$7:$AH$557,Tabla3[Código Emisión],Tabla3[[#This Row],[Código Emisión]],Tabla3[Fecha de operación],Tabla3[[#This Row],[Fecha de operación]]),0)-Tabla3[[#This Row],[Accrued]]*Tabla3[[#This Row],[Valor Nominal]]</f>
        <v>0</v>
      </c>
      <c r="AJ546" s="605">
        <f>+IF(Tabla3[[#This Row],[Amortización k | cupón de intereses]]="Amortización de K",IF(Tabla3[[#This Row],[Precio Clean]]&gt;1,Tabla3[[#This Row],[Valor Nominal]]*(Tabla3[[#This Row],[Precio Clean]]-1),0),0)</f>
        <v>0</v>
      </c>
      <c r="AK546" s="605">
        <f>+IF(Tabla3[[#This Row],[Amortización k | cupón de intereses]]="Amortización de K",IF(Tabla3[[#This Row],[Precio Clean]]&lt;1,Tabla3[[#This Row],[Valor Nominal]]*(Tabla3[[#This Row],[Precio Clean]]-1),0),0)</f>
        <v>0</v>
      </c>
    </row>
    <row r="547" spans="1:37">
      <c r="A547" s="502"/>
      <c r="B547" s="437" t="str">
        <f t="shared" si="331"/>
        <v>Banco Nacional de Fomento</v>
      </c>
      <c r="C547" s="437" t="str">
        <f t="shared" si="331"/>
        <v>BNF_6,50%_04112028_BB3102-07_50K</v>
      </c>
      <c r="D547" s="437" t="s">
        <v>453</v>
      </c>
      <c r="E547" s="437" t="str">
        <f t="shared" ref="E547:E557" si="334">+E546</f>
        <v>AA+py</v>
      </c>
      <c r="F547" s="437" t="s">
        <v>297</v>
      </c>
      <c r="G547" s="437" t="s">
        <v>298</v>
      </c>
      <c r="H547" s="437">
        <f t="shared" ref="H547:H557" si="335">+H546</f>
        <v>1</v>
      </c>
      <c r="I547" s="445">
        <v>819.17</v>
      </c>
      <c r="J547" s="462"/>
      <c r="K547" s="450"/>
      <c r="L547" s="462"/>
      <c r="M547" s="493"/>
      <c r="N547" s="493"/>
      <c r="O547" s="516">
        <f t="shared" si="332"/>
        <v>6.5548864006996152E-2</v>
      </c>
      <c r="P547" s="516">
        <f t="shared" si="332"/>
        <v>6.3996581208117576E-2</v>
      </c>
      <c r="Q547" s="450">
        <f t="shared" si="332"/>
        <v>46112</v>
      </c>
      <c r="R547" s="450">
        <v>46969</v>
      </c>
      <c r="S547" s="509" t="s">
        <v>146</v>
      </c>
      <c r="T547" s="510">
        <f>Tabla3[[#This Row],[Cantidad]]*Tabla3[[#This Row],[Cortes]]</f>
        <v>819.17</v>
      </c>
      <c r="U547" s="583">
        <f t="shared" si="322"/>
        <v>705.72138236791307</v>
      </c>
      <c r="V547" s="511">
        <f t="shared" si="323"/>
        <v>705.59863613168466</v>
      </c>
      <c r="W547" s="497">
        <f>IF(Tabla3[[#This Row],[Fecha de operación]]=$C$1,0,U547-V547)</f>
        <v>0</v>
      </c>
      <c r="X547" s="512" t="str">
        <f t="shared" si="324"/>
        <v>Vigente</v>
      </c>
      <c r="Y547" s="517" t="s">
        <v>450</v>
      </c>
      <c r="Z547" s="449">
        <f t="shared" si="325"/>
        <v>857</v>
      </c>
      <c r="AA547" s="518">
        <f t="shared" si="333"/>
        <v>2.3818419360480885</v>
      </c>
      <c r="AB547" s="518">
        <f t="shared" si="333"/>
        <v>2.3434394869877915</v>
      </c>
      <c r="AC547" s="449" t="s">
        <v>451</v>
      </c>
      <c r="AD547" s="449" t="s">
        <v>454</v>
      </c>
      <c r="AG547" s="605">
        <f>+IF(Tabla3[[#This Row],[Amortización k | cupón de intereses]]="Amortización de K",Tabla3[[#This Row],[Valor Nominal]],0)</f>
        <v>0</v>
      </c>
      <c r="AH547" s="605">
        <f>+IF(AND(Tabla3[[#This Row],[Amortización k | cupón de intereses]]="Cupón de interés",Tabla3[[#This Row],[Estado]]="Vigente"),Tabla3[[#This Row],[Valor Nominal]],0)</f>
        <v>819.17</v>
      </c>
      <c r="AI547" s="618">
        <f>+IF(Tabla3[[#This Row],[Amortización k | cupón de intereses]]="Amortización de K",SUMIFS($AH$7:$AH$557,Tabla3[Código Emisión],Tabla3[[#This Row],[Código Emisión]],Tabla3[Fecha de operación],Tabla3[[#This Row],[Fecha de operación]]),0)-Tabla3[[#This Row],[Accrued]]*Tabla3[[#This Row],[Valor Nominal]]</f>
        <v>0</v>
      </c>
      <c r="AJ547" s="605">
        <f>+IF(Tabla3[[#This Row],[Amortización k | cupón de intereses]]="Amortización de K",IF(Tabla3[[#This Row],[Precio Clean]]&gt;1,Tabla3[[#This Row],[Valor Nominal]]*(Tabla3[[#This Row],[Precio Clean]]-1),0),0)</f>
        <v>0</v>
      </c>
      <c r="AK547" s="605">
        <f>+IF(Tabla3[[#This Row],[Amortización k | cupón de intereses]]="Amortización de K",IF(Tabla3[[#This Row],[Precio Clean]]&lt;1,Tabla3[[#This Row],[Valor Nominal]]*(Tabla3[[#This Row],[Precio Clean]]-1),0),0)</f>
        <v>0</v>
      </c>
    </row>
    <row r="548" spans="1:37">
      <c r="A548" s="502"/>
      <c r="B548" s="437" t="str">
        <f t="shared" si="331"/>
        <v>Banco Nacional de Fomento</v>
      </c>
      <c r="C548" s="437" t="str">
        <f t="shared" si="331"/>
        <v>BNF_6,50%_04112028_BB3102-07_50K</v>
      </c>
      <c r="D548" s="437" t="s">
        <v>453</v>
      </c>
      <c r="E548" s="437" t="str">
        <f t="shared" si="334"/>
        <v>AA+py</v>
      </c>
      <c r="F548" s="437" t="s">
        <v>297</v>
      </c>
      <c r="G548" s="437" t="s">
        <v>298</v>
      </c>
      <c r="H548" s="437">
        <f t="shared" si="335"/>
        <v>1</v>
      </c>
      <c r="I548" s="445">
        <v>801.36</v>
      </c>
      <c r="J548" s="462"/>
      <c r="K548" s="450"/>
      <c r="L548" s="462"/>
      <c r="M548" s="493"/>
      <c r="N548" s="493"/>
      <c r="O548" s="516">
        <f t="shared" si="332"/>
        <v>6.5548864006996152E-2</v>
      </c>
      <c r="P548" s="516">
        <f t="shared" si="332"/>
        <v>6.3996581208117576E-2</v>
      </c>
      <c r="Q548" s="450">
        <f t="shared" si="332"/>
        <v>46112</v>
      </c>
      <c r="R548" s="450">
        <v>46877</v>
      </c>
      <c r="S548" s="509" t="s">
        <v>146</v>
      </c>
      <c r="T548" s="510">
        <f>Tabla3[[#This Row],[Cantidad]]*Tabla3[[#This Row],[Cortes]]</f>
        <v>801.36</v>
      </c>
      <c r="U548" s="583">
        <f t="shared" si="322"/>
        <v>701.51489734549887</v>
      </c>
      <c r="V548" s="511">
        <f t="shared" si="323"/>
        <v>701.39288274390299</v>
      </c>
      <c r="W548" s="497">
        <f>IF(Tabla3[[#This Row],[Fecha de operación]]=$C$1,0,U548-V548)</f>
        <v>0</v>
      </c>
      <c r="X548" s="512" t="str">
        <f t="shared" si="324"/>
        <v>Vigente</v>
      </c>
      <c r="Y548" s="517" t="s">
        <v>450</v>
      </c>
      <c r="Z548" s="449">
        <f t="shared" si="325"/>
        <v>765</v>
      </c>
      <c r="AA548" s="518">
        <f t="shared" si="333"/>
        <v>2.3818419360480885</v>
      </c>
      <c r="AB548" s="518">
        <f t="shared" si="333"/>
        <v>2.3434394869877915</v>
      </c>
      <c r="AC548" s="449" t="s">
        <v>451</v>
      </c>
      <c r="AD548" s="449" t="s">
        <v>454</v>
      </c>
      <c r="AG548" s="605">
        <f>+IF(Tabla3[[#This Row],[Amortización k | cupón de intereses]]="Amortización de K",Tabla3[[#This Row],[Valor Nominal]],0)</f>
        <v>0</v>
      </c>
      <c r="AH548" s="605">
        <f>+IF(AND(Tabla3[[#This Row],[Amortización k | cupón de intereses]]="Cupón de interés",Tabla3[[#This Row],[Estado]]="Vigente"),Tabla3[[#This Row],[Valor Nominal]],0)</f>
        <v>801.36</v>
      </c>
      <c r="AI548" s="618">
        <f>+IF(Tabla3[[#This Row],[Amortización k | cupón de intereses]]="Amortización de K",SUMIFS($AH$7:$AH$557,Tabla3[Código Emisión],Tabla3[[#This Row],[Código Emisión]],Tabla3[Fecha de operación],Tabla3[[#This Row],[Fecha de operación]]),0)-Tabla3[[#This Row],[Accrued]]*Tabla3[[#This Row],[Valor Nominal]]</f>
        <v>0</v>
      </c>
      <c r="AJ548" s="605">
        <f>+IF(Tabla3[[#This Row],[Amortización k | cupón de intereses]]="Amortización de K",IF(Tabla3[[#This Row],[Precio Clean]]&gt;1,Tabla3[[#This Row],[Valor Nominal]]*(Tabla3[[#This Row],[Precio Clean]]-1),0),0)</f>
        <v>0</v>
      </c>
      <c r="AK548" s="605">
        <f>+IF(Tabla3[[#This Row],[Amortización k | cupón de intereses]]="Amortización de K",IF(Tabla3[[#This Row],[Precio Clean]]&lt;1,Tabla3[[#This Row],[Valor Nominal]]*(Tabla3[[#This Row],[Precio Clean]]-1),0),0)</f>
        <v>0</v>
      </c>
    </row>
    <row r="549" spans="1:37">
      <c r="A549" s="502"/>
      <c r="B549" s="437" t="str">
        <f t="shared" si="331"/>
        <v>Banco Nacional de Fomento</v>
      </c>
      <c r="C549" s="437" t="str">
        <f t="shared" si="331"/>
        <v>BNF_6,50%_04112028_BB3102-07_50K</v>
      </c>
      <c r="D549" s="437" t="s">
        <v>453</v>
      </c>
      <c r="E549" s="437" t="str">
        <f t="shared" si="334"/>
        <v>AA+py</v>
      </c>
      <c r="F549" s="437" t="s">
        <v>297</v>
      </c>
      <c r="G549" s="437" t="s">
        <v>298</v>
      </c>
      <c r="H549" s="437">
        <f t="shared" si="335"/>
        <v>1</v>
      </c>
      <c r="I549" s="445">
        <v>819.17</v>
      </c>
      <c r="J549" s="462"/>
      <c r="K549" s="450"/>
      <c r="L549" s="462"/>
      <c r="M549" s="493"/>
      <c r="N549" s="493"/>
      <c r="O549" s="516">
        <f t="shared" si="332"/>
        <v>6.5548864006996152E-2</v>
      </c>
      <c r="P549" s="516">
        <f t="shared" si="332"/>
        <v>6.3996581208117576E-2</v>
      </c>
      <c r="Q549" s="450">
        <f t="shared" si="332"/>
        <v>46112</v>
      </c>
      <c r="R549" s="450">
        <v>46787</v>
      </c>
      <c r="S549" s="509" t="s">
        <v>146</v>
      </c>
      <c r="T549" s="510">
        <f>Tabla3[[#This Row],[Cantidad]]*Tabla3[[#This Row],[Cortes]]</f>
        <v>819.17</v>
      </c>
      <c r="U549" s="583">
        <f t="shared" si="322"/>
        <v>728.42055020130806</v>
      </c>
      <c r="V549" s="511">
        <f t="shared" si="323"/>
        <v>728.29385589508115</v>
      </c>
      <c r="W549" s="497">
        <f>IF(Tabla3[[#This Row],[Fecha de operación]]=$C$1,0,U549-V549)</f>
        <v>0</v>
      </c>
      <c r="X549" s="512" t="str">
        <f t="shared" si="324"/>
        <v>Vigente</v>
      </c>
      <c r="Y549" s="517" t="s">
        <v>450</v>
      </c>
      <c r="Z549" s="449">
        <f t="shared" si="325"/>
        <v>675</v>
      </c>
      <c r="AA549" s="518">
        <f t="shared" si="333"/>
        <v>2.3818419360480885</v>
      </c>
      <c r="AB549" s="518">
        <f t="shared" si="333"/>
        <v>2.3434394869877915</v>
      </c>
      <c r="AC549" s="449" t="s">
        <v>451</v>
      </c>
      <c r="AD549" s="449" t="s">
        <v>454</v>
      </c>
      <c r="AG549" s="605">
        <f>+IF(Tabla3[[#This Row],[Amortización k | cupón de intereses]]="Amortización de K",Tabla3[[#This Row],[Valor Nominal]],0)</f>
        <v>0</v>
      </c>
      <c r="AH549" s="605">
        <f>+IF(AND(Tabla3[[#This Row],[Amortización k | cupón de intereses]]="Cupón de interés",Tabla3[[#This Row],[Estado]]="Vigente"),Tabla3[[#This Row],[Valor Nominal]],0)</f>
        <v>819.17</v>
      </c>
      <c r="AI549" s="618">
        <f>+IF(Tabla3[[#This Row],[Amortización k | cupón de intereses]]="Amortización de K",SUMIFS($AH$7:$AH$557,Tabla3[Código Emisión],Tabla3[[#This Row],[Código Emisión]],Tabla3[Fecha de operación],Tabla3[[#This Row],[Fecha de operación]]),0)-Tabla3[[#This Row],[Accrued]]*Tabla3[[#This Row],[Valor Nominal]]</f>
        <v>0</v>
      </c>
      <c r="AJ549" s="605">
        <f>+IF(Tabla3[[#This Row],[Amortización k | cupón de intereses]]="Amortización de K",IF(Tabla3[[#This Row],[Precio Clean]]&gt;1,Tabla3[[#This Row],[Valor Nominal]]*(Tabla3[[#This Row],[Precio Clean]]-1),0),0)</f>
        <v>0</v>
      </c>
      <c r="AK549" s="605">
        <f>+IF(Tabla3[[#This Row],[Amortización k | cupón de intereses]]="Amortización de K",IF(Tabla3[[#This Row],[Precio Clean]]&lt;1,Tabla3[[#This Row],[Valor Nominal]]*(Tabla3[[#This Row],[Precio Clean]]-1),0),0)</f>
        <v>0</v>
      </c>
    </row>
    <row r="550" spans="1:37">
      <c r="A550" s="502"/>
      <c r="B550" s="437" t="str">
        <f t="shared" si="331"/>
        <v>Banco Nacional de Fomento</v>
      </c>
      <c r="C550" s="437" t="str">
        <f t="shared" si="331"/>
        <v>BNF_6,50%_04112028_BB3102-07_50K</v>
      </c>
      <c r="D550" s="437" t="s">
        <v>453</v>
      </c>
      <c r="E550" s="437" t="str">
        <f t="shared" si="334"/>
        <v>AA+py</v>
      </c>
      <c r="F550" s="437" t="s">
        <v>297</v>
      </c>
      <c r="G550" s="437" t="s">
        <v>298</v>
      </c>
      <c r="H550" s="437">
        <f t="shared" si="335"/>
        <v>1</v>
      </c>
      <c r="I550" s="445">
        <v>819.17</v>
      </c>
      <c r="J550" s="462"/>
      <c r="K550" s="450"/>
      <c r="L550" s="462"/>
      <c r="M550" s="493"/>
      <c r="N550" s="493"/>
      <c r="O550" s="516">
        <f t="shared" si="332"/>
        <v>6.5548864006996152E-2</v>
      </c>
      <c r="P550" s="516">
        <f t="shared" si="332"/>
        <v>6.3996581208117576E-2</v>
      </c>
      <c r="Q550" s="450">
        <f t="shared" si="332"/>
        <v>46112</v>
      </c>
      <c r="R550" s="450">
        <v>46695</v>
      </c>
      <c r="S550" s="509" t="s">
        <v>146</v>
      </c>
      <c r="T550" s="510">
        <f>Tabla3[[#This Row],[Cantidad]]*Tabla3[[#This Row],[Cortes]]</f>
        <v>819.17</v>
      </c>
      <c r="U550" s="583">
        <f t="shared" si="322"/>
        <v>740.17121209990182</v>
      </c>
      <c r="V550" s="511">
        <f t="shared" si="323"/>
        <v>740.04247399911605</v>
      </c>
      <c r="W550" s="497">
        <f>IF(Tabla3[[#This Row],[Fecha de operación]]=$C$1,0,U550-V550)</f>
        <v>0</v>
      </c>
      <c r="X550" s="512" t="str">
        <f t="shared" si="324"/>
        <v>Vigente</v>
      </c>
      <c r="Y550" s="517" t="s">
        <v>450</v>
      </c>
      <c r="Z550" s="449">
        <f t="shared" si="325"/>
        <v>583</v>
      </c>
      <c r="AA550" s="518">
        <f t="shared" si="333"/>
        <v>2.3818419360480885</v>
      </c>
      <c r="AB550" s="518">
        <f t="shared" si="333"/>
        <v>2.3434394869877915</v>
      </c>
      <c r="AC550" s="449" t="s">
        <v>451</v>
      </c>
      <c r="AD550" s="449" t="s">
        <v>454</v>
      </c>
      <c r="AG550" s="605">
        <f>+IF(Tabla3[[#This Row],[Amortización k | cupón de intereses]]="Amortización de K",Tabla3[[#This Row],[Valor Nominal]],0)</f>
        <v>0</v>
      </c>
      <c r="AH550" s="605">
        <f>+IF(AND(Tabla3[[#This Row],[Amortización k | cupón de intereses]]="Cupón de interés",Tabla3[[#This Row],[Estado]]="Vigente"),Tabla3[[#This Row],[Valor Nominal]],0)</f>
        <v>819.17</v>
      </c>
      <c r="AI550" s="618">
        <f>+IF(Tabla3[[#This Row],[Amortización k | cupón de intereses]]="Amortización de K",SUMIFS($AH$7:$AH$557,Tabla3[Código Emisión],Tabla3[[#This Row],[Código Emisión]],Tabla3[Fecha de operación],Tabla3[[#This Row],[Fecha de operación]]),0)-Tabla3[[#This Row],[Accrued]]*Tabla3[[#This Row],[Valor Nominal]]</f>
        <v>0</v>
      </c>
      <c r="AJ550" s="605">
        <f>+IF(Tabla3[[#This Row],[Amortización k | cupón de intereses]]="Amortización de K",IF(Tabla3[[#This Row],[Precio Clean]]&gt;1,Tabla3[[#This Row],[Valor Nominal]]*(Tabla3[[#This Row],[Precio Clean]]-1),0),0)</f>
        <v>0</v>
      </c>
      <c r="AK550" s="605">
        <f>+IF(Tabla3[[#This Row],[Amortización k | cupón de intereses]]="Amortización de K",IF(Tabla3[[#This Row],[Precio Clean]]&lt;1,Tabla3[[#This Row],[Valor Nominal]]*(Tabla3[[#This Row],[Precio Clean]]-1),0),0)</f>
        <v>0</v>
      </c>
    </row>
    <row r="551" spans="1:37">
      <c r="A551" s="502"/>
      <c r="B551" s="437" t="str">
        <f t="shared" si="331"/>
        <v>Banco Nacional de Fomento</v>
      </c>
      <c r="C551" s="437" t="str">
        <f t="shared" si="331"/>
        <v>BNF_6,50%_04112028_BB3102-07_50K</v>
      </c>
      <c r="D551" s="437" t="s">
        <v>453</v>
      </c>
      <c r="E551" s="437" t="str">
        <f t="shared" si="334"/>
        <v>AA+py</v>
      </c>
      <c r="F551" s="437" t="s">
        <v>297</v>
      </c>
      <c r="G551" s="437" t="s">
        <v>298</v>
      </c>
      <c r="H551" s="437">
        <f t="shared" si="335"/>
        <v>1</v>
      </c>
      <c r="I551" s="445">
        <v>819.17</v>
      </c>
      <c r="J551" s="462"/>
      <c r="K551" s="450"/>
      <c r="L551" s="462"/>
      <c r="M551" s="493"/>
      <c r="N551" s="493"/>
      <c r="O551" s="516">
        <f t="shared" si="332"/>
        <v>6.5548864006996152E-2</v>
      </c>
      <c r="P551" s="516">
        <f t="shared" si="332"/>
        <v>6.3996581208117576E-2</v>
      </c>
      <c r="Q551" s="450">
        <f t="shared" si="332"/>
        <v>46112</v>
      </c>
      <c r="R551" s="450">
        <v>46603</v>
      </c>
      <c r="S551" s="509" t="s">
        <v>146</v>
      </c>
      <c r="T551" s="510">
        <f>Tabla3[[#This Row],[Cantidad]]*Tabla3[[#This Row],[Cortes]]</f>
        <v>819.17</v>
      </c>
      <c r="U551" s="583">
        <f t="shared" si="322"/>
        <v>752.11143215280185</v>
      </c>
      <c r="V551" s="511">
        <f t="shared" si="323"/>
        <v>751.98061728757659</v>
      </c>
      <c r="W551" s="497">
        <f>IF(Tabla3[[#This Row],[Fecha de operación]]=$C$1,0,U551-V551)</f>
        <v>0</v>
      </c>
      <c r="X551" s="512" t="str">
        <f t="shared" si="324"/>
        <v>Vigente</v>
      </c>
      <c r="Y551" s="517" t="s">
        <v>450</v>
      </c>
      <c r="Z551" s="449">
        <f t="shared" si="325"/>
        <v>491</v>
      </c>
      <c r="AA551" s="518">
        <f t="shared" si="333"/>
        <v>2.3818419360480885</v>
      </c>
      <c r="AB551" s="518">
        <f t="shared" si="333"/>
        <v>2.3434394869877915</v>
      </c>
      <c r="AC551" s="449" t="s">
        <v>451</v>
      </c>
      <c r="AD551" s="449" t="s">
        <v>454</v>
      </c>
      <c r="AG551" s="605">
        <f>+IF(Tabla3[[#This Row],[Amortización k | cupón de intereses]]="Amortización de K",Tabla3[[#This Row],[Valor Nominal]],0)</f>
        <v>0</v>
      </c>
      <c r="AH551" s="605">
        <f>+IF(AND(Tabla3[[#This Row],[Amortización k | cupón de intereses]]="Cupón de interés",Tabla3[[#This Row],[Estado]]="Vigente"),Tabla3[[#This Row],[Valor Nominal]],0)</f>
        <v>819.17</v>
      </c>
      <c r="AI551" s="618">
        <f>+IF(Tabla3[[#This Row],[Amortización k | cupón de intereses]]="Amortización de K",SUMIFS($AH$7:$AH$557,Tabla3[Código Emisión],Tabla3[[#This Row],[Código Emisión]],Tabla3[Fecha de operación],Tabla3[[#This Row],[Fecha de operación]]),0)-Tabla3[[#This Row],[Accrued]]*Tabla3[[#This Row],[Valor Nominal]]</f>
        <v>0</v>
      </c>
      <c r="AJ551" s="605">
        <f>+IF(Tabla3[[#This Row],[Amortización k | cupón de intereses]]="Amortización de K",IF(Tabla3[[#This Row],[Precio Clean]]&gt;1,Tabla3[[#This Row],[Valor Nominal]]*(Tabla3[[#This Row],[Precio Clean]]-1),0),0)</f>
        <v>0</v>
      </c>
      <c r="AK551" s="605">
        <f>+IF(Tabla3[[#This Row],[Amortización k | cupón de intereses]]="Amortización de K",IF(Tabla3[[#This Row],[Precio Clean]]&lt;1,Tabla3[[#This Row],[Valor Nominal]]*(Tabla3[[#This Row],[Precio Clean]]-1),0),0)</f>
        <v>0</v>
      </c>
    </row>
    <row r="552" spans="1:37">
      <c r="A552" s="502"/>
      <c r="B552" s="437" t="str">
        <f t="shared" si="331"/>
        <v>Banco Nacional de Fomento</v>
      </c>
      <c r="C552" s="437" t="str">
        <f t="shared" si="331"/>
        <v>BNF_6,50%_04112028_BB3102-07_50K</v>
      </c>
      <c r="D552" s="437" t="s">
        <v>453</v>
      </c>
      <c r="E552" s="437" t="str">
        <f t="shared" si="334"/>
        <v>AA+py</v>
      </c>
      <c r="F552" s="437" t="s">
        <v>297</v>
      </c>
      <c r="G552" s="437" t="s">
        <v>298</v>
      </c>
      <c r="H552" s="437">
        <f t="shared" si="335"/>
        <v>1</v>
      </c>
      <c r="I552" s="445">
        <v>792.48</v>
      </c>
      <c r="J552" s="462"/>
      <c r="K552" s="450"/>
      <c r="L552" s="462"/>
      <c r="M552" s="493"/>
      <c r="N552" s="493"/>
      <c r="O552" s="516">
        <f t="shared" si="332"/>
        <v>6.5548864006996152E-2</v>
      </c>
      <c r="P552" s="516">
        <f t="shared" si="332"/>
        <v>6.3996581208117576E-2</v>
      </c>
      <c r="Q552" s="450">
        <f t="shared" si="332"/>
        <v>46112</v>
      </c>
      <c r="R552" s="450">
        <v>46511</v>
      </c>
      <c r="S552" s="509" t="s">
        <v>146</v>
      </c>
      <c r="T552" s="510">
        <f>Tabla3[[#This Row],[Cantidad]]*Tabla3[[#This Row],[Cortes]]</f>
        <v>792.48</v>
      </c>
      <c r="U552" s="583">
        <f t="shared" si="322"/>
        <v>739.343845242101</v>
      </c>
      <c r="V552" s="511">
        <f t="shared" si="323"/>
        <v>739.21525104536909</v>
      </c>
      <c r="W552" s="497">
        <f>IF(Tabla3[[#This Row],[Fecha de operación]]=$C$1,0,U552-V552)</f>
        <v>0</v>
      </c>
      <c r="X552" s="512" t="str">
        <f t="shared" si="324"/>
        <v>Vigente</v>
      </c>
      <c r="Y552" s="517" t="s">
        <v>450</v>
      </c>
      <c r="Z552" s="449">
        <f t="shared" si="325"/>
        <v>399</v>
      </c>
      <c r="AA552" s="518">
        <f t="shared" si="333"/>
        <v>2.3818419360480885</v>
      </c>
      <c r="AB552" s="518">
        <f t="shared" si="333"/>
        <v>2.3434394869877915</v>
      </c>
      <c r="AC552" s="449" t="s">
        <v>451</v>
      </c>
      <c r="AD552" s="449" t="s">
        <v>454</v>
      </c>
      <c r="AG552" s="605">
        <f>+IF(Tabla3[[#This Row],[Amortización k | cupón de intereses]]="Amortización de K",Tabla3[[#This Row],[Valor Nominal]],0)</f>
        <v>0</v>
      </c>
      <c r="AH552" s="605">
        <f>+IF(AND(Tabla3[[#This Row],[Amortización k | cupón de intereses]]="Cupón de interés",Tabla3[[#This Row],[Estado]]="Vigente"),Tabla3[[#This Row],[Valor Nominal]],0)</f>
        <v>792.48</v>
      </c>
      <c r="AI552" s="618">
        <f>+IF(Tabla3[[#This Row],[Amortización k | cupón de intereses]]="Amortización de K",SUMIFS($AH$7:$AH$557,Tabla3[Código Emisión],Tabla3[[#This Row],[Código Emisión]],Tabla3[Fecha de operación],Tabla3[[#This Row],[Fecha de operación]]),0)-Tabla3[[#This Row],[Accrued]]*Tabla3[[#This Row],[Valor Nominal]]</f>
        <v>0</v>
      </c>
      <c r="AJ552" s="605">
        <f>+IF(Tabla3[[#This Row],[Amortización k | cupón de intereses]]="Amortización de K",IF(Tabla3[[#This Row],[Precio Clean]]&gt;1,Tabla3[[#This Row],[Valor Nominal]]*(Tabla3[[#This Row],[Precio Clean]]-1),0),0)</f>
        <v>0</v>
      </c>
      <c r="AK552" s="605">
        <f>+IF(Tabla3[[#This Row],[Amortización k | cupón de intereses]]="Amortización de K",IF(Tabla3[[#This Row],[Precio Clean]]&lt;1,Tabla3[[#This Row],[Valor Nominal]]*(Tabla3[[#This Row],[Precio Clean]]-1),0),0)</f>
        <v>0</v>
      </c>
    </row>
    <row r="553" spans="1:37">
      <c r="A553" s="502"/>
      <c r="B553" s="437" t="str">
        <f t="shared" si="331"/>
        <v>Banco Nacional de Fomento</v>
      </c>
      <c r="C553" s="437" t="str">
        <f t="shared" si="331"/>
        <v>BNF_6,50%_04112028_BB3102-07_50K</v>
      </c>
      <c r="D553" s="437" t="s">
        <v>453</v>
      </c>
      <c r="E553" s="437" t="str">
        <f t="shared" si="334"/>
        <v>AA+py</v>
      </c>
      <c r="F553" s="437" t="s">
        <v>297</v>
      </c>
      <c r="G553" s="437" t="s">
        <v>298</v>
      </c>
      <c r="H553" s="437">
        <f t="shared" si="335"/>
        <v>1</v>
      </c>
      <c r="I553" s="445">
        <v>819.17</v>
      </c>
      <c r="J553" s="462"/>
      <c r="K553" s="450"/>
      <c r="L553" s="462"/>
      <c r="M553" s="493"/>
      <c r="N553" s="493"/>
      <c r="O553" s="516">
        <f t="shared" si="332"/>
        <v>6.5548864006996152E-2</v>
      </c>
      <c r="P553" s="516">
        <f t="shared" si="332"/>
        <v>6.3996581208117576E-2</v>
      </c>
      <c r="Q553" s="450">
        <f t="shared" si="332"/>
        <v>46112</v>
      </c>
      <c r="R553" s="450">
        <v>46422</v>
      </c>
      <c r="S553" s="509" t="s">
        <v>146</v>
      </c>
      <c r="T553" s="510">
        <f>Tabla3[[#This Row],[Cantidad]]*Tabla3[[#This Row],[Cortes]]</f>
        <v>819.17</v>
      </c>
      <c r="U553" s="583">
        <f t="shared" si="322"/>
        <v>776.16768978635491</v>
      </c>
      <c r="V553" s="511">
        <f t="shared" si="323"/>
        <v>776.0326908122787</v>
      </c>
      <c r="W553" s="497">
        <f>IF(Tabla3[[#This Row],[Fecha de operación]]=$C$1,0,U553-V553)</f>
        <v>0</v>
      </c>
      <c r="X553" s="512" t="str">
        <f t="shared" si="324"/>
        <v>Vigente</v>
      </c>
      <c r="Y553" s="517" t="s">
        <v>450</v>
      </c>
      <c r="Z553" s="449">
        <f t="shared" si="325"/>
        <v>310</v>
      </c>
      <c r="AA553" s="518">
        <f t="shared" si="333"/>
        <v>2.3818419360480885</v>
      </c>
      <c r="AB553" s="518">
        <f t="shared" si="333"/>
        <v>2.3434394869877915</v>
      </c>
      <c r="AC553" s="449" t="s">
        <v>451</v>
      </c>
      <c r="AD553" s="449" t="s">
        <v>454</v>
      </c>
      <c r="AG553" s="605">
        <f>+IF(Tabla3[[#This Row],[Amortización k | cupón de intereses]]="Amortización de K",Tabla3[[#This Row],[Valor Nominal]],0)</f>
        <v>0</v>
      </c>
      <c r="AH553" s="605">
        <f>+IF(AND(Tabla3[[#This Row],[Amortización k | cupón de intereses]]="Cupón de interés",Tabla3[[#This Row],[Estado]]="Vigente"),Tabla3[[#This Row],[Valor Nominal]],0)</f>
        <v>819.17</v>
      </c>
      <c r="AI553" s="618">
        <f>+IF(Tabla3[[#This Row],[Amortización k | cupón de intereses]]="Amortización de K",SUMIFS($AH$7:$AH$557,Tabla3[Código Emisión],Tabla3[[#This Row],[Código Emisión]],Tabla3[Fecha de operación],Tabla3[[#This Row],[Fecha de operación]]),0)-Tabla3[[#This Row],[Accrued]]*Tabla3[[#This Row],[Valor Nominal]]</f>
        <v>0</v>
      </c>
      <c r="AJ553" s="605">
        <f>+IF(Tabla3[[#This Row],[Amortización k | cupón de intereses]]="Amortización de K",IF(Tabla3[[#This Row],[Precio Clean]]&gt;1,Tabla3[[#This Row],[Valor Nominal]]*(Tabla3[[#This Row],[Precio Clean]]-1),0),0)</f>
        <v>0</v>
      </c>
      <c r="AK553" s="605">
        <f>+IF(Tabla3[[#This Row],[Amortización k | cupón de intereses]]="Amortización de K",IF(Tabla3[[#This Row],[Precio Clean]]&lt;1,Tabla3[[#This Row],[Valor Nominal]]*(Tabla3[[#This Row],[Precio Clean]]-1),0),0)</f>
        <v>0</v>
      </c>
    </row>
    <row r="554" spans="1:37">
      <c r="A554" s="502"/>
      <c r="B554" s="437" t="str">
        <f t="shared" si="331"/>
        <v>Banco Nacional de Fomento</v>
      </c>
      <c r="C554" s="437" t="str">
        <f t="shared" si="331"/>
        <v>BNF_6,50%_04112028_BB3102-07_50K</v>
      </c>
      <c r="D554" s="437" t="s">
        <v>453</v>
      </c>
      <c r="E554" s="437" t="str">
        <f t="shared" si="334"/>
        <v>AA+py</v>
      </c>
      <c r="F554" s="437" t="s">
        <v>297</v>
      </c>
      <c r="G554" s="437" t="s">
        <v>298</v>
      </c>
      <c r="H554" s="437">
        <f t="shared" si="335"/>
        <v>1</v>
      </c>
      <c r="I554" s="445">
        <v>819.17</v>
      </c>
      <c r="J554" s="462"/>
      <c r="K554" s="450"/>
      <c r="L554" s="462"/>
      <c r="M554" s="493"/>
      <c r="N554" s="493"/>
      <c r="O554" s="516">
        <f t="shared" si="332"/>
        <v>6.5548864006996152E-2</v>
      </c>
      <c r="P554" s="516">
        <f t="shared" si="332"/>
        <v>6.3996581208117576E-2</v>
      </c>
      <c r="Q554" s="450">
        <f t="shared" si="332"/>
        <v>46112</v>
      </c>
      <c r="R554" s="450">
        <v>46330</v>
      </c>
      <c r="S554" s="509" t="s">
        <v>146</v>
      </c>
      <c r="T554" s="510">
        <f>Tabla3[[#This Row],[Cantidad]]*Tabla3[[#This Row],[Cortes]]</f>
        <v>819.17</v>
      </c>
      <c r="U554" s="583">
        <f t="shared" si="322"/>
        <v>788.68859422373168</v>
      </c>
      <c r="V554" s="511">
        <f t="shared" si="323"/>
        <v>788.55141748668518</v>
      </c>
      <c r="W554" s="497">
        <f>IF(Tabla3[[#This Row],[Fecha de operación]]=$C$1,0,U554-V554)</f>
        <v>0</v>
      </c>
      <c r="X554" s="512" t="str">
        <f t="shared" si="324"/>
        <v>Vigente</v>
      </c>
      <c r="Y554" s="517" t="s">
        <v>450</v>
      </c>
      <c r="Z554" s="449">
        <f t="shared" si="325"/>
        <v>218</v>
      </c>
      <c r="AA554" s="518">
        <f t="shared" si="333"/>
        <v>2.3818419360480885</v>
      </c>
      <c r="AB554" s="518">
        <f t="shared" si="333"/>
        <v>2.3434394869877915</v>
      </c>
      <c r="AC554" s="449" t="s">
        <v>451</v>
      </c>
      <c r="AD554" s="449" t="s">
        <v>454</v>
      </c>
      <c r="AG554" s="605">
        <f>+IF(Tabla3[[#This Row],[Amortización k | cupón de intereses]]="Amortización de K",Tabla3[[#This Row],[Valor Nominal]],0)</f>
        <v>0</v>
      </c>
      <c r="AH554" s="605">
        <f>+IF(AND(Tabla3[[#This Row],[Amortización k | cupón de intereses]]="Cupón de interés",Tabla3[[#This Row],[Estado]]="Vigente"),Tabla3[[#This Row],[Valor Nominal]],0)</f>
        <v>819.17</v>
      </c>
      <c r="AI554" s="618">
        <f>+IF(Tabla3[[#This Row],[Amortización k | cupón de intereses]]="Amortización de K",SUMIFS($AH$7:$AH$557,Tabla3[Código Emisión],Tabla3[[#This Row],[Código Emisión]],Tabla3[Fecha de operación],Tabla3[[#This Row],[Fecha de operación]]),0)-Tabla3[[#This Row],[Accrued]]*Tabla3[[#This Row],[Valor Nominal]]</f>
        <v>0</v>
      </c>
      <c r="AJ554" s="605">
        <f>+IF(Tabla3[[#This Row],[Amortización k | cupón de intereses]]="Amortización de K",IF(Tabla3[[#This Row],[Precio Clean]]&gt;1,Tabla3[[#This Row],[Valor Nominal]]*(Tabla3[[#This Row],[Precio Clean]]-1),0),0)</f>
        <v>0</v>
      </c>
      <c r="AK554" s="605">
        <f>+IF(Tabla3[[#This Row],[Amortización k | cupón de intereses]]="Amortización de K",IF(Tabla3[[#This Row],[Precio Clean]]&lt;1,Tabla3[[#This Row],[Valor Nominal]]*(Tabla3[[#This Row],[Precio Clean]]-1),0),0)</f>
        <v>0</v>
      </c>
    </row>
    <row r="555" spans="1:37">
      <c r="A555" s="502"/>
      <c r="B555" s="437" t="str">
        <f t="shared" si="331"/>
        <v>Banco Nacional de Fomento</v>
      </c>
      <c r="C555" s="437" t="str">
        <f t="shared" si="331"/>
        <v>BNF_6,50%_04112028_BB3102-07_50K</v>
      </c>
      <c r="D555" s="437" t="s">
        <v>453</v>
      </c>
      <c r="E555" s="437" t="str">
        <f t="shared" si="334"/>
        <v>AA+py</v>
      </c>
      <c r="F555" s="437" t="s">
        <v>297</v>
      </c>
      <c r="G555" s="437" t="s">
        <v>298</v>
      </c>
      <c r="H555" s="437">
        <f t="shared" si="335"/>
        <v>1</v>
      </c>
      <c r="I555" s="445">
        <v>819.17</v>
      </c>
      <c r="J555" s="462"/>
      <c r="K555" s="450"/>
      <c r="L555" s="462"/>
      <c r="M555" s="493"/>
      <c r="N555" s="493"/>
      <c r="O555" s="516">
        <f t="shared" si="332"/>
        <v>6.5548864006996152E-2</v>
      </c>
      <c r="P555" s="516">
        <f t="shared" si="332"/>
        <v>6.3996581208117576E-2</v>
      </c>
      <c r="Q555" s="450">
        <f t="shared" si="332"/>
        <v>46112</v>
      </c>
      <c r="R555" s="450">
        <v>46238</v>
      </c>
      <c r="S555" s="509" t="s">
        <v>146</v>
      </c>
      <c r="T555" s="510">
        <f>Tabla3[[#This Row],[Cantidad]]*Tabla3[[#This Row],[Cortes]]</f>
        <v>819.17</v>
      </c>
      <c r="U555" s="583">
        <f t="shared" si="322"/>
        <v>801.411482137093</v>
      </c>
      <c r="V555" s="511">
        <f t="shared" si="323"/>
        <v>801.27209250605699</v>
      </c>
      <c r="W555" s="497">
        <f>IF(Tabla3[[#This Row],[Fecha de operación]]=$C$1,0,U555-V555)</f>
        <v>0</v>
      </c>
      <c r="X555" s="512" t="str">
        <f t="shared" si="324"/>
        <v>Vigente</v>
      </c>
      <c r="Y555" s="517" t="s">
        <v>450</v>
      </c>
      <c r="Z555" s="449">
        <f t="shared" si="325"/>
        <v>126</v>
      </c>
      <c r="AA555" s="518">
        <f t="shared" si="333"/>
        <v>2.3818419360480885</v>
      </c>
      <c r="AB555" s="518">
        <f t="shared" si="333"/>
        <v>2.3434394869877915</v>
      </c>
      <c r="AC555" s="449" t="s">
        <v>451</v>
      </c>
      <c r="AD555" s="449" t="s">
        <v>454</v>
      </c>
      <c r="AG555" s="605">
        <f>+IF(Tabla3[[#This Row],[Amortización k | cupón de intereses]]="Amortización de K",Tabla3[[#This Row],[Valor Nominal]],0)</f>
        <v>0</v>
      </c>
      <c r="AH555" s="605">
        <f>+IF(AND(Tabla3[[#This Row],[Amortización k | cupón de intereses]]="Cupón de interés",Tabla3[[#This Row],[Estado]]="Vigente"),Tabla3[[#This Row],[Valor Nominal]],0)</f>
        <v>819.17</v>
      </c>
      <c r="AI555" s="618">
        <f>+IF(Tabla3[[#This Row],[Amortización k | cupón de intereses]]="Amortización de K",SUMIFS($AH$7:$AH$557,Tabla3[Código Emisión],Tabla3[[#This Row],[Código Emisión]],Tabla3[Fecha de operación],Tabla3[[#This Row],[Fecha de operación]]),0)-Tabla3[[#This Row],[Accrued]]*Tabla3[[#This Row],[Valor Nominal]]</f>
        <v>0</v>
      </c>
      <c r="AJ555" s="605">
        <f>+IF(Tabla3[[#This Row],[Amortización k | cupón de intereses]]="Amortización de K",IF(Tabla3[[#This Row],[Precio Clean]]&gt;1,Tabla3[[#This Row],[Valor Nominal]]*(Tabla3[[#This Row],[Precio Clean]]-1),0),0)</f>
        <v>0</v>
      </c>
      <c r="AK555" s="605">
        <f>+IF(Tabla3[[#This Row],[Amortización k | cupón de intereses]]="Amortización de K",IF(Tabla3[[#This Row],[Precio Clean]]&lt;1,Tabla3[[#This Row],[Valor Nominal]]*(Tabla3[[#This Row],[Precio Clean]]-1),0),0)</f>
        <v>0</v>
      </c>
    </row>
    <row r="556" spans="1:37">
      <c r="A556" s="502"/>
      <c r="B556" s="437" t="str">
        <f t="shared" si="331"/>
        <v>Banco Nacional de Fomento</v>
      </c>
      <c r="C556" s="437" t="str">
        <f t="shared" si="331"/>
        <v>BNF_6,50%_04112028_BB3102-07_50K</v>
      </c>
      <c r="D556" s="437" t="s">
        <v>453</v>
      </c>
      <c r="E556" s="437" t="str">
        <f t="shared" si="334"/>
        <v>AA+py</v>
      </c>
      <c r="F556" s="437" t="s">
        <v>297</v>
      </c>
      <c r="G556" s="437" t="s">
        <v>298</v>
      </c>
      <c r="H556" s="437">
        <f t="shared" si="335"/>
        <v>1</v>
      </c>
      <c r="I556" s="445">
        <v>792.48</v>
      </c>
      <c r="J556" s="462"/>
      <c r="K556" s="450"/>
      <c r="L556" s="462"/>
      <c r="M556" s="493"/>
      <c r="N556" s="493"/>
      <c r="O556" s="516">
        <f t="shared" si="332"/>
        <v>6.5548864006996152E-2</v>
      </c>
      <c r="P556" s="516">
        <f t="shared" si="332"/>
        <v>6.3996581208117576E-2</v>
      </c>
      <c r="Q556" s="450">
        <f t="shared" si="332"/>
        <v>46112</v>
      </c>
      <c r="R556" s="450">
        <v>46146</v>
      </c>
      <c r="S556" s="509" t="s">
        <v>146</v>
      </c>
      <c r="T556" s="510">
        <f>Tabla3[[#This Row],[Cantidad]]*Tabla3[[#This Row],[Cortes]]</f>
        <v>792.48</v>
      </c>
      <c r="U556" s="583">
        <f t="shared" si="322"/>
        <v>787.80699440828482</v>
      </c>
      <c r="V556" s="511">
        <f t="shared" si="323"/>
        <v>787.66997100803951</v>
      </c>
      <c r="W556" s="497">
        <f>IF(Tabla3[[#This Row],[Fecha de operación]]=$C$1,0,U556-V556)</f>
        <v>0</v>
      </c>
      <c r="X556" s="512" t="str">
        <f t="shared" si="324"/>
        <v>Vigente</v>
      </c>
      <c r="Y556" s="517" t="s">
        <v>450</v>
      </c>
      <c r="Z556" s="449">
        <f t="shared" si="325"/>
        <v>34</v>
      </c>
      <c r="AA556" s="518">
        <f t="shared" si="333"/>
        <v>2.3818419360480885</v>
      </c>
      <c r="AB556" s="518">
        <f t="shared" si="333"/>
        <v>2.3434394869877915</v>
      </c>
      <c r="AC556" s="449" t="s">
        <v>451</v>
      </c>
      <c r="AD556" s="449" t="s">
        <v>454</v>
      </c>
      <c r="AG556" s="605">
        <f>+IF(Tabla3[[#This Row],[Amortización k | cupón de intereses]]="Amortización de K",Tabla3[[#This Row],[Valor Nominal]],0)</f>
        <v>0</v>
      </c>
      <c r="AH556" s="605">
        <f>+IF(AND(Tabla3[[#This Row],[Amortización k | cupón de intereses]]="Cupón de interés",Tabla3[[#This Row],[Estado]]="Vigente"),Tabla3[[#This Row],[Valor Nominal]],0)</f>
        <v>792.48</v>
      </c>
      <c r="AI556" s="618">
        <f>+IF(Tabla3[[#This Row],[Amortización k | cupón de intereses]]="Amortización de K",SUMIFS($AH$7:$AH$557,Tabla3[Código Emisión],Tabla3[[#This Row],[Código Emisión]],Tabla3[Fecha de operación],Tabla3[[#This Row],[Fecha de operación]]),0)-Tabla3[[#This Row],[Accrued]]*Tabla3[[#This Row],[Valor Nominal]]</f>
        <v>0</v>
      </c>
      <c r="AJ556" s="605">
        <f>+IF(Tabla3[[#This Row],[Amortización k | cupón de intereses]]="Amortización de K",IF(Tabla3[[#This Row],[Precio Clean]]&gt;1,Tabla3[[#This Row],[Valor Nominal]]*(Tabla3[[#This Row],[Precio Clean]]-1),0),0)</f>
        <v>0</v>
      </c>
      <c r="AK556" s="605">
        <f>+IF(Tabla3[[#This Row],[Amortización k | cupón de intereses]]="Amortización de K",IF(Tabla3[[#This Row],[Precio Clean]]&lt;1,Tabla3[[#This Row],[Valor Nominal]]*(Tabla3[[#This Row],[Precio Clean]]-1),0),0)</f>
        <v>0</v>
      </c>
    </row>
    <row r="557" spans="1:37">
      <c r="A557" s="502"/>
      <c r="B557" s="437" t="str">
        <f t="shared" si="331"/>
        <v>Banco Nacional de Fomento</v>
      </c>
      <c r="C557" s="437" t="str">
        <f t="shared" si="331"/>
        <v>BNF_6,50%_04112028_BB3102-07_50K</v>
      </c>
      <c r="D557" s="437" t="s">
        <v>453</v>
      </c>
      <c r="E557" s="437" t="str">
        <f t="shared" si="334"/>
        <v>AA+py</v>
      </c>
      <c r="F557" s="437" t="s">
        <v>297</v>
      </c>
      <c r="G557" s="437" t="s">
        <v>298</v>
      </c>
      <c r="H557" s="437">
        <f t="shared" si="335"/>
        <v>1</v>
      </c>
      <c r="I557" s="445">
        <v>819.17</v>
      </c>
      <c r="J557" s="462"/>
      <c r="K557" s="450"/>
      <c r="L557" s="462"/>
      <c r="M557" s="493"/>
      <c r="N557" s="493"/>
      <c r="O557" s="516">
        <f t="shared" si="332"/>
        <v>6.5548864006996152E-2</v>
      </c>
      <c r="P557" s="516">
        <f t="shared" si="332"/>
        <v>6.3996581208117576E-2</v>
      </c>
      <c r="Q557" s="450">
        <f t="shared" si="332"/>
        <v>46112</v>
      </c>
      <c r="R557" s="450">
        <v>46057</v>
      </c>
      <c r="S557" s="509" t="s">
        <v>146</v>
      </c>
      <c r="T557" s="510">
        <f>Tabla3[[#This Row],[Cantidad]]*Tabla3[[#This Row],[Cortes]]</f>
        <v>819.17</v>
      </c>
      <c r="U557" s="583" t="b">
        <f t="shared" si="322"/>
        <v>0</v>
      </c>
      <c r="V557" s="511" t="b">
        <f t="shared" si="323"/>
        <v>0</v>
      </c>
      <c r="W557" s="497">
        <f>IF(Tabla3[[#This Row],[Fecha de operación]]=$C$1,0,U557-V557)</f>
        <v>0</v>
      </c>
      <c r="X557" s="512" t="str">
        <f t="shared" si="324"/>
        <v>Vencido</v>
      </c>
      <c r="Y557" s="517" t="s">
        <v>450</v>
      </c>
      <c r="Z557" s="449">
        <f t="shared" si="325"/>
        <v>-55</v>
      </c>
      <c r="AA557" s="518">
        <f t="shared" si="333"/>
        <v>2.3818419360480885</v>
      </c>
      <c r="AB557" s="518">
        <f t="shared" si="333"/>
        <v>2.3434394869877915</v>
      </c>
      <c r="AC557" s="449" t="s">
        <v>451</v>
      </c>
      <c r="AD557" s="449" t="s">
        <v>454</v>
      </c>
      <c r="AG557" s="605">
        <f>+IF(Tabla3[[#This Row],[Amortización k | cupón de intereses]]="Amortización de K",Tabla3[[#This Row],[Valor Nominal]],0)</f>
        <v>0</v>
      </c>
      <c r="AH557" s="605">
        <f>+IF(AND(Tabla3[[#This Row],[Amortización k | cupón de intereses]]="Cupón de interés",Tabla3[[#This Row],[Estado]]="Vigente"),Tabla3[[#This Row],[Valor Nominal]],0)</f>
        <v>0</v>
      </c>
      <c r="AI557" s="618">
        <f>+IF(Tabla3[[#This Row],[Amortización k | cupón de intereses]]="Amortización de K",SUMIFS($AH$7:$AH$557,Tabla3[Código Emisión],Tabla3[[#This Row],[Código Emisión]],Tabla3[Fecha de operación],Tabla3[[#This Row],[Fecha de operación]]),0)-Tabla3[[#This Row],[Accrued]]*Tabla3[[#This Row],[Valor Nominal]]</f>
        <v>0</v>
      </c>
      <c r="AJ557" s="605">
        <f>+IF(Tabla3[[#This Row],[Amortización k | cupón de intereses]]="Amortización de K",IF(Tabla3[[#This Row],[Precio Clean]]&gt;1,Tabla3[[#This Row],[Valor Nominal]]*(Tabla3[[#This Row],[Precio Clean]]-1),0),0)</f>
        <v>0</v>
      </c>
      <c r="AK557" s="605">
        <f>+IF(Tabla3[[#This Row],[Amortización k | cupón de intereses]]="Amortización de K",IF(Tabla3[[#This Row],[Precio Clean]]&lt;1,Tabla3[[#This Row],[Valor Nominal]]*(Tabla3[[#This Row],[Precio Clean]]-1),0),0)</f>
        <v>0</v>
      </c>
    </row>
    <row r="558" spans="1:37">
      <c r="AI558" s="618"/>
    </row>
    <row r="559" spans="1:37">
      <c r="AI559" s="618"/>
    </row>
    <row r="560" spans="1:37">
      <c r="M560" s="493"/>
    </row>
  </sheetData>
  <sheetProtection algorithmName="SHA-512" hashValue="AeJ2ae5p5/nnvA5SpBwn6jYZKsB722Mgbz4ta7gID+JsnEsMOObYg4P5zWOxbSUSLGi4TK+18rS3dcBh25VEVA==" saltValue="NMSS+cdT7aROLc3W5Y3qdA==" spinCount="100000" sheet="1" objects="1" scenarios="1"/>
  <mergeCells count="1">
    <mergeCell ref="D2:F2"/>
  </mergeCells>
  <conditionalFormatting sqref="O195:P214">
    <cfRule type="colorScale" priority="318">
      <colorScale>
        <cfvo type="min"/>
        <cfvo type="percentile" val="50"/>
        <cfvo type="max"/>
        <color rgb="FFF8696B"/>
        <color rgb="FFFFEB84"/>
        <color rgb="FF63BE7B"/>
      </colorScale>
    </cfRule>
  </conditionalFormatting>
  <conditionalFormatting sqref="O215:P251">
    <cfRule type="colorScale" priority="317">
      <colorScale>
        <cfvo type="min"/>
        <cfvo type="percentile" val="50"/>
        <cfvo type="max"/>
        <color rgb="FFF8696B"/>
        <color rgb="FFFFEB84"/>
        <color rgb="FF63BE7B"/>
      </colorScale>
    </cfRule>
    <cfRule type="colorScale" priority="316">
      <colorScale>
        <cfvo type="min"/>
        <cfvo type="percentile" val="50"/>
        <cfvo type="max"/>
        <color rgb="FFF8696B"/>
        <color rgb="FFFFEB84"/>
        <color rgb="FF63BE7B"/>
      </colorScale>
    </cfRule>
    <cfRule type="colorScale" priority="315">
      <colorScale>
        <cfvo type="min"/>
        <cfvo type="percentile" val="50"/>
        <cfvo type="max"/>
        <color rgb="FFF8696B"/>
        <color rgb="FFFFEB84"/>
        <color rgb="FF63BE7B"/>
      </colorScale>
    </cfRule>
  </conditionalFormatting>
  <conditionalFormatting sqref="O252:P288">
    <cfRule type="colorScale" priority="312">
      <colorScale>
        <cfvo type="min"/>
        <cfvo type="percentile" val="50"/>
        <cfvo type="max"/>
        <color rgb="FFF8696B"/>
        <color rgb="FFFFEB84"/>
        <color rgb="FF63BE7B"/>
      </colorScale>
    </cfRule>
    <cfRule type="colorScale" priority="311">
      <colorScale>
        <cfvo type="min"/>
        <cfvo type="percentile" val="50"/>
        <cfvo type="max"/>
        <color rgb="FFF8696B"/>
        <color rgb="FFFFEB84"/>
        <color rgb="FF63BE7B"/>
      </colorScale>
    </cfRule>
    <cfRule type="colorScale" priority="314">
      <colorScale>
        <cfvo type="min"/>
        <cfvo type="percentile" val="50"/>
        <cfvo type="max"/>
        <color rgb="FFF8696B"/>
        <color rgb="FFFFEB84"/>
        <color rgb="FF63BE7B"/>
      </colorScale>
    </cfRule>
    <cfRule type="colorScale" priority="313">
      <colorScale>
        <cfvo type="min"/>
        <cfvo type="percentile" val="50"/>
        <cfvo type="max"/>
        <color rgb="FFF8696B"/>
        <color rgb="FFFFEB84"/>
        <color rgb="FF63BE7B"/>
      </colorScale>
    </cfRule>
  </conditionalFormatting>
  <conditionalFormatting sqref="O309:P317">
    <cfRule type="colorScale" priority="310">
      <colorScale>
        <cfvo type="min"/>
        <cfvo type="percentile" val="50"/>
        <cfvo type="max"/>
        <color rgb="FFF8696B"/>
        <color rgb="FFFFEB84"/>
        <color rgb="FF63BE7B"/>
      </colorScale>
    </cfRule>
  </conditionalFormatting>
  <conditionalFormatting sqref="O318:P322">
    <cfRule type="colorScale" priority="319">
      <colorScale>
        <cfvo type="min"/>
        <cfvo type="percentile" val="50"/>
        <cfvo type="max"/>
        <color rgb="FFF8696B"/>
        <color rgb="FFFFEB84"/>
        <color rgb="FF63BE7B"/>
      </colorScale>
    </cfRule>
  </conditionalFormatting>
  <conditionalFormatting sqref="O323:P327">
    <cfRule type="colorScale" priority="309">
      <colorScale>
        <cfvo type="min"/>
        <cfvo type="percentile" val="50"/>
        <cfvo type="max"/>
        <color rgb="FFF8696B"/>
        <color rgb="FFFFEB84"/>
        <color rgb="FF63BE7B"/>
      </colorScale>
    </cfRule>
    <cfRule type="colorScale" priority="308">
      <colorScale>
        <cfvo type="min"/>
        <cfvo type="percentile" val="50"/>
        <cfvo type="max"/>
        <color rgb="FFF8696B"/>
        <color rgb="FFFFEB84"/>
        <color rgb="FF63BE7B"/>
      </colorScale>
    </cfRule>
  </conditionalFormatting>
  <conditionalFormatting sqref="O328:P332">
    <cfRule type="colorScale" priority="305">
      <colorScale>
        <cfvo type="min"/>
        <cfvo type="percentile" val="50"/>
        <cfvo type="max"/>
        <color rgb="FFF8696B"/>
        <color rgb="FFFFEB84"/>
        <color rgb="FF63BE7B"/>
      </colorScale>
    </cfRule>
    <cfRule type="colorScale" priority="307">
      <colorScale>
        <cfvo type="min"/>
        <cfvo type="percentile" val="50"/>
        <cfvo type="max"/>
        <color rgb="FFF8696B"/>
        <color rgb="FFFFEB84"/>
        <color rgb="FF63BE7B"/>
      </colorScale>
    </cfRule>
    <cfRule type="colorScale" priority="306">
      <colorScale>
        <cfvo type="min"/>
        <cfvo type="percentile" val="50"/>
        <cfvo type="max"/>
        <color rgb="FFF8696B"/>
        <color rgb="FFFFEB84"/>
        <color rgb="FF63BE7B"/>
      </colorScale>
    </cfRule>
  </conditionalFormatting>
  <conditionalFormatting sqref="O333:P339">
    <cfRule type="colorScale" priority="303">
      <colorScale>
        <cfvo type="min"/>
        <cfvo type="percentile" val="50"/>
        <cfvo type="max"/>
        <color rgb="FFF8696B"/>
        <color rgb="FFFFEB84"/>
        <color rgb="FF63BE7B"/>
      </colorScale>
    </cfRule>
    <cfRule type="colorScale" priority="302">
      <colorScale>
        <cfvo type="min"/>
        <cfvo type="percentile" val="50"/>
        <cfvo type="max"/>
        <color rgb="FFF8696B"/>
        <color rgb="FFFFEB84"/>
        <color rgb="FF63BE7B"/>
      </colorScale>
    </cfRule>
    <cfRule type="colorScale" priority="301">
      <colorScale>
        <cfvo type="min"/>
        <cfvo type="percentile" val="50"/>
        <cfvo type="max"/>
        <color rgb="FFF8696B"/>
        <color rgb="FFFFEB84"/>
        <color rgb="FF63BE7B"/>
      </colorScale>
    </cfRule>
    <cfRule type="colorScale" priority="304">
      <colorScale>
        <cfvo type="min"/>
        <cfvo type="percentile" val="50"/>
        <cfvo type="max"/>
        <color rgb="FFF8696B"/>
        <color rgb="FFFFEB84"/>
        <color rgb="FF63BE7B"/>
      </colorScale>
    </cfRule>
  </conditionalFormatting>
  <conditionalFormatting sqref="O340:P346">
    <cfRule type="colorScale" priority="300">
      <colorScale>
        <cfvo type="min"/>
        <cfvo type="percentile" val="50"/>
        <cfvo type="max"/>
        <color rgb="FFF8696B"/>
        <color rgb="FFFFEB84"/>
        <color rgb="FF63BE7B"/>
      </colorScale>
    </cfRule>
    <cfRule type="colorScale" priority="299">
      <colorScale>
        <cfvo type="min"/>
        <cfvo type="percentile" val="50"/>
        <cfvo type="max"/>
        <color rgb="FFF8696B"/>
        <color rgb="FFFFEB84"/>
        <color rgb="FF63BE7B"/>
      </colorScale>
    </cfRule>
    <cfRule type="colorScale" priority="296">
      <colorScale>
        <cfvo type="min"/>
        <cfvo type="percentile" val="50"/>
        <cfvo type="max"/>
        <color rgb="FFF8696B"/>
        <color rgb="FFFFEB84"/>
        <color rgb="FF63BE7B"/>
      </colorScale>
    </cfRule>
    <cfRule type="colorScale" priority="297">
      <colorScale>
        <cfvo type="min"/>
        <cfvo type="percentile" val="50"/>
        <cfvo type="max"/>
        <color rgb="FFF8696B"/>
        <color rgb="FFFFEB84"/>
        <color rgb="FF63BE7B"/>
      </colorScale>
    </cfRule>
    <cfRule type="colorScale" priority="298">
      <colorScale>
        <cfvo type="min"/>
        <cfvo type="percentile" val="50"/>
        <cfvo type="max"/>
        <color rgb="FFF8696B"/>
        <color rgb="FFFFEB84"/>
        <color rgb="FF63BE7B"/>
      </colorScale>
    </cfRule>
  </conditionalFormatting>
  <conditionalFormatting sqref="O347:P359">
    <cfRule type="colorScale" priority="294">
      <colorScale>
        <cfvo type="min"/>
        <cfvo type="percentile" val="50"/>
        <cfvo type="max"/>
        <color rgb="FFF8696B"/>
        <color rgb="FFFFEB84"/>
        <color rgb="FF63BE7B"/>
      </colorScale>
    </cfRule>
    <cfRule type="colorScale" priority="293">
      <colorScale>
        <cfvo type="min"/>
        <cfvo type="percentile" val="50"/>
        <cfvo type="max"/>
        <color rgb="FFF8696B"/>
        <color rgb="FFFFEB84"/>
        <color rgb="FF63BE7B"/>
      </colorScale>
    </cfRule>
    <cfRule type="colorScale" priority="295">
      <colorScale>
        <cfvo type="min"/>
        <cfvo type="percentile" val="50"/>
        <cfvo type="max"/>
        <color rgb="FFF8696B"/>
        <color rgb="FFFFEB84"/>
        <color rgb="FF63BE7B"/>
      </colorScale>
    </cfRule>
    <cfRule type="colorScale" priority="292">
      <colorScale>
        <cfvo type="min"/>
        <cfvo type="percentile" val="50"/>
        <cfvo type="max"/>
        <color rgb="FFF8696B"/>
        <color rgb="FFFFEB84"/>
        <color rgb="FF63BE7B"/>
      </colorScale>
    </cfRule>
  </conditionalFormatting>
  <conditionalFormatting sqref="O360:P372">
    <cfRule type="colorScale" priority="291">
      <colorScale>
        <cfvo type="min"/>
        <cfvo type="percentile" val="50"/>
        <cfvo type="max"/>
        <color rgb="FFF8696B"/>
        <color rgb="FFFFEB84"/>
        <color rgb="FF63BE7B"/>
      </colorScale>
    </cfRule>
    <cfRule type="colorScale" priority="288">
      <colorScale>
        <cfvo type="min"/>
        <cfvo type="percentile" val="50"/>
        <cfvo type="max"/>
        <color rgb="FFF8696B"/>
        <color rgb="FFFFEB84"/>
        <color rgb="FF63BE7B"/>
      </colorScale>
    </cfRule>
    <cfRule type="colorScale" priority="289">
      <colorScale>
        <cfvo type="min"/>
        <cfvo type="percentile" val="50"/>
        <cfvo type="max"/>
        <color rgb="FFF8696B"/>
        <color rgb="FFFFEB84"/>
        <color rgb="FF63BE7B"/>
      </colorScale>
    </cfRule>
    <cfRule type="colorScale" priority="290">
      <colorScale>
        <cfvo type="min"/>
        <cfvo type="percentile" val="50"/>
        <cfvo type="max"/>
        <color rgb="FFF8696B"/>
        <color rgb="FFFFEB84"/>
        <color rgb="FF63BE7B"/>
      </colorScale>
    </cfRule>
  </conditionalFormatting>
  <conditionalFormatting sqref="O373:P375">
    <cfRule type="colorScale" priority="287">
      <colorScale>
        <cfvo type="min"/>
        <cfvo type="percentile" val="50"/>
        <cfvo type="max"/>
        <color rgb="FFF8696B"/>
        <color rgb="FFFFEB84"/>
        <color rgb="FF63BE7B"/>
      </colorScale>
    </cfRule>
    <cfRule type="colorScale" priority="286">
      <colorScale>
        <cfvo type="min"/>
        <cfvo type="percentile" val="50"/>
        <cfvo type="max"/>
        <color rgb="FFF8696B"/>
        <color rgb="FFFFEB84"/>
        <color rgb="FF63BE7B"/>
      </colorScale>
    </cfRule>
    <cfRule type="colorScale" priority="285">
      <colorScale>
        <cfvo type="min"/>
        <cfvo type="percentile" val="50"/>
        <cfvo type="max"/>
        <color rgb="FFF8696B"/>
        <color rgb="FFFFEB84"/>
        <color rgb="FF63BE7B"/>
      </colorScale>
    </cfRule>
    <cfRule type="colorScale" priority="284">
      <colorScale>
        <cfvo type="min"/>
        <cfvo type="percentile" val="50"/>
        <cfvo type="max"/>
        <color rgb="FFF8696B"/>
        <color rgb="FFFFEB84"/>
        <color rgb="FF63BE7B"/>
      </colorScale>
    </cfRule>
    <cfRule type="colorScale" priority="283">
      <colorScale>
        <cfvo type="min"/>
        <cfvo type="percentile" val="50"/>
        <cfvo type="max"/>
        <color rgb="FFF8696B"/>
        <color rgb="FFFFEB84"/>
        <color rgb="FF63BE7B"/>
      </colorScale>
    </cfRule>
  </conditionalFormatting>
  <conditionalFormatting sqref="O376:P380">
    <cfRule type="colorScale" priority="279">
      <colorScale>
        <cfvo type="min"/>
        <cfvo type="percentile" val="50"/>
        <cfvo type="max"/>
        <color rgb="FFF8696B"/>
        <color rgb="FFFFEB84"/>
        <color rgb="FF63BE7B"/>
      </colorScale>
    </cfRule>
    <cfRule type="colorScale" priority="282">
      <colorScale>
        <cfvo type="min"/>
        <cfvo type="percentile" val="50"/>
        <cfvo type="max"/>
        <color rgb="FFF8696B"/>
        <color rgb="FFFFEB84"/>
        <color rgb="FF63BE7B"/>
      </colorScale>
    </cfRule>
    <cfRule type="colorScale" priority="281">
      <colorScale>
        <cfvo type="min"/>
        <cfvo type="percentile" val="50"/>
        <cfvo type="max"/>
        <color rgb="FFF8696B"/>
        <color rgb="FFFFEB84"/>
        <color rgb="FF63BE7B"/>
      </colorScale>
    </cfRule>
    <cfRule type="colorScale" priority="280">
      <colorScale>
        <cfvo type="min"/>
        <cfvo type="percentile" val="50"/>
        <cfvo type="max"/>
        <color rgb="FFF8696B"/>
        <color rgb="FFFFEB84"/>
        <color rgb="FF63BE7B"/>
      </colorScale>
    </cfRule>
  </conditionalFormatting>
  <conditionalFormatting sqref="O381:P382">
    <cfRule type="colorScale" priority="274">
      <colorScale>
        <cfvo type="min"/>
        <cfvo type="percentile" val="50"/>
        <cfvo type="max"/>
        <color rgb="FFF8696B"/>
        <color rgb="FFFFEB84"/>
        <color rgb="FF63BE7B"/>
      </colorScale>
    </cfRule>
    <cfRule type="colorScale" priority="278">
      <colorScale>
        <cfvo type="min"/>
        <cfvo type="percentile" val="50"/>
        <cfvo type="max"/>
        <color rgb="FFF8696B"/>
        <color rgb="FFFFEB84"/>
        <color rgb="FF63BE7B"/>
      </colorScale>
    </cfRule>
    <cfRule type="colorScale" priority="277">
      <colorScale>
        <cfvo type="min"/>
        <cfvo type="percentile" val="50"/>
        <cfvo type="max"/>
        <color rgb="FFF8696B"/>
        <color rgb="FFFFEB84"/>
        <color rgb="FF63BE7B"/>
      </colorScale>
    </cfRule>
    <cfRule type="colorScale" priority="276">
      <colorScale>
        <cfvo type="min"/>
        <cfvo type="percentile" val="50"/>
        <cfvo type="max"/>
        <color rgb="FFF8696B"/>
        <color rgb="FFFFEB84"/>
        <color rgb="FF63BE7B"/>
      </colorScale>
    </cfRule>
    <cfRule type="colorScale" priority="275">
      <colorScale>
        <cfvo type="min"/>
        <cfvo type="percentile" val="50"/>
        <cfvo type="max"/>
        <color rgb="FFF8696B"/>
        <color rgb="FFFFEB84"/>
        <color rgb="FF63BE7B"/>
      </colorScale>
    </cfRule>
  </conditionalFormatting>
  <conditionalFormatting sqref="O383:P389">
    <cfRule type="colorScale" priority="269">
      <colorScale>
        <cfvo type="min"/>
        <cfvo type="percentile" val="50"/>
        <cfvo type="max"/>
        <color rgb="FFF8696B"/>
        <color rgb="FFFFEB84"/>
        <color rgb="FF63BE7B"/>
      </colorScale>
    </cfRule>
    <cfRule type="colorScale" priority="271">
      <colorScale>
        <cfvo type="min"/>
        <cfvo type="percentile" val="50"/>
        <cfvo type="max"/>
        <color rgb="FFF8696B"/>
        <color rgb="FFFFEB84"/>
        <color rgb="FF63BE7B"/>
      </colorScale>
    </cfRule>
    <cfRule type="colorScale" priority="273">
      <colorScale>
        <cfvo type="min"/>
        <cfvo type="percentile" val="50"/>
        <cfvo type="max"/>
        <color rgb="FFF8696B"/>
        <color rgb="FFFFEB84"/>
        <color rgb="FF63BE7B"/>
      </colorScale>
    </cfRule>
    <cfRule type="colorScale" priority="270">
      <colorScale>
        <cfvo type="min"/>
        <cfvo type="percentile" val="50"/>
        <cfvo type="max"/>
        <color rgb="FFF8696B"/>
        <color rgb="FFFFEB84"/>
        <color rgb="FF63BE7B"/>
      </colorScale>
    </cfRule>
    <cfRule type="colorScale" priority="272">
      <colorScale>
        <cfvo type="min"/>
        <cfvo type="percentile" val="50"/>
        <cfvo type="max"/>
        <color rgb="FFF8696B"/>
        <color rgb="FFFFEB84"/>
        <color rgb="FF63BE7B"/>
      </colorScale>
    </cfRule>
  </conditionalFormatting>
  <conditionalFormatting sqref="O390:P396">
    <cfRule type="colorScale" priority="264">
      <colorScale>
        <cfvo type="min"/>
        <cfvo type="percentile" val="50"/>
        <cfvo type="max"/>
        <color rgb="FFF8696B"/>
        <color rgb="FFFFEB84"/>
        <color rgb="FF63BE7B"/>
      </colorScale>
    </cfRule>
    <cfRule type="colorScale" priority="265">
      <colorScale>
        <cfvo type="min"/>
        <cfvo type="percentile" val="50"/>
        <cfvo type="max"/>
        <color rgb="FFF8696B"/>
        <color rgb="FFFFEB84"/>
        <color rgb="FF63BE7B"/>
      </colorScale>
    </cfRule>
    <cfRule type="colorScale" priority="266">
      <colorScale>
        <cfvo type="min"/>
        <cfvo type="percentile" val="50"/>
        <cfvo type="max"/>
        <color rgb="FFF8696B"/>
        <color rgb="FFFFEB84"/>
        <color rgb="FF63BE7B"/>
      </colorScale>
    </cfRule>
    <cfRule type="colorScale" priority="267">
      <colorScale>
        <cfvo type="min"/>
        <cfvo type="percentile" val="50"/>
        <cfvo type="max"/>
        <color rgb="FFF8696B"/>
        <color rgb="FFFFEB84"/>
        <color rgb="FF63BE7B"/>
      </colorScale>
    </cfRule>
    <cfRule type="colorScale" priority="268">
      <colorScale>
        <cfvo type="min"/>
        <cfvo type="percentile" val="50"/>
        <cfvo type="max"/>
        <color rgb="FFF8696B"/>
        <color rgb="FFFFEB84"/>
        <color rgb="FF63BE7B"/>
      </colorScale>
    </cfRule>
  </conditionalFormatting>
  <conditionalFormatting sqref="O397:P409">
    <cfRule type="colorScale" priority="325">
      <colorScale>
        <cfvo type="min"/>
        <cfvo type="percentile" val="50"/>
        <cfvo type="max"/>
        <color rgb="FFF8696B"/>
        <color rgb="FFFFEB84"/>
        <color rgb="FF63BE7B"/>
      </colorScale>
    </cfRule>
    <cfRule type="colorScale" priority="324">
      <colorScale>
        <cfvo type="min"/>
        <cfvo type="percentile" val="50"/>
        <cfvo type="max"/>
        <color rgb="FFF8696B"/>
        <color rgb="FFFFEB84"/>
        <color rgb="FF63BE7B"/>
      </colorScale>
    </cfRule>
    <cfRule type="colorScale" priority="323">
      <colorScale>
        <cfvo type="min"/>
        <cfvo type="percentile" val="50"/>
        <cfvo type="max"/>
        <color rgb="FFF8696B"/>
        <color rgb="FFFFEB84"/>
        <color rgb="FF63BE7B"/>
      </colorScale>
    </cfRule>
    <cfRule type="colorScale" priority="322">
      <colorScale>
        <cfvo type="min"/>
        <cfvo type="percentile" val="50"/>
        <cfvo type="max"/>
        <color rgb="FFF8696B"/>
        <color rgb="FFFFEB84"/>
        <color rgb="FF63BE7B"/>
      </colorScale>
    </cfRule>
    <cfRule type="colorScale" priority="321">
      <colorScale>
        <cfvo type="min"/>
        <cfvo type="percentile" val="50"/>
        <cfvo type="max"/>
        <color rgb="FFF8696B"/>
        <color rgb="FFFFEB84"/>
        <color rgb="FF63BE7B"/>
      </colorScale>
    </cfRule>
    <cfRule type="colorScale" priority="320">
      <colorScale>
        <cfvo type="min"/>
        <cfvo type="percentile" val="50"/>
        <cfvo type="max"/>
        <color rgb="FFF8696B"/>
        <color rgb="FFFFEB84"/>
        <color rgb="FF63BE7B"/>
      </colorScale>
    </cfRule>
  </conditionalFormatting>
  <conditionalFormatting sqref="O410:P420">
    <cfRule type="colorScale" priority="331">
      <colorScale>
        <cfvo type="min"/>
        <cfvo type="percentile" val="50"/>
        <cfvo type="max"/>
        <color rgb="FFF8696B"/>
        <color rgb="FFFFEB84"/>
        <color rgb="FF63BE7B"/>
      </colorScale>
    </cfRule>
    <cfRule type="colorScale" priority="330">
      <colorScale>
        <cfvo type="min"/>
        <cfvo type="percentile" val="50"/>
        <cfvo type="max"/>
        <color rgb="FFF8696B"/>
        <color rgb="FFFFEB84"/>
        <color rgb="FF63BE7B"/>
      </colorScale>
    </cfRule>
    <cfRule type="colorScale" priority="329">
      <colorScale>
        <cfvo type="min"/>
        <cfvo type="percentile" val="50"/>
        <cfvo type="max"/>
        <color rgb="FFF8696B"/>
        <color rgb="FFFFEB84"/>
        <color rgb="FF63BE7B"/>
      </colorScale>
    </cfRule>
    <cfRule type="colorScale" priority="328">
      <colorScale>
        <cfvo type="min"/>
        <cfvo type="percentile" val="50"/>
        <cfvo type="max"/>
        <color rgb="FFF8696B"/>
        <color rgb="FFFFEB84"/>
        <color rgb="FF63BE7B"/>
      </colorScale>
    </cfRule>
    <cfRule type="colorScale" priority="327">
      <colorScale>
        <cfvo type="min"/>
        <cfvo type="percentile" val="50"/>
        <cfvo type="max"/>
        <color rgb="FFF8696B"/>
        <color rgb="FFFFEB84"/>
        <color rgb="FF63BE7B"/>
      </colorScale>
    </cfRule>
    <cfRule type="colorScale" priority="326">
      <colorScale>
        <cfvo type="min"/>
        <cfvo type="percentile" val="50"/>
        <cfvo type="max"/>
        <color rgb="FFF8696B"/>
        <color rgb="FFFFEB84"/>
        <color rgb="FF63BE7B"/>
      </colorScale>
    </cfRule>
    <cfRule type="colorScale" priority="332">
      <colorScale>
        <cfvo type="min"/>
        <cfvo type="percentile" val="50"/>
        <cfvo type="max"/>
        <color rgb="FFF8696B"/>
        <color rgb="FFFFEB84"/>
        <color rgb="FF63BE7B"/>
      </colorScale>
    </cfRule>
  </conditionalFormatting>
  <conditionalFormatting sqref="O421:P432">
    <cfRule type="colorScale" priority="263">
      <colorScale>
        <cfvo type="min"/>
        <cfvo type="percentile" val="50"/>
        <cfvo type="max"/>
        <color rgb="FFF8696B"/>
        <color rgb="FFFFEB84"/>
        <color rgb="FF63BE7B"/>
      </colorScale>
    </cfRule>
    <cfRule type="colorScale" priority="262">
      <colorScale>
        <cfvo type="min"/>
        <cfvo type="percentile" val="50"/>
        <cfvo type="max"/>
        <color rgb="FFF8696B"/>
        <color rgb="FFFFEB84"/>
        <color rgb="FF63BE7B"/>
      </colorScale>
    </cfRule>
    <cfRule type="colorScale" priority="261">
      <colorScale>
        <cfvo type="min"/>
        <cfvo type="percentile" val="50"/>
        <cfvo type="max"/>
        <color rgb="FFF8696B"/>
        <color rgb="FFFFEB84"/>
        <color rgb="FF63BE7B"/>
      </colorScale>
    </cfRule>
    <cfRule type="colorScale" priority="260">
      <colorScale>
        <cfvo type="min"/>
        <cfvo type="percentile" val="50"/>
        <cfvo type="max"/>
        <color rgb="FFF8696B"/>
        <color rgb="FFFFEB84"/>
        <color rgb="FF63BE7B"/>
      </colorScale>
    </cfRule>
    <cfRule type="colorScale" priority="259">
      <colorScale>
        <cfvo type="min"/>
        <cfvo type="percentile" val="50"/>
        <cfvo type="max"/>
        <color rgb="FFF8696B"/>
        <color rgb="FFFFEB84"/>
        <color rgb="FF63BE7B"/>
      </colorScale>
    </cfRule>
    <cfRule type="colorScale" priority="258">
      <colorScale>
        <cfvo type="min"/>
        <cfvo type="percentile" val="50"/>
        <cfvo type="max"/>
        <color rgb="FFF8696B"/>
        <color rgb="FFFFEB84"/>
        <color rgb="FF63BE7B"/>
      </colorScale>
    </cfRule>
    <cfRule type="colorScale" priority="257">
      <colorScale>
        <cfvo type="min"/>
        <cfvo type="percentile" val="50"/>
        <cfvo type="max"/>
        <color rgb="FFF8696B"/>
        <color rgb="FFFFEB84"/>
        <color rgb="FF63BE7B"/>
      </colorScale>
    </cfRule>
    <cfRule type="colorScale" priority="256">
      <colorScale>
        <cfvo type="min"/>
        <cfvo type="percentile" val="50"/>
        <cfvo type="max"/>
        <color rgb="FFF8696B"/>
        <color rgb="FFFFEB84"/>
        <color rgb="FF63BE7B"/>
      </colorScale>
    </cfRule>
  </conditionalFormatting>
  <conditionalFormatting sqref="O433:P439">
    <cfRule type="colorScale" priority="255">
      <colorScale>
        <cfvo type="min"/>
        <cfvo type="percentile" val="50"/>
        <cfvo type="max"/>
        <color rgb="FFF8696B"/>
        <color rgb="FFFFEB84"/>
        <color rgb="FF63BE7B"/>
      </colorScale>
    </cfRule>
    <cfRule type="colorScale" priority="254">
      <colorScale>
        <cfvo type="min"/>
        <cfvo type="percentile" val="50"/>
        <cfvo type="max"/>
        <color rgb="FFF8696B"/>
        <color rgb="FFFFEB84"/>
        <color rgb="FF63BE7B"/>
      </colorScale>
    </cfRule>
    <cfRule type="colorScale" priority="253">
      <colorScale>
        <cfvo type="min"/>
        <cfvo type="percentile" val="50"/>
        <cfvo type="max"/>
        <color rgb="FFF8696B"/>
        <color rgb="FFFFEB84"/>
        <color rgb="FF63BE7B"/>
      </colorScale>
    </cfRule>
    <cfRule type="colorScale" priority="252">
      <colorScale>
        <cfvo type="min"/>
        <cfvo type="percentile" val="50"/>
        <cfvo type="max"/>
        <color rgb="FFF8696B"/>
        <color rgb="FFFFEB84"/>
        <color rgb="FF63BE7B"/>
      </colorScale>
    </cfRule>
    <cfRule type="colorScale" priority="251">
      <colorScale>
        <cfvo type="min"/>
        <cfvo type="percentile" val="50"/>
        <cfvo type="max"/>
        <color rgb="FFF8696B"/>
        <color rgb="FFFFEB84"/>
        <color rgb="FF63BE7B"/>
      </colorScale>
    </cfRule>
    <cfRule type="colorScale" priority="250">
      <colorScale>
        <cfvo type="min"/>
        <cfvo type="percentile" val="50"/>
        <cfvo type="max"/>
        <color rgb="FFF8696B"/>
        <color rgb="FFFFEB84"/>
        <color rgb="FF63BE7B"/>
      </colorScale>
    </cfRule>
  </conditionalFormatting>
  <conditionalFormatting sqref="O440:P445">
    <cfRule type="colorScale" priority="249">
      <colorScale>
        <cfvo type="min"/>
        <cfvo type="percentile" val="50"/>
        <cfvo type="max"/>
        <color rgb="FFF8696B"/>
        <color rgb="FFFFEB84"/>
        <color rgb="FF63BE7B"/>
      </colorScale>
    </cfRule>
    <cfRule type="colorScale" priority="248">
      <colorScale>
        <cfvo type="min"/>
        <cfvo type="percentile" val="50"/>
        <cfvo type="max"/>
        <color rgb="FFF8696B"/>
        <color rgb="FFFFEB84"/>
        <color rgb="FF63BE7B"/>
      </colorScale>
    </cfRule>
    <cfRule type="colorScale" priority="247">
      <colorScale>
        <cfvo type="min"/>
        <cfvo type="percentile" val="50"/>
        <cfvo type="max"/>
        <color rgb="FFF8696B"/>
        <color rgb="FFFFEB84"/>
        <color rgb="FF63BE7B"/>
      </colorScale>
    </cfRule>
    <cfRule type="colorScale" priority="246">
      <colorScale>
        <cfvo type="min"/>
        <cfvo type="percentile" val="50"/>
        <cfvo type="max"/>
        <color rgb="FFF8696B"/>
        <color rgb="FFFFEB84"/>
        <color rgb="FF63BE7B"/>
      </colorScale>
    </cfRule>
    <cfRule type="colorScale" priority="245">
      <colorScale>
        <cfvo type="min"/>
        <cfvo type="percentile" val="50"/>
        <cfvo type="max"/>
        <color rgb="FFF8696B"/>
        <color rgb="FFFFEB84"/>
        <color rgb="FF63BE7B"/>
      </colorScale>
    </cfRule>
    <cfRule type="colorScale" priority="244">
      <colorScale>
        <cfvo type="min"/>
        <cfvo type="percentile" val="50"/>
        <cfvo type="max"/>
        <color rgb="FFF8696B"/>
        <color rgb="FFFFEB84"/>
        <color rgb="FF63BE7B"/>
      </colorScale>
    </cfRule>
  </conditionalFormatting>
  <conditionalFormatting sqref="O446:P451">
    <cfRule type="colorScale" priority="243">
      <colorScale>
        <cfvo type="min"/>
        <cfvo type="percentile" val="50"/>
        <cfvo type="max"/>
        <color rgb="FFF8696B"/>
        <color rgb="FFFFEB84"/>
        <color rgb="FF63BE7B"/>
      </colorScale>
    </cfRule>
    <cfRule type="colorScale" priority="242">
      <colorScale>
        <cfvo type="min"/>
        <cfvo type="percentile" val="50"/>
        <cfvo type="max"/>
        <color rgb="FFF8696B"/>
        <color rgb="FFFFEB84"/>
        <color rgb="FF63BE7B"/>
      </colorScale>
    </cfRule>
    <cfRule type="colorScale" priority="241">
      <colorScale>
        <cfvo type="min"/>
        <cfvo type="percentile" val="50"/>
        <cfvo type="max"/>
        <color rgb="FFF8696B"/>
        <color rgb="FFFFEB84"/>
        <color rgb="FF63BE7B"/>
      </colorScale>
    </cfRule>
    <cfRule type="colorScale" priority="240">
      <colorScale>
        <cfvo type="min"/>
        <cfvo type="percentile" val="50"/>
        <cfvo type="max"/>
        <color rgb="FFF8696B"/>
        <color rgb="FFFFEB84"/>
        <color rgb="FF63BE7B"/>
      </colorScale>
    </cfRule>
    <cfRule type="colorScale" priority="239">
      <colorScale>
        <cfvo type="min"/>
        <cfvo type="percentile" val="50"/>
        <cfvo type="max"/>
        <color rgb="FFF8696B"/>
        <color rgb="FFFFEB84"/>
        <color rgb="FF63BE7B"/>
      </colorScale>
    </cfRule>
    <cfRule type="colorScale" priority="238">
      <colorScale>
        <cfvo type="min"/>
        <cfvo type="percentile" val="50"/>
        <cfvo type="max"/>
        <color rgb="FFF8696B"/>
        <color rgb="FFFFEB84"/>
        <color rgb="FF63BE7B"/>
      </colorScale>
    </cfRule>
    <cfRule type="colorScale" priority="237">
      <colorScale>
        <cfvo type="min"/>
        <cfvo type="percentile" val="50"/>
        <cfvo type="max"/>
        <color rgb="FFF8696B"/>
        <color rgb="FFFFEB84"/>
        <color rgb="FF63BE7B"/>
      </colorScale>
    </cfRule>
  </conditionalFormatting>
  <conditionalFormatting sqref="O452:P457">
    <cfRule type="colorScale" priority="236">
      <colorScale>
        <cfvo type="min"/>
        <cfvo type="percentile" val="50"/>
        <cfvo type="max"/>
        <color rgb="FFF8696B"/>
        <color rgb="FFFFEB84"/>
        <color rgb="FF63BE7B"/>
      </colorScale>
    </cfRule>
    <cfRule type="colorScale" priority="235">
      <colorScale>
        <cfvo type="min"/>
        <cfvo type="percentile" val="50"/>
        <cfvo type="max"/>
        <color rgb="FFF8696B"/>
        <color rgb="FFFFEB84"/>
        <color rgb="FF63BE7B"/>
      </colorScale>
    </cfRule>
    <cfRule type="colorScale" priority="234">
      <colorScale>
        <cfvo type="min"/>
        <cfvo type="percentile" val="50"/>
        <cfvo type="max"/>
        <color rgb="FFF8696B"/>
        <color rgb="FFFFEB84"/>
        <color rgb="FF63BE7B"/>
      </colorScale>
    </cfRule>
    <cfRule type="colorScale" priority="233">
      <colorScale>
        <cfvo type="min"/>
        <cfvo type="percentile" val="50"/>
        <cfvo type="max"/>
        <color rgb="FFF8696B"/>
        <color rgb="FFFFEB84"/>
        <color rgb="FF63BE7B"/>
      </colorScale>
    </cfRule>
    <cfRule type="colorScale" priority="232">
      <colorScale>
        <cfvo type="min"/>
        <cfvo type="percentile" val="50"/>
        <cfvo type="max"/>
        <color rgb="FFF8696B"/>
        <color rgb="FFFFEB84"/>
        <color rgb="FF63BE7B"/>
      </colorScale>
    </cfRule>
    <cfRule type="colorScale" priority="231">
      <colorScale>
        <cfvo type="min"/>
        <cfvo type="percentile" val="50"/>
        <cfvo type="max"/>
        <color rgb="FFF8696B"/>
        <color rgb="FFFFEB84"/>
        <color rgb="FF63BE7B"/>
      </colorScale>
    </cfRule>
    <cfRule type="colorScale" priority="230">
      <colorScale>
        <cfvo type="min"/>
        <cfvo type="percentile" val="50"/>
        <cfvo type="max"/>
        <color rgb="FFF8696B"/>
        <color rgb="FFFFEB84"/>
        <color rgb="FF63BE7B"/>
      </colorScale>
    </cfRule>
    <cfRule type="colorScale" priority="229">
      <colorScale>
        <cfvo type="min"/>
        <cfvo type="percentile" val="50"/>
        <cfvo type="max"/>
        <color rgb="FFF8696B"/>
        <color rgb="FFFFEB84"/>
        <color rgb="FF63BE7B"/>
      </colorScale>
    </cfRule>
  </conditionalFormatting>
  <conditionalFormatting sqref="O458:P463">
    <cfRule type="colorScale" priority="221">
      <colorScale>
        <cfvo type="min"/>
        <cfvo type="percentile" val="50"/>
        <cfvo type="max"/>
        <color rgb="FFF8696B"/>
        <color rgb="FFFFEB84"/>
        <color rgb="FF63BE7B"/>
      </colorScale>
    </cfRule>
    <cfRule type="colorScale" priority="228">
      <colorScale>
        <cfvo type="min"/>
        <cfvo type="percentile" val="50"/>
        <cfvo type="max"/>
        <color rgb="FFF8696B"/>
        <color rgb="FFFFEB84"/>
        <color rgb="FF63BE7B"/>
      </colorScale>
    </cfRule>
    <cfRule type="colorScale" priority="227">
      <colorScale>
        <cfvo type="min"/>
        <cfvo type="percentile" val="50"/>
        <cfvo type="max"/>
        <color rgb="FFF8696B"/>
        <color rgb="FFFFEB84"/>
        <color rgb="FF63BE7B"/>
      </colorScale>
    </cfRule>
    <cfRule type="colorScale" priority="225">
      <colorScale>
        <cfvo type="min"/>
        <cfvo type="percentile" val="50"/>
        <cfvo type="max"/>
        <color rgb="FFF8696B"/>
        <color rgb="FFFFEB84"/>
        <color rgb="FF63BE7B"/>
      </colorScale>
    </cfRule>
    <cfRule type="colorScale" priority="224">
      <colorScale>
        <cfvo type="min"/>
        <cfvo type="percentile" val="50"/>
        <cfvo type="max"/>
        <color rgb="FFF8696B"/>
        <color rgb="FFFFEB84"/>
        <color rgb="FF63BE7B"/>
      </colorScale>
    </cfRule>
    <cfRule type="colorScale" priority="223">
      <colorScale>
        <cfvo type="min"/>
        <cfvo type="percentile" val="50"/>
        <cfvo type="max"/>
        <color rgb="FFF8696B"/>
        <color rgb="FFFFEB84"/>
        <color rgb="FF63BE7B"/>
      </colorScale>
    </cfRule>
    <cfRule type="colorScale" priority="222">
      <colorScale>
        <cfvo type="min"/>
        <cfvo type="percentile" val="50"/>
        <cfvo type="max"/>
        <color rgb="FFF8696B"/>
        <color rgb="FFFFEB84"/>
        <color rgb="FF63BE7B"/>
      </colorScale>
    </cfRule>
    <cfRule type="colorScale" priority="220">
      <colorScale>
        <cfvo type="min"/>
        <cfvo type="percentile" val="50"/>
        <cfvo type="max"/>
        <color rgb="FFF8696B"/>
        <color rgb="FFFFEB84"/>
        <color rgb="FF63BE7B"/>
      </colorScale>
    </cfRule>
    <cfRule type="colorScale" priority="226">
      <colorScale>
        <cfvo type="min"/>
        <cfvo type="percentile" val="50"/>
        <cfvo type="max"/>
        <color rgb="FFF8696B"/>
        <color rgb="FFFFEB84"/>
        <color rgb="FF63BE7B"/>
      </colorScale>
    </cfRule>
  </conditionalFormatting>
  <conditionalFormatting sqref="O464:P469">
    <cfRule type="colorScale" priority="211">
      <colorScale>
        <cfvo type="min"/>
        <cfvo type="percentile" val="50"/>
        <cfvo type="max"/>
        <color rgb="FFF8696B"/>
        <color rgb="FFFFEB84"/>
        <color rgb="FF63BE7B"/>
      </colorScale>
    </cfRule>
    <cfRule type="colorScale" priority="212">
      <colorScale>
        <cfvo type="min"/>
        <cfvo type="percentile" val="50"/>
        <cfvo type="max"/>
        <color rgb="FFF8696B"/>
        <color rgb="FFFFEB84"/>
        <color rgb="FF63BE7B"/>
      </colorScale>
    </cfRule>
    <cfRule type="colorScale" priority="213">
      <colorScale>
        <cfvo type="min"/>
        <cfvo type="percentile" val="50"/>
        <cfvo type="max"/>
        <color rgb="FFF8696B"/>
        <color rgb="FFFFEB84"/>
        <color rgb="FF63BE7B"/>
      </colorScale>
    </cfRule>
    <cfRule type="colorScale" priority="214">
      <colorScale>
        <cfvo type="min"/>
        <cfvo type="percentile" val="50"/>
        <cfvo type="max"/>
        <color rgb="FFF8696B"/>
        <color rgb="FFFFEB84"/>
        <color rgb="FF63BE7B"/>
      </colorScale>
    </cfRule>
    <cfRule type="colorScale" priority="215">
      <colorScale>
        <cfvo type="min"/>
        <cfvo type="percentile" val="50"/>
        <cfvo type="max"/>
        <color rgb="FFF8696B"/>
        <color rgb="FFFFEB84"/>
        <color rgb="FF63BE7B"/>
      </colorScale>
    </cfRule>
    <cfRule type="colorScale" priority="216">
      <colorScale>
        <cfvo type="min"/>
        <cfvo type="percentile" val="50"/>
        <cfvo type="max"/>
        <color rgb="FFF8696B"/>
        <color rgb="FFFFEB84"/>
        <color rgb="FF63BE7B"/>
      </colorScale>
    </cfRule>
    <cfRule type="colorScale" priority="217">
      <colorScale>
        <cfvo type="min"/>
        <cfvo type="percentile" val="50"/>
        <cfvo type="max"/>
        <color rgb="FFF8696B"/>
        <color rgb="FFFFEB84"/>
        <color rgb="FF63BE7B"/>
      </colorScale>
    </cfRule>
    <cfRule type="colorScale" priority="218">
      <colorScale>
        <cfvo type="min"/>
        <cfvo type="percentile" val="50"/>
        <cfvo type="max"/>
        <color rgb="FFF8696B"/>
        <color rgb="FFFFEB84"/>
        <color rgb="FF63BE7B"/>
      </colorScale>
    </cfRule>
  </conditionalFormatting>
  <conditionalFormatting sqref="O464:P475">
    <cfRule type="colorScale" priority="219">
      <colorScale>
        <cfvo type="min"/>
        <cfvo type="percentile" val="50"/>
        <cfvo type="max"/>
        <color rgb="FFF8696B"/>
        <color rgb="FFFFEB84"/>
        <color rgb="FF63BE7B"/>
      </colorScale>
    </cfRule>
  </conditionalFormatting>
  <conditionalFormatting sqref="O470:P475">
    <cfRule type="colorScale" priority="203">
      <colorScale>
        <cfvo type="min"/>
        <cfvo type="percentile" val="50"/>
        <cfvo type="max"/>
        <color rgb="FFF8696B"/>
        <color rgb="FFFFEB84"/>
        <color rgb="FF63BE7B"/>
      </colorScale>
    </cfRule>
    <cfRule type="colorScale" priority="205">
      <colorScale>
        <cfvo type="min"/>
        <cfvo type="percentile" val="50"/>
        <cfvo type="max"/>
        <color rgb="FFF8696B"/>
        <color rgb="FFFFEB84"/>
        <color rgb="FF63BE7B"/>
      </colorScale>
    </cfRule>
    <cfRule type="colorScale" priority="204">
      <colorScale>
        <cfvo type="min"/>
        <cfvo type="percentile" val="50"/>
        <cfvo type="max"/>
        <color rgb="FFF8696B"/>
        <color rgb="FFFFEB84"/>
        <color rgb="FF63BE7B"/>
      </colorScale>
    </cfRule>
    <cfRule type="colorScale" priority="210">
      <colorScale>
        <cfvo type="min"/>
        <cfvo type="percentile" val="50"/>
        <cfvo type="max"/>
        <color rgb="FFF8696B"/>
        <color rgb="FFFFEB84"/>
        <color rgb="FF63BE7B"/>
      </colorScale>
    </cfRule>
    <cfRule type="colorScale" priority="202">
      <colorScale>
        <cfvo type="min"/>
        <cfvo type="percentile" val="50"/>
        <cfvo type="max"/>
        <color rgb="FFF8696B"/>
        <color rgb="FFFFEB84"/>
        <color rgb="FF63BE7B"/>
      </colorScale>
    </cfRule>
    <cfRule type="colorScale" priority="209">
      <colorScale>
        <cfvo type="min"/>
        <cfvo type="percentile" val="50"/>
        <cfvo type="max"/>
        <color rgb="FFF8696B"/>
        <color rgb="FFFFEB84"/>
        <color rgb="FF63BE7B"/>
      </colorScale>
    </cfRule>
    <cfRule type="colorScale" priority="208">
      <colorScale>
        <cfvo type="min"/>
        <cfvo type="percentile" val="50"/>
        <cfvo type="max"/>
        <color rgb="FFF8696B"/>
        <color rgb="FFFFEB84"/>
        <color rgb="FF63BE7B"/>
      </colorScale>
    </cfRule>
    <cfRule type="colorScale" priority="207">
      <colorScale>
        <cfvo type="min"/>
        <cfvo type="percentile" val="50"/>
        <cfvo type="max"/>
        <color rgb="FFF8696B"/>
        <color rgb="FFFFEB84"/>
        <color rgb="FF63BE7B"/>
      </colorScale>
    </cfRule>
    <cfRule type="colorScale" priority="206">
      <colorScale>
        <cfvo type="min"/>
        <cfvo type="percentile" val="50"/>
        <cfvo type="max"/>
        <color rgb="FFF8696B"/>
        <color rgb="FFFFEB84"/>
        <color rgb="FF63BE7B"/>
      </colorScale>
    </cfRule>
  </conditionalFormatting>
  <conditionalFormatting sqref="O476:P481">
    <cfRule type="colorScale" priority="199">
      <colorScale>
        <cfvo type="min"/>
        <cfvo type="percentile" val="50"/>
        <cfvo type="max"/>
        <color rgb="FFF8696B"/>
        <color rgb="FFFFEB84"/>
        <color rgb="FF63BE7B"/>
      </colorScale>
    </cfRule>
    <cfRule type="colorScale" priority="196">
      <colorScale>
        <cfvo type="min"/>
        <cfvo type="percentile" val="50"/>
        <cfvo type="max"/>
        <color rgb="FFF8696B"/>
        <color rgb="FFFFEB84"/>
        <color rgb="FF63BE7B"/>
      </colorScale>
    </cfRule>
    <cfRule type="colorScale" priority="195">
      <colorScale>
        <cfvo type="min"/>
        <cfvo type="percentile" val="50"/>
        <cfvo type="max"/>
        <color rgb="FFF8696B"/>
        <color rgb="FFFFEB84"/>
        <color rgb="FF63BE7B"/>
      </colorScale>
    </cfRule>
    <cfRule type="colorScale" priority="197">
      <colorScale>
        <cfvo type="min"/>
        <cfvo type="percentile" val="50"/>
        <cfvo type="max"/>
        <color rgb="FFF8696B"/>
        <color rgb="FFFFEB84"/>
        <color rgb="FF63BE7B"/>
      </colorScale>
    </cfRule>
    <cfRule type="colorScale" priority="194">
      <colorScale>
        <cfvo type="min"/>
        <cfvo type="percentile" val="50"/>
        <cfvo type="max"/>
        <color rgb="FFF8696B"/>
        <color rgb="FFFFEB84"/>
        <color rgb="FF63BE7B"/>
      </colorScale>
    </cfRule>
    <cfRule type="colorScale" priority="193">
      <colorScale>
        <cfvo type="min"/>
        <cfvo type="percentile" val="50"/>
        <cfvo type="max"/>
        <color rgb="FFF8696B"/>
        <color rgb="FFFFEB84"/>
        <color rgb="FF63BE7B"/>
      </colorScale>
    </cfRule>
    <cfRule type="colorScale" priority="192">
      <colorScale>
        <cfvo type="min"/>
        <cfvo type="percentile" val="50"/>
        <cfvo type="max"/>
        <color rgb="FFF8696B"/>
        <color rgb="FFFFEB84"/>
        <color rgb="FF63BE7B"/>
      </colorScale>
    </cfRule>
    <cfRule type="colorScale" priority="198">
      <colorScale>
        <cfvo type="min"/>
        <cfvo type="percentile" val="50"/>
        <cfvo type="max"/>
        <color rgb="FFF8696B"/>
        <color rgb="FFFFEB84"/>
        <color rgb="FF63BE7B"/>
      </colorScale>
    </cfRule>
  </conditionalFormatting>
  <conditionalFormatting sqref="O476:P489">
    <cfRule type="colorScale" priority="200">
      <colorScale>
        <cfvo type="min"/>
        <cfvo type="percentile" val="50"/>
        <cfvo type="max"/>
        <color rgb="FFF8696B"/>
        <color rgb="FFFFEB84"/>
        <color rgb="FF63BE7B"/>
      </colorScale>
    </cfRule>
    <cfRule type="colorScale" priority="201">
      <colorScale>
        <cfvo type="min"/>
        <cfvo type="percentile" val="50"/>
        <cfvo type="max"/>
        <color rgb="FFF8696B"/>
        <color rgb="FFFFEB84"/>
        <color rgb="FF63BE7B"/>
      </colorScale>
    </cfRule>
  </conditionalFormatting>
  <conditionalFormatting sqref="O482:P489">
    <cfRule type="colorScale" priority="185">
      <colorScale>
        <cfvo type="min"/>
        <cfvo type="percentile" val="50"/>
        <cfvo type="max"/>
        <color rgb="FFF8696B"/>
        <color rgb="FFFFEB84"/>
        <color rgb="FF63BE7B"/>
      </colorScale>
    </cfRule>
    <cfRule type="colorScale" priority="183">
      <colorScale>
        <cfvo type="min"/>
        <cfvo type="percentile" val="50"/>
        <cfvo type="max"/>
        <color rgb="FFF8696B"/>
        <color rgb="FFFFEB84"/>
        <color rgb="FF63BE7B"/>
      </colorScale>
    </cfRule>
    <cfRule type="colorScale" priority="184">
      <colorScale>
        <cfvo type="min"/>
        <cfvo type="percentile" val="50"/>
        <cfvo type="max"/>
        <color rgb="FFF8696B"/>
        <color rgb="FFFFEB84"/>
        <color rgb="FF63BE7B"/>
      </colorScale>
    </cfRule>
    <cfRule type="colorScale" priority="186">
      <colorScale>
        <cfvo type="min"/>
        <cfvo type="percentile" val="50"/>
        <cfvo type="max"/>
        <color rgb="FFF8696B"/>
        <color rgb="FFFFEB84"/>
        <color rgb="FF63BE7B"/>
      </colorScale>
    </cfRule>
    <cfRule type="colorScale" priority="191">
      <colorScale>
        <cfvo type="min"/>
        <cfvo type="percentile" val="50"/>
        <cfvo type="max"/>
        <color rgb="FFF8696B"/>
        <color rgb="FFFFEB84"/>
        <color rgb="FF63BE7B"/>
      </colorScale>
    </cfRule>
    <cfRule type="colorScale" priority="190">
      <colorScale>
        <cfvo type="min"/>
        <cfvo type="percentile" val="50"/>
        <cfvo type="max"/>
        <color rgb="FFF8696B"/>
        <color rgb="FFFFEB84"/>
        <color rgb="FF63BE7B"/>
      </colorScale>
    </cfRule>
    <cfRule type="colorScale" priority="189">
      <colorScale>
        <cfvo type="min"/>
        <cfvo type="percentile" val="50"/>
        <cfvo type="max"/>
        <color rgb="FFF8696B"/>
        <color rgb="FFFFEB84"/>
        <color rgb="FF63BE7B"/>
      </colorScale>
    </cfRule>
    <cfRule type="colorScale" priority="188">
      <colorScale>
        <cfvo type="min"/>
        <cfvo type="percentile" val="50"/>
        <cfvo type="max"/>
        <color rgb="FFF8696B"/>
        <color rgb="FFFFEB84"/>
        <color rgb="FF63BE7B"/>
      </colorScale>
    </cfRule>
    <cfRule type="colorScale" priority="187">
      <colorScale>
        <cfvo type="min"/>
        <cfvo type="percentile" val="50"/>
        <cfvo type="max"/>
        <color rgb="FFF8696B"/>
        <color rgb="FFFFEB84"/>
        <color rgb="FF63BE7B"/>
      </colorScale>
    </cfRule>
  </conditionalFormatting>
  <conditionalFormatting sqref="O490:P490">
    <cfRule type="colorScale" priority="182">
      <colorScale>
        <cfvo type="min"/>
        <cfvo type="percentile" val="50"/>
        <cfvo type="max"/>
        <color rgb="FFF8696B"/>
        <color rgb="FFFFEB84"/>
        <color rgb="FF63BE7B"/>
      </colorScale>
    </cfRule>
  </conditionalFormatting>
  <conditionalFormatting sqref="O491:P496">
    <cfRule type="colorScale" priority="176">
      <colorScale>
        <cfvo type="min"/>
        <cfvo type="percentile" val="50"/>
        <cfvo type="max"/>
        <color rgb="FFF8696B"/>
        <color rgb="FFFFEB84"/>
        <color rgb="FF63BE7B"/>
      </colorScale>
    </cfRule>
    <cfRule type="colorScale" priority="177">
      <colorScale>
        <cfvo type="min"/>
        <cfvo type="percentile" val="50"/>
        <cfvo type="max"/>
        <color rgb="FFF8696B"/>
        <color rgb="FFFFEB84"/>
        <color rgb="FF63BE7B"/>
      </colorScale>
    </cfRule>
    <cfRule type="colorScale" priority="178">
      <colorScale>
        <cfvo type="min"/>
        <cfvo type="percentile" val="50"/>
        <cfvo type="max"/>
        <color rgb="FFF8696B"/>
        <color rgb="FFFFEB84"/>
        <color rgb="FF63BE7B"/>
      </colorScale>
    </cfRule>
    <cfRule type="colorScale" priority="179">
      <colorScale>
        <cfvo type="min"/>
        <cfvo type="percentile" val="50"/>
        <cfvo type="max"/>
        <color rgb="FFF8696B"/>
        <color rgb="FFFFEB84"/>
        <color rgb="FF63BE7B"/>
      </colorScale>
    </cfRule>
    <cfRule type="colorScale" priority="180">
      <colorScale>
        <cfvo type="min"/>
        <cfvo type="percentile" val="50"/>
        <cfvo type="max"/>
        <color rgb="FFF8696B"/>
        <color rgb="FFFFEB84"/>
        <color rgb="FF63BE7B"/>
      </colorScale>
    </cfRule>
    <cfRule type="colorScale" priority="181">
      <colorScale>
        <cfvo type="min"/>
        <cfvo type="percentile" val="50"/>
        <cfvo type="max"/>
        <color rgb="FFF8696B"/>
        <color rgb="FFFFEB84"/>
        <color rgb="FF63BE7B"/>
      </colorScale>
    </cfRule>
    <cfRule type="colorScale" priority="174">
      <colorScale>
        <cfvo type="min"/>
        <cfvo type="percentile" val="50"/>
        <cfvo type="max"/>
        <color rgb="FFF8696B"/>
        <color rgb="FFFFEB84"/>
        <color rgb="FF63BE7B"/>
      </colorScale>
    </cfRule>
    <cfRule type="colorScale" priority="175">
      <colorScale>
        <cfvo type="min"/>
        <cfvo type="percentile" val="50"/>
        <cfvo type="max"/>
        <color rgb="FFF8696B"/>
        <color rgb="FFFFEB84"/>
        <color rgb="FF63BE7B"/>
      </colorScale>
    </cfRule>
  </conditionalFormatting>
  <conditionalFormatting sqref="O491:P497">
    <cfRule type="colorScale" priority="344">
      <colorScale>
        <cfvo type="min"/>
        <cfvo type="percentile" val="50"/>
        <cfvo type="max"/>
        <color rgb="FFF8696B"/>
        <color rgb="FFFFEB84"/>
        <color rgb="FF63BE7B"/>
      </colorScale>
    </cfRule>
    <cfRule type="colorScale" priority="343">
      <colorScale>
        <cfvo type="min"/>
        <cfvo type="percentile" val="50"/>
        <cfvo type="max"/>
        <color rgb="FFF8696B"/>
        <color rgb="FFFFEB84"/>
        <color rgb="FF63BE7B"/>
      </colorScale>
    </cfRule>
    <cfRule type="colorScale" priority="345">
      <colorScale>
        <cfvo type="min"/>
        <cfvo type="percentile" val="50"/>
        <cfvo type="max"/>
        <color rgb="FFF8696B"/>
        <color rgb="FFFFEB84"/>
        <color rgb="FF63BE7B"/>
      </colorScale>
    </cfRule>
  </conditionalFormatting>
  <conditionalFormatting sqref="O497:P497">
    <cfRule type="colorScale" priority="168">
      <colorScale>
        <cfvo type="min"/>
        <cfvo type="percentile" val="50"/>
        <cfvo type="max"/>
        <color rgb="FFF8696B"/>
        <color rgb="FFFFEB84"/>
        <color rgb="FF63BE7B"/>
      </colorScale>
    </cfRule>
    <cfRule type="colorScale" priority="167">
      <colorScale>
        <cfvo type="min"/>
        <cfvo type="percentile" val="50"/>
        <cfvo type="max"/>
        <color rgb="FFF8696B"/>
        <color rgb="FFFFEB84"/>
        <color rgb="FF63BE7B"/>
      </colorScale>
    </cfRule>
    <cfRule type="colorScale" priority="166">
      <colorScale>
        <cfvo type="min"/>
        <cfvo type="percentile" val="50"/>
        <cfvo type="max"/>
        <color rgb="FFF8696B"/>
        <color rgb="FFFFEB84"/>
        <color rgb="FF63BE7B"/>
      </colorScale>
    </cfRule>
    <cfRule type="colorScale" priority="165">
      <colorScale>
        <cfvo type="min"/>
        <cfvo type="percentile" val="50"/>
        <cfvo type="max"/>
        <color rgb="FFF8696B"/>
        <color rgb="FFFFEB84"/>
        <color rgb="FF63BE7B"/>
      </colorScale>
    </cfRule>
    <cfRule type="colorScale" priority="173">
      <colorScale>
        <cfvo type="min"/>
        <cfvo type="percentile" val="50"/>
        <cfvo type="max"/>
        <color rgb="FFF8696B"/>
        <color rgb="FFFFEB84"/>
        <color rgb="FF63BE7B"/>
      </colorScale>
    </cfRule>
    <cfRule type="colorScale" priority="172">
      <colorScale>
        <cfvo type="min"/>
        <cfvo type="percentile" val="50"/>
        <cfvo type="max"/>
        <color rgb="FFF8696B"/>
        <color rgb="FFFFEB84"/>
        <color rgb="FF63BE7B"/>
      </colorScale>
    </cfRule>
    <cfRule type="colorScale" priority="171">
      <colorScale>
        <cfvo type="min"/>
        <cfvo type="percentile" val="50"/>
        <cfvo type="max"/>
        <color rgb="FFF8696B"/>
        <color rgb="FFFFEB84"/>
        <color rgb="FF63BE7B"/>
      </colorScale>
    </cfRule>
    <cfRule type="colorScale" priority="170">
      <colorScale>
        <cfvo type="min"/>
        <cfvo type="percentile" val="50"/>
        <cfvo type="max"/>
        <color rgb="FFF8696B"/>
        <color rgb="FFFFEB84"/>
        <color rgb="FF63BE7B"/>
      </colorScale>
    </cfRule>
    <cfRule type="colorScale" priority="169">
      <colorScale>
        <cfvo type="min"/>
        <cfvo type="percentile" val="50"/>
        <cfvo type="max"/>
        <color rgb="FFF8696B"/>
        <color rgb="FFFFEB84"/>
        <color rgb="FF63BE7B"/>
      </colorScale>
    </cfRule>
  </conditionalFormatting>
  <conditionalFormatting sqref="O498:P498">
    <cfRule type="colorScale" priority="152">
      <colorScale>
        <cfvo type="min"/>
        <cfvo type="percentile" val="50"/>
        <cfvo type="max"/>
        <color rgb="FFF8696B"/>
        <color rgb="FFFFEB84"/>
        <color rgb="FF63BE7B"/>
      </colorScale>
    </cfRule>
    <cfRule type="colorScale" priority="153">
      <colorScale>
        <cfvo type="min"/>
        <cfvo type="percentile" val="50"/>
        <cfvo type="max"/>
        <color rgb="FFF8696B"/>
        <color rgb="FFFFEB84"/>
        <color rgb="FF63BE7B"/>
      </colorScale>
    </cfRule>
    <cfRule type="colorScale" priority="154">
      <colorScale>
        <cfvo type="min"/>
        <cfvo type="percentile" val="50"/>
        <cfvo type="max"/>
        <color rgb="FFF8696B"/>
        <color rgb="FFFFEB84"/>
        <color rgb="FF63BE7B"/>
      </colorScale>
    </cfRule>
    <cfRule type="colorScale" priority="155">
      <colorScale>
        <cfvo type="min"/>
        <cfvo type="percentile" val="50"/>
        <cfvo type="max"/>
        <color rgb="FFF8696B"/>
        <color rgb="FFFFEB84"/>
        <color rgb="FF63BE7B"/>
      </colorScale>
    </cfRule>
    <cfRule type="colorScale" priority="156">
      <colorScale>
        <cfvo type="min"/>
        <cfvo type="percentile" val="50"/>
        <cfvo type="max"/>
        <color rgb="FFF8696B"/>
        <color rgb="FFFFEB84"/>
        <color rgb="FF63BE7B"/>
      </colorScale>
    </cfRule>
    <cfRule type="colorScale" priority="161">
      <colorScale>
        <cfvo type="min"/>
        <cfvo type="percentile" val="50"/>
        <cfvo type="max"/>
        <color rgb="FFF8696B"/>
        <color rgb="FFFFEB84"/>
        <color rgb="FF63BE7B"/>
      </colorScale>
    </cfRule>
    <cfRule type="colorScale" priority="164">
      <colorScale>
        <cfvo type="min"/>
        <cfvo type="percentile" val="50"/>
        <cfvo type="max"/>
        <color rgb="FFF8696B"/>
        <color rgb="FFFFEB84"/>
        <color rgb="FF63BE7B"/>
      </colorScale>
    </cfRule>
    <cfRule type="colorScale" priority="157">
      <colorScale>
        <cfvo type="min"/>
        <cfvo type="percentile" val="50"/>
        <cfvo type="max"/>
        <color rgb="FFF8696B"/>
        <color rgb="FFFFEB84"/>
        <color rgb="FF63BE7B"/>
      </colorScale>
    </cfRule>
    <cfRule type="colorScale" priority="163">
      <colorScale>
        <cfvo type="min"/>
        <cfvo type="percentile" val="50"/>
        <cfvo type="max"/>
        <color rgb="FFF8696B"/>
        <color rgb="FFFFEB84"/>
        <color rgb="FF63BE7B"/>
      </colorScale>
    </cfRule>
    <cfRule type="colorScale" priority="160">
      <colorScale>
        <cfvo type="min"/>
        <cfvo type="percentile" val="50"/>
        <cfvo type="max"/>
        <color rgb="FFF8696B"/>
        <color rgb="FFFFEB84"/>
        <color rgb="FF63BE7B"/>
      </colorScale>
    </cfRule>
    <cfRule type="colorScale" priority="159">
      <colorScale>
        <cfvo type="min"/>
        <cfvo type="percentile" val="50"/>
        <cfvo type="max"/>
        <color rgb="FFF8696B"/>
        <color rgb="FFFFEB84"/>
        <color rgb="FF63BE7B"/>
      </colorScale>
    </cfRule>
    <cfRule type="colorScale" priority="162">
      <colorScale>
        <cfvo type="min"/>
        <cfvo type="percentile" val="50"/>
        <cfvo type="max"/>
        <color rgb="FFF8696B"/>
        <color rgb="FFFFEB84"/>
        <color rgb="FF63BE7B"/>
      </colorScale>
    </cfRule>
    <cfRule type="colorScale" priority="158">
      <colorScale>
        <cfvo type="min"/>
        <cfvo type="percentile" val="50"/>
        <cfvo type="max"/>
        <color rgb="FFF8696B"/>
        <color rgb="FFFFEB84"/>
        <color rgb="FF63BE7B"/>
      </colorScale>
    </cfRule>
  </conditionalFormatting>
  <conditionalFormatting sqref="O499:P499">
    <cfRule type="colorScale" priority="150">
      <colorScale>
        <cfvo type="min"/>
        <cfvo type="percentile" val="50"/>
        <cfvo type="max"/>
        <color rgb="FFF8696B"/>
        <color rgb="FFFFEB84"/>
        <color rgb="FF63BE7B"/>
      </colorScale>
    </cfRule>
    <cfRule type="colorScale" priority="151">
      <colorScale>
        <cfvo type="min"/>
        <cfvo type="percentile" val="50"/>
        <cfvo type="max"/>
        <color rgb="FFF8696B"/>
        <color rgb="FFFFEB84"/>
        <color rgb="FF63BE7B"/>
      </colorScale>
    </cfRule>
    <cfRule type="colorScale" priority="145">
      <colorScale>
        <cfvo type="min"/>
        <cfvo type="percentile" val="50"/>
        <cfvo type="max"/>
        <color rgb="FFF8696B"/>
        <color rgb="FFFFEB84"/>
        <color rgb="FF63BE7B"/>
      </colorScale>
    </cfRule>
    <cfRule type="colorScale" priority="149">
      <colorScale>
        <cfvo type="min"/>
        <cfvo type="percentile" val="50"/>
        <cfvo type="max"/>
        <color rgb="FFF8696B"/>
        <color rgb="FFFFEB84"/>
        <color rgb="FF63BE7B"/>
      </colorScale>
    </cfRule>
    <cfRule type="colorScale" priority="148">
      <colorScale>
        <cfvo type="min"/>
        <cfvo type="percentile" val="50"/>
        <cfvo type="max"/>
        <color rgb="FFF8696B"/>
        <color rgb="FFFFEB84"/>
        <color rgb="FF63BE7B"/>
      </colorScale>
    </cfRule>
    <cfRule type="colorScale" priority="147">
      <colorScale>
        <cfvo type="min"/>
        <cfvo type="percentile" val="50"/>
        <cfvo type="max"/>
        <color rgb="FFF8696B"/>
        <color rgb="FFFFEB84"/>
        <color rgb="FF63BE7B"/>
      </colorScale>
    </cfRule>
    <cfRule type="colorScale" priority="146">
      <colorScale>
        <cfvo type="min"/>
        <cfvo type="percentile" val="50"/>
        <cfvo type="max"/>
        <color rgb="FFF8696B"/>
        <color rgb="FFFFEB84"/>
        <color rgb="FF63BE7B"/>
      </colorScale>
    </cfRule>
    <cfRule type="colorScale" priority="144">
      <colorScale>
        <cfvo type="min"/>
        <cfvo type="percentile" val="50"/>
        <cfvo type="max"/>
        <color rgb="FFF8696B"/>
        <color rgb="FFFFEB84"/>
        <color rgb="FF63BE7B"/>
      </colorScale>
    </cfRule>
    <cfRule type="colorScale" priority="143">
      <colorScale>
        <cfvo type="min"/>
        <cfvo type="percentile" val="50"/>
        <cfvo type="max"/>
        <color rgb="FFF8696B"/>
        <color rgb="FFFFEB84"/>
        <color rgb="FF63BE7B"/>
      </colorScale>
    </cfRule>
    <cfRule type="colorScale" priority="142">
      <colorScale>
        <cfvo type="min"/>
        <cfvo type="percentile" val="50"/>
        <cfvo type="max"/>
        <color rgb="FFF8696B"/>
        <color rgb="FFFFEB84"/>
        <color rgb="FF63BE7B"/>
      </colorScale>
    </cfRule>
    <cfRule type="colorScale" priority="141">
      <colorScale>
        <cfvo type="min"/>
        <cfvo type="percentile" val="50"/>
        <cfvo type="max"/>
        <color rgb="FFF8696B"/>
        <color rgb="FFFFEB84"/>
        <color rgb="FF63BE7B"/>
      </colorScale>
    </cfRule>
    <cfRule type="colorScale" priority="140">
      <colorScale>
        <cfvo type="min"/>
        <cfvo type="percentile" val="50"/>
        <cfvo type="max"/>
        <color rgb="FFF8696B"/>
        <color rgb="FFFFEB84"/>
        <color rgb="FF63BE7B"/>
      </colorScale>
    </cfRule>
    <cfRule type="colorScale" priority="139">
      <colorScale>
        <cfvo type="min"/>
        <cfvo type="percentile" val="50"/>
        <cfvo type="max"/>
        <color rgb="FFF8696B"/>
        <color rgb="FFFFEB84"/>
        <color rgb="FF63BE7B"/>
      </colorScale>
    </cfRule>
  </conditionalFormatting>
  <conditionalFormatting sqref="O500:P501 P502:P514 O502:O515">
    <cfRule type="colorScale" priority="339">
      <colorScale>
        <cfvo type="min"/>
        <cfvo type="percentile" val="50"/>
        <cfvo type="max"/>
        <color rgb="FFF8696B"/>
        <color rgb="FFFFEB84"/>
        <color rgb="FF63BE7B"/>
      </colorScale>
    </cfRule>
    <cfRule type="colorScale" priority="338">
      <colorScale>
        <cfvo type="min"/>
        <cfvo type="percentile" val="50"/>
        <cfvo type="max"/>
        <color rgb="FFF8696B"/>
        <color rgb="FFFFEB84"/>
        <color rgb="FF63BE7B"/>
      </colorScale>
    </cfRule>
    <cfRule type="colorScale" priority="337">
      <colorScale>
        <cfvo type="min"/>
        <cfvo type="percentile" val="50"/>
        <cfvo type="max"/>
        <color rgb="FFF8696B"/>
        <color rgb="FFFFEB84"/>
        <color rgb="FF63BE7B"/>
      </colorScale>
    </cfRule>
    <cfRule type="colorScale" priority="334">
      <colorScale>
        <cfvo type="min"/>
        <cfvo type="percentile" val="50"/>
        <cfvo type="max"/>
        <color rgb="FFF8696B"/>
        <color rgb="FFFFEB84"/>
        <color rgb="FF63BE7B"/>
      </colorScale>
    </cfRule>
    <cfRule type="colorScale" priority="335">
      <colorScale>
        <cfvo type="min"/>
        <cfvo type="percentile" val="50"/>
        <cfvo type="max"/>
        <color rgb="FFF8696B"/>
        <color rgb="FFFFEB84"/>
        <color rgb="FF63BE7B"/>
      </colorScale>
    </cfRule>
    <cfRule type="colorScale" priority="336">
      <colorScale>
        <cfvo type="min"/>
        <cfvo type="percentile" val="50"/>
        <cfvo type="max"/>
        <color rgb="FFF8696B"/>
        <color rgb="FFFFEB84"/>
        <color rgb="FF63BE7B"/>
      </colorScale>
    </cfRule>
    <cfRule type="colorScale" priority="342">
      <colorScale>
        <cfvo type="min"/>
        <cfvo type="percentile" val="50"/>
        <cfvo type="max"/>
        <color rgb="FFF8696B"/>
        <color rgb="FFFFEB84"/>
        <color rgb="FF63BE7B"/>
      </colorScale>
    </cfRule>
    <cfRule type="colorScale" priority="341">
      <colorScale>
        <cfvo type="min"/>
        <cfvo type="percentile" val="50"/>
        <cfvo type="max"/>
        <color rgb="FFF8696B"/>
        <color rgb="FFFFEB84"/>
        <color rgb="FF63BE7B"/>
      </colorScale>
    </cfRule>
    <cfRule type="colorScale" priority="340">
      <colorScale>
        <cfvo type="min"/>
        <cfvo type="percentile" val="50"/>
        <cfvo type="max"/>
        <color rgb="FFF8696B"/>
        <color rgb="FFFFEB84"/>
        <color rgb="FF63BE7B"/>
      </colorScale>
    </cfRule>
  </conditionalFormatting>
  <conditionalFormatting sqref="O516:P519 P520:P530 O520:O531">
    <cfRule type="colorScale" priority="119">
      <colorScale>
        <cfvo type="min"/>
        <cfvo type="percentile" val="50"/>
        <cfvo type="max"/>
        <color rgb="FFF8696B"/>
        <color rgb="FFFFEB84"/>
        <color rgb="FF63BE7B"/>
      </colorScale>
    </cfRule>
    <cfRule type="colorScale" priority="120">
      <colorScale>
        <cfvo type="min"/>
        <cfvo type="percentile" val="50"/>
        <cfvo type="max"/>
        <color rgb="FFF8696B"/>
        <color rgb="FFFFEB84"/>
        <color rgb="FF63BE7B"/>
      </colorScale>
    </cfRule>
    <cfRule type="colorScale" priority="121">
      <colorScale>
        <cfvo type="min"/>
        <cfvo type="percentile" val="50"/>
        <cfvo type="max"/>
        <color rgb="FFF8696B"/>
        <color rgb="FFFFEB84"/>
        <color rgb="FF63BE7B"/>
      </colorScale>
    </cfRule>
    <cfRule type="colorScale" priority="122">
      <colorScale>
        <cfvo type="min"/>
        <cfvo type="percentile" val="50"/>
        <cfvo type="max"/>
        <color rgb="FFF8696B"/>
        <color rgb="FFFFEB84"/>
        <color rgb="FF63BE7B"/>
      </colorScale>
    </cfRule>
    <cfRule type="colorScale" priority="123">
      <colorScale>
        <cfvo type="min"/>
        <cfvo type="percentile" val="50"/>
        <cfvo type="max"/>
        <color rgb="FFF8696B"/>
        <color rgb="FFFFEB84"/>
        <color rgb="FF63BE7B"/>
      </colorScale>
    </cfRule>
    <cfRule type="colorScale" priority="124">
      <colorScale>
        <cfvo type="min"/>
        <cfvo type="percentile" val="50"/>
        <cfvo type="max"/>
        <color rgb="FFF8696B"/>
        <color rgb="FFFFEB84"/>
        <color rgb="FF63BE7B"/>
      </colorScale>
    </cfRule>
    <cfRule type="colorScale" priority="125">
      <colorScale>
        <cfvo type="min"/>
        <cfvo type="percentile" val="50"/>
        <cfvo type="max"/>
        <color rgb="FFF8696B"/>
        <color rgb="FFFFEB84"/>
        <color rgb="FF63BE7B"/>
      </colorScale>
    </cfRule>
    <cfRule type="colorScale" priority="127">
      <colorScale>
        <cfvo type="min"/>
        <cfvo type="percentile" val="50"/>
        <cfvo type="max"/>
        <color rgb="FFF8696B"/>
        <color rgb="FFFFEB84"/>
        <color rgb="FF63BE7B"/>
      </colorScale>
    </cfRule>
    <cfRule type="colorScale" priority="126">
      <colorScale>
        <cfvo type="min"/>
        <cfvo type="percentile" val="50"/>
        <cfvo type="max"/>
        <color rgb="FFF8696B"/>
        <color rgb="FFFFEB84"/>
        <color rgb="FF63BE7B"/>
      </colorScale>
    </cfRule>
    <cfRule type="colorScale" priority="128">
      <colorScale>
        <cfvo type="min"/>
        <cfvo type="percentile" val="50"/>
        <cfvo type="max"/>
        <color rgb="FFF8696B"/>
        <color rgb="FFFFEB84"/>
        <color rgb="FF63BE7B"/>
      </colorScale>
    </cfRule>
  </conditionalFormatting>
  <conditionalFormatting sqref="O532:P537">
    <cfRule type="colorScale" priority="104">
      <colorScale>
        <cfvo type="min"/>
        <cfvo type="percentile" val="50"/>
        <cfvo type="max"/>
        <color rgb="FFF8696B"/>
        <color rgb="FFFFEB84"/>
        <color rgb="FF63BE7B"/>
      </colorScale>
    </cfRule>
    <cfRule type="colorScale" priority="103">
      <colorScale>
        <cfvo type="min"/>
        <cfvo type="percentile" val="50"/>
        <cfvo type="max"/>
        <color rgb="FFF8696B"/>
        <color rgb="FFFFEB84"/>
        <color rgb="FF63BE7B"/>
      </colorScale>
    </cfRule>
    <cfRule type="colorScale" priority="102">
      <colorScale>
        <cfvo type="min"/>
        <cfvo type="percentile" val="50"/>
        <cfvo type="max"/>
        <color rgb="FFF8696B"/>
        <color rgb="FFFFEB84"/>
        <color rgb="FF63BE7B"/>
      </colorScale>
    </cfRule>
    <cfRule type="colorScale" priority="100">
      <colorScale>
        <cfvo type="min"/>
        <cfvo type="percentile" val="50"/>
        <cfvo type="max"/>
        <color rgb="FFF8696B"/>
        <color rgb="FFFFEB84"/>
        <color rgb="FF63BE7B"/>
      </colorScale>
    </cfRule>
    <cfRule type="colorScale" priority="99">
      <colorScale>
        <cfvo type="min"/>
        <cfvo type="percentile" val="50"/>
        <cfvo type="max"/>
        <color rgb="FFF8696B"/>
        <color rgb="FFFFEB84"/>
        <color rgb="FF63BE7B"/>
      </colorScale>
    </cfRule>
    <cfRule type="colorScale" priority="98">
      <colorScale>
        <cfvo type="min"/>
        <cfvo type="percentile" val="50"/>
        <cfvo type="max"/>
        <color rgb="FFF8696B"/>
        <color rgb="FFFFEB84"/>
        <color rgb="FF63BE7B"/>
      </colorScale>
    </cfRule>
    <cfRule type="colorScale" priority="97">
      <colorScale>
        <cfvo type="min"/>
        <cfvo type="percentile" val="50"/>
        <cfvo type="max"/>
        <color rgb="FFF8696B"/>
        <color rgb="FFFFEB84"/>
        <color rgb="FF63BE7B"/>
      </colorScale>
    </cfRule>
    <cfRule type="colorScale" priority="101">
      <colorScale>
        <cfvo type="min"/>
        <cfvo type="percentile" val="50"/>
        <cfvo type="max"/>
        <color rgb="FFF8696B"/>
        <color rgb="FFFFEB84"/>
        <color rgb="FF63BE7B"/>
      </colorScale>
    </cfRule>
  </conditionalFormatting>
  <conditionalFormatting sqref="O532:P538">
    <cfRule type="colorScale" priority="107">
      <colorScale>
        <cfvo type="min"/>
        <cfvo type="percentile" val="50"/>
        <cfvo type="max"/>
        <color rgb="FFF8696B"/>
        <color rgb="FFFFEB84"/>
        <color rgb="FF63BE7B"/>
      </colorScale>
    </cfRule>
    <cfRule type="colorScale" priority="108">
      <colorScale>
        <cfvo type="min"/>
        <cfvo type="percentile" val="50"/>
        <cfvo type="max"/>
        <color rgb="FFF8696B"/>
        <color rgb="FFFFEB84"/>
        <color rgb="FF63BE7B"/>
      </colorScale>
    </cfRule>
    <cfRule type="colorScale" priority="106">
      <colorScale>
        <cfvo type="min"/>
        <cfvo type="percentile" val="50"/>
        <cfvo type="max"/>
        <color rgb="FFF8696B"/>
        <color rgb="FFFFEB84"/>
        <color rgb="FF63BE7B"/>
      </colorScale>
    </cfRule>
  </conditionalFormatting>
  <conditionalFormatting sqref="O532:P540">
    <cfRule type="colorScale" priority="105">
      <colorScale>
        <cfvo type="min"/>
        <cfvo type="percentile" val="50"/>
        <cfvo type="max"/>
        <color rgb="FFF8696B"/>
        <color rgb="FFFFEB84"/>
        <color rgb="FF63BE7B"/>
      </colorScale>
    </cfRule>
  </conditionalFormatting>
  <conditionalFormatting sqref="O538:P538">
    <cfRule type="colorScale" priority="90">
      <colorScale>
        <cfvo type="min"/>
        <cfvo type="percentile" val="50"/>
        <cfvo type="max"/>
        <color rgb="FFF8696B"/>
        <color rgb="FFFFEB84"/>
        <color rgb="FF63BE7B"/>
      </colorScale>
    </cfRule>
    <cfRule type="colorScale" priority="89">
      <colorScale>
        <cfvo type="min"/>
        <cfvo type="percentile" val="50"/>
        <cfvo type="max"/>
        <color rgb="FFF8696B"/>
        <color rgb="FFFFEB84"/>
        <color rgb="FF63BE7B"/>
      </colorScale>
    </cfRule>
    <cfRule type="colorScale" priority="88">
      <colorScale>
        <cfvo type="min"/>
        <cfvo type="percentile" val="50"/>
        <cfvo type="max"/>
        <color rgb="FFF8696B"/>
        <color rgb="FFFFEB84"/>
        <color rgb="FF63BE7B"/>
      </colorScale>
    </cfRule>
    <cfRule type="colorScale" priority="91">
      <colorScale>
        <cfvo type="min"/>
        <cfvo type="percentile" val="50"/>
        <cfvo type="max"/>
        <color rgb="FFF8696B"/>
        <color rgb="FFFFEB84"/>
        <color rgb="FF63BE7B"/>
      </colorScale>
    </cfRule>
    <cfRule type="colorScale" priority="96">
      <colorScale>
        <cfvo type="min"/>
        <cfvo type="percentile" val="50"/>
        <cfvo type="max"/>
        <color rgb="FFF8696B"/>
        <color rgb="FFFFEB84"/>
        <color rgb="FF63BE7B"/>
      </colorScale>
    </cfRule>
    <cfRule type="colorScale" priority="95">
      <colorScale>
        <cfvo type="min"/>
        <cfvo type="percentile" val="50"/>
        <cfvo type="max"/>
        <color rgb="FFF8696B"/>
        <color rgb="FFFFEB84"/>
        <color rgb="FF63BE7B"/>
      </colorScale>
    </cfRule>
    <cfRule type="colorScale" priority="94">
      <colorScale>
        <cfvo type="min"/>
        <cfvo type="percentile" val="50"/>
        <cfvo type="max"/>
        <color rgb="FFF8696B"/>
        <color rgb="FFFFEB84"/>
        <color rgb="FF63BE7B"/>
      </colorScale>
    </cfRule>
    <cfRule type="colorScale" priority="93">
      <colorScale>
        <cfvo type="min"/>
        <cfvo type="percentile" val="50"/>
        <cfvo type="max"/>
        <color rgb="FFF8696B"/>
        <color rgb="FFFFEB84"/>
        <color rgb="FF63BE7B"/>
      </colorScale>
    </cfRule>
    <cfRule type="colorScale" priority="92">
      <colorScale>
        <cfvo type="min"/>
        <cfvo type="percentile" val="50"/>
        <cfvo type="max"/>
        <color rgb="FFF8696B"/>
        <color rgb="FFFFEB84"/>
        <color rgb="FF63BE7B"/>
      </colorScale>
    </cfRule>
  </conditionalFormatting>
  <conditionalFormatting sqref="O539:P539">
    <cfRule type="colorScale" priority="87">
      <colorScale>
        <cfvo type="min"/>
        <cfvo type="percentile" val="50"/>
        <cfvo type="max"/>
        <color rgb="FFF8696B"/>
        <color rgb="FFFFEB84"/>
        <color rgb="FF63BE7B"/>
      </colorScale>
    </cfRule>
    <cfRule type="colorScale" priority="81">
      <colorScale>
        <cfvo type="min"/>
        <cfvo type="percentile" val="50"/>
        <cfvo type="max"/>
        <color rgb="FFF8696B"/>
        <color rgb="FFFFEB84"/>
        <color rgb="FF63BE7B"/>
      </colorScale>
    </cfRule>
    <cfRule type="colorScale" priority="82">
      <colorScale>
        <cfvo type="min"/>
        <cfvo type="percentile" val="50"/>
        <cfvo type="max"/>
        <color rgb="FFF8696B"/>
        <color rgb="FFFFEB84"/>
        <color rgb="FF63BE7B"/>
      </colorScale>
    </cfRule>
    <cfRule type="colorScale" priority="83">
      <colorScale>
        <cfvo type="min"/>
        <cfvo type="percentile" val="50"/>
        <cfvo type="max"/>
        <color rgb="FFF8696B"/>
        <color rgb="FFFFEB84"/>
        <color rgb="FF63BE7B"/>
      </colorScale>
    </cfRule>
    <cfRule type="colorScale" priority="84">
      <colorScale>
        <cfvo type="min"/>
        <cfvo type="percentile" val="50"/>
        <cfvo type="max"/>
        <color rgb="FFF8696B"/>
        <color rgb="FFFFEB84"/>
        <color rgb="FF63BE7B"/>
      </colorScale>
    </cfRule>
    <cfRule type="colorScale" priority="85">
      <colorScale>
        <cfvo type="min"/>
        <cfvo type="percentile" val="50"/>
        <cfvo type="max"/>
        <color rgb="FFF8696B"/>
        <color rgb="FFFFEB84"/>
        <color rgb="FF63BE7B"/>
      </colorScale>
    </cfRule>
    <cfRule type="colorScale" priority="86">
      <colorScale>
        <cfvo type="min"/>
        <cfvo type="percentile" val="50"/>
        <cfvo type="max"/>
        <color rgb="FFF8696B"/>
        <color rgb="FFFFEB84"/>
        <color rgb="FF63BE7B"/>
      </colorScale>
    </cfRule>
    <cfRule type="colorScale" priority="75">
      <colorScale>
        <cfvo type="min"/>
        <cfvo type="percentile" val="50"/>
        <cfvo type="max"/>
        <color rgb="FFF8696B"/>
        <color rgb="FFFFEB84"/>
        <color rgb="FF63BE7B"/>
      </colorScale>
    </cfRule>
    <cfRule type="colorScale" priority="76">
      <colorScale>
        <cfvo type="min"/>
        <cfvo type="percentile" val="50"/>
        <cfvo type="max"/>
        <color rgb="FFF8696B"/>
        <color rgb="FFFFEB84"/>
        <color rgb="FF63BE7B"/>
      </colorScale>
    </cfRule>
    <cfRule type="colorScale" priority="77">
      <colorScale>
        <cfvo type="min"/>
        <cfvo type="percentile" val="50"/>
        <cfvo type="max"/>
        <color rgb="FFF8696B"/>
        <color rgb="FFFFEB84"/>
        <color rgb="FF63BE7B"/>
      </colorScale>
    </cfRule>
    <cfRule type="colorScale" priority="78">
      <colorScale>
        <cfvo type="min"/>
        <cfvo type="percentile" val="50"/>
        <cfvo type="max"/>
        <color rgb="FFF8696B"/>
        <color rgb="FFFFEB84"/>
        <color rgb="FF63BE7B"/>
      </colorScale>
    </cfRule>
    <cfRule type="colorScale" priority="79">
      <colorScale>
        <cfvo type="min"/>
        <cfvo type="percentile" val="50"/>
        <cfvo type="max"/>
        <color rgb="FFF8696B"/>
        <color rgb="FFFFEB84"/>
        <color rgb="FF63BE7B"/>
      </colorScale>
    </cfRule>
    <cfRule type="colorScale" priority="80">
      <colorScale>
        <cfvo type="min"/>
        <cfvo type="percentile" val="50"/>
        <cfvo type="max"/>
        <color rgb="FFF8696B"/>
        <color rgb="FFFFEB84"/>
        <color rgb="FF63BE7B"/>
      </colorScale>
    </cfRule>
  </conditionalFormatting>
  <conditionalFormatting sqref="O540:P540">
    <cfRule type="colorScale" priority="62">
      <colorScale>
        <cfvo type="min"/>
        <cfvo type="percentile" val="50"/>
        <cfvo type="max"/>
        <color rgb="FFF8696B"/>
        <color rgb="FFFFEB84"/>
        <color rgb="FF63BE7B"/>
      </colorScale>
    </cfRule>
    <cfRule type="colorScale" priority="67">
      <colorScale>
        <cfvo type="min"/>
        <cfvo type="percentile" val="50"/>
        <cfvo type="max"/>
        <color rgb="FFF8696B"/>
        <color rgb="FFFFEB84"/>
        <color rgb="FF63BE7B"/>
      </colorScale>
    </cfRule>
    <cfRule type="colorScale" priority="68">
      <colorScale>
        <cfvo type="min"/>
        <cfvo type="percentile" val="50"/>
        <cfvo type="max"/>
        <color rgb="FFF8696B"/>
        <color rgb="FFFFEB84"/>
        <color rgb="FF63BE7B"/>
      </colorScale>
    </cfRule>
    <cfRule type="colorScale" priority="69">
      <colorScale>
        <cfvo type="min"/>
        <cfvo type="percentile" val="50"/>
        <cfvo type="max"/>
        <color rgb="FFF8696B"/>
        <color rgb="FFFFEB84"/>
        <color rgb="FF63BE7B"/>
      </colorScale>
    </cfRule>
    <cfRule type="colorScale" priority="70">
      <colorScale>
        <cfvo type="min"/>
        <cfvo type="percentile" val="50"/>
        <cfvo type="max"/>
        <color rgb="FFF8696B"/>
        <color rgb="FFFFEB84"/>
        <color rgb="FF63BE7B"/>
      </colorScale>
    </cfRule>
    <cfRule type="colorScale" priority="64">
      <colorScale>
        <cfvo type="min"/>
        <cfvo type="percentile" val="50"/>
        <cfvo type="max"/>
        <color rgb="FFF8696B"/>
        <color rgb="FFFFEB84"/>
        <color rgb="FF63BE7B"/>
      </colorScale>
    </cfRule>
    <cfRule type="colorScale" priority="63">
      <colorScale>
        <cfvo type="min"/>
        <cfvo type="percentile" val="50"/>
        <cfvo type="max"/>
        <color rgb="FFF8696B"/>
        <color rgb="FFFFEB84"/>
        <color rgb="FF63BE7B"/>
      </colorScale>
    </cfRule>
    <cfRule type="colorScale" priority="71">
      <colorScale>
        <cfvo type="min"/>
        <cfvo type="percentile" val="50"/>
        <cfvo type="max"/>
        <color rgb="FFF8696B"/>
        <color rgb="FFFFEB84"/>
        <color rgb="FF63BE7B"/>
      </colorScale>
    </cfRule>
    <cfRule type="colorScale" priority="72">
      <colorScale>
        <cfvo type="min"/>
        <cfvo type="percentile" val="50"/>
        <cfvo type="max"/>
        <color rgb="FFF8696B"/>
        <color rgb="FFFFEB84"/>
        <color rgb="FF63BE7B"/>
      </colorScale>
    </cfRule>
    <cfRule type="colorScale" priority="73">
      <colorScale>
        <cfvo type="min"/>
        <cfvo type="percentile" val="50"/>
        <cfvo type="max"/>
        <color rgb="FFF8696B"/>
        <color rgb="FFFFEB84"/>
        <color rgb="FF63BE7B"/>
      </colorScale>
    </cfRule>
    <cfRule type="colorScale" priority="74">
      <colorScale>
        <cfvo type="min"/>
        <cfvo type="percentile" val="50"/>
        <cfvo type="max"/>
        <color rgb="FFF8696B"/>
        <color rgb="FFFFEB84"/>
        <color rgb="FF63BE7B"/>
      </colorScale>
    </cfRule>
    <cfRule type="colorScale" priority="66">
      <colorScale>
        <cfvo type="min"/>
        <cfvo type="percentile" val="50"/>
        <cfvo type="max"/>
        <color rgb="FFF8696B"/>
        <color rgb="FFFFEB84"/>
        <color rgb="FF63BE7B"/>
      </colorScale>
    </cfRule>
    <cfRule type="colorScale" priority="65">
      <colorScale>
        <cfvo type="min"/>
        <cfvo type="percentile" val="50"/>
        <cfvo type="max"/>
        <color rgb="FFF8696B"/>
        <color rgb="FFFFEB84"/>
        <color rgb="FF63BE7B"/>
      </colorScale>
    </cfRule>
  </conditionalFormatting>
  <conditionalFormatting sqref="O541:P544">
    <cfRule type="colorScale" priority="349">
      <colorScale>
        <cfvo type="min"/>
        <cfvo type="percentile" val="50"/>
        <cfvo type="max"/>
        <color rgb="FFF8696B"/>
        <color rgb="FFFFEB84"/>
        <color rgb="FF63BE7B"/>
      </colorScale>
    </cfRule>
    <cfRule type="colorScale" priority="348">
      <colorScale>
        <cfvo type="min"/>
        <cfvo type="percentile" val="50"/>
        <cfvo type="max"/>
        <color rgb="FFF8696B"/>
        <color rgb="FFFFEB84"/>
        <color rgb="FF63BE7B"/>
      </colorScale>
    </cfRule>
    <cfRule type="colorScale" priority="347">
      <colorScale>
        <cfvo type="min"/>
        <cfvo type="percentile" val="50"/>
        <cfvo type="max"/>
        <color rgb="FFF8696B"/>
        <color rgb="FFFFEB84"/>
        <color rgb="FF63BE7B"/>
      </colorScale>
    </cfRule>
    <cfRule type="colorScale" priority="346">
      <colorScale>
        <cfvo type="min"/>
        <cfvo type="percentile" val="50"/>
        <cfvo type="max"/>
        <color rgb="FFF8696B"/>
        <color rgb="FFFFEB84"/>
        <color rgb="FF63BE7B"/>
      </colorScale>
    </cfRule>
    <cfRule type="colorScale" priority="352">
      <colorScale>
        <cfvo type="min"/>
        <cfvo type="percentile" val="50"/>
        <cfvo type="max"/>
        <color rgb="FFF8696B"/>
        <color rgb="FFFFEB84"/>
        <color rgb="FF63BE7B"/>
      </colorScale>
    </cfRule>
    <cfRule type="colorScale" priority="351">
      <colorScale>
        <cfvo type="min"/>
        <cfvo type="percentile" val="50"/>
        <cfvo type="max"/>
        <color rgb="FFF8696B"/>
        <color rgb="FFFFEB84"/>
        <color rgb="FF63BE7B"/>
      </colorScale>
    </cfRule>
    <cfRule type="colorScale" priority="350">
      <colorScale>
        <cfvo type="min"/>
        <cfvo type="percentile" val="50"/>
        <cfvo type="max"/>
        <color rgb="FFF8696B"/>
        <color rgb="FFFFEB84"/>
        <color rgb="FF63BE7B"/>
      </colorScale>
    </cfRule>
    <cfRule type="colorScale" priority="353">
      <colorScale>
        <cfvo type="min"/>
        <cfvo type="percentile" val="50"/>
        <cfvo type="max"/>
        <color rgb="FFF8696B"/>
        <color rgb="FFFFEB84"/>
        <color rgb="FF63BE7B"/>
      </colorScale>
    </cfRule>
    <cfRule type="colorScale" priority="354">
      <colorScale>
        <cfvo type="min"/>
        <cfvo type="percentile" val="50"/>
        <cfvo type="max"/>
        <color rgb="FFF8696B"/>
        <color rgb="FFFFEB84"/>
        <color rgb="FF63BE7B"/>
      </colorScale>
    </cfRule>
    <cfRule type="colorScale" priority="355">
      <colorScale>
        <cfvo type="min"/>
        <cfvo type="percentile" val="50"/>
        <cfvo type="max"/>
        <color rgb="FFF8696B"/>
        <color rgb="FFFFEB84"/>
        <color rgb="FF63BE7B"/>
      </colorScale>
    </cfRule>
    <cfRule type="colorScale" priority="356">
      <colorScale>
        <cfvo type="min"/>
        <cfvo type="percentile" val="50"/>
        <cfvo type="max"/>
        <color rgb="FFF8696B"/>
        <color rgb="FFFFEB84"/>
        <color rgb="FF63BE7B"/>
      </colorScale>
    </cfRule>
    <cfRule type="colorScale" priority="357">
      <colorScale>
        <cfvo type="min"/>
        <cfvo type="percentile" val="50"/>
        <cfvo type="max"/>
        <color rgb="FFF8696B"/>
        <color rgb="FFFFEB84"/>
        <color rgb="FF63BE7B"/>
      </colorScale>
    </cfRule>
    <cfRule type="colorScale" priority="358">
      <colorScale>
        <cfvo type="min"/>
        <cfvo type="percentile" val="50"/>
        <cfvo type="max"/>
        <color rgb="FFF8696B"/>
        <color rgb="FFFFEB84"/>
        <color rgb="FF63BE7B"/>
      </colorScale>
    </cfRule>
    <cfRule type="colorScale" priority="359">
      <colorScale>
        <cfvo type="min"/>
        <cfvo type="percentile" val="50"/>
        <cfvo type="max"/>
        <color rgb="FFF8696B"/>
        <color rgb="FFFFEB84"/>
        <color rgb="FF63BE7B"/>
      </colorScale>
    </cfRule>
  </conditionalFormatting>
  <conditionalFormatting sqref="O545:P550">
    <cfRule type="colorScale" priority="43">
      <colorScale>
        <cfvo type="min"/>
        <cfvo type="percentile" val="50"/>
        <cfvo type="max"/>
        <color rgb="FFF8696B"/>
        <color rgb="FFFFEB84"/>
        <color rgb="FF63BE7B"/>
      </colorScale>
    </cfRule>
    <cfRule type="colorScale" priority="42">
      <colorScale>
        <cfvo type="min"/>
        <cfvo type="percentile" val="50"/>
        <cfvo type="max"/>
        <color rgb="FFF8696B"/>
        <color rgb="FFFFEB84"/>
        <color rgb="FF63BE7B"/>
      </colorScale>
    </cfRule>
    <cfRule type="colorScale" priority="41">
      <colorScale>
        <cfvo type="min"/>
        <cfvo type="percentile" val="50"/>
        <cfvo type="max"/>
        <color rgb="FFF8696B"/>
        <color rgb="FFFFEB84"/>
        <color rgb="FF63BE7B"/>
      </colorScale>
    </cfRule>
    <cfRule type="colorScale" priority="40">
      <colorScale>
        <cfvo type="min"/>
        <cfvo type="percentile" val="50"/>
        <cfvo type="max"/>
        <color rgb="FFF8696B"/>
        <color rgb="FFFFEB84"/>
        <color rgb="FF63BE7B"/>
      </colorScale>
    </cfRule>
    <cfRule type="colorScale" priority="39">
      <colorScale>
        <cfvo type="min"/>
        <cfvo type="percentile" val="50"/>
        <cfvo type="max"/>
        <color rgb="FFF8696B"/>
        <color rgb="FFFFEB84"/>
        <color rgb="FF63BE7B"/>
      </colorScale>
    </cfRule>
    <cfRule type="colorScale" priority="38">
      <colorScale>
        <cfvo type="min"/>
        <cfvo type="percentile" val="50"/>
        <cfvo type="max"/>
        <color rgb="FFF8696B"/>
        <color rgb="FFFFEB84"/>
        <color rgb="FF63BE7B"/>
      </colorScale>
    </cfRule>
    <cfRule type="colorScale" priority="37">
      <colorScale>
        <cfvo type="min"/>
        <cfvo type="percentile" val="50"/>
        <cfvo type="max"/>
        <color rgb="FFF8696B"/>
        <color rgb="FFFFEB84"/>
        <color rgb="FF63BE7B"/>
      </colorScale>
    </cfRule>
    <cfRule type="colorScale" priority="36">
      <colorScale>
        <cfvo type="min"/>
        <cfvo type="percentile" val="50"/>
        <cfvo type="max"/>
        <color rgb="FFF8696B"/>
        <color rgb="FFFFEB84"/>
        <color rgb="FF63BE7B"/>
      </colorScale>
    </cfRule>
  </conditionalFormatting>
  <conditionalFormatting sqref="O545:P551">
    <cfRule type="colorScale" priority="47">
      <colorScale>
        <cfvo type="min"/>
        <cfvo type="percentile" val="50"/>
        <cfvo type="max"/>
        <color rgb="FFF8696B"/>
        <color rgb="FFFFEB84"/>
        <color rgb="FF63BE7B"/>
      </colorScale>
    </cfRule>
    <cfRule type="colorScale" priority="45">
      <colorScale>
        <cfvo type="min"/>
        <cfvo type="percentile" val="50"/>
        <cfvo type="max"/>
        <color rgb="FFF8696B"/>
        <color rgb="FFFFEB84"/>
        <color rgb="FF63BE7B"/>
      </colorScale>
    </cfRule>
    <cfRule type="colorScale" priority="46">
      <colorScale>
        <cfvo type="min"/>
        <cfvo type="percentile" val="50"/>
        <cfvo type="max"/>
        <color rgb="FFF8696B"/>
        <color rgb="FFFFEB84"/>
        <color rgb="FF63BE7B"/>
      </colorScale>
    </cfRule>
  </conditionalFormatting>
  <conditionalFormatting sqref="O545:P553">
    <cfRule type="colorScale" priority="44">
      <colorScale>
        <cfvo type="min"/>
        <cfvo type="percentile" val="50"/>
        <cfvo type="max"/>
        <color rgb="FFF8696B"/>
        <color rgb="FFFFEB84"/>
        <color rgb="FF63BE7B"/>
      </colorScale>
    </cfRule>
  </conditionalFormatting>
  <conditionalFormatting sqref="O551:P551">
    <cfRule type="colorScale" priority="30">
      <colorScale>
        <cfvo type="min"/>
        <cfvo type="percentile" val="50"/>
        <cfvo type="max"/>
        <color rgb="FFF8696B"/>
        <color rgb="FFFFEB84"/>
        <color rgb="FF63BE7B"/>
      </colorScale>
    </cfRule>
    <cfRule type="colorScale" priority="29">
      <colorScale>
        <cfvo type="min"/>
        <cfvo type="percentile" val="50"/>
        <cfvo type="max"/>
        <color rgb="FFF8696B"/>
        <color rgb="FFFFEB84"/>
        <color rgb="FF63BE7B"/>
      </colorScale>
    </cfRule>
    <cfRule type="colorScale" priority="28">
      <colorScale>
        <cfvo type="min"/>
        <cfvo type="percentile" val="50"/>
        <cfvo type="max"/>
        <color rgb="FFF8696B"/>
        <color rgb="FFFFEB84"/>
        <color rgb="FF63BE7B"/>
      </colorScale>
    </cfRule>
    <cfRule type="colorScale" priority="27">
      <colorScale>
        <cfvo type="min"/>
        <cfvo type="percentile" val="50"/>
        <cfvo type="max"/>
        <color rgb="FFF8696B"/>
        <color rgb="FFFFEB84"/>
        <color rgb="FF63BE7B"/>
      </colorScale>
    </cfRule>
    <cfRule type="colorScale" priority="35">
      <colorScale>
        <cfvo type="min"/>
        <cfvo type="percentile" val="50"/>
        <cfvo type="max"/>
        <color rgb="FFF8696B"/>
        <color rgb="FFFFEB84"/>
        <color rgb="FF63BE7B"/>
      </colorScale>
    </cfRule>
    <cfRule type="colorScale" priority="34">
      <colorScale>
        <cfvo type="min"/>
        <cfvo type="percentile" val="50"/>
        <cfvo type="max"/>
        <color rgb="FFF8696B"/>
        <color rgb="FFFFEB84"/>
        <color rgb="FF63BE7B"/>
      </colorScale>
    </cfRule>
    <cfRule type="colorScale" priority="33">
      <colorScale>
        <cfvo type="min"/>
        <cfvo type="percentile" val="50"/>
        <cfvo type="max"/>
        <color rgb="FFF8696B"/>
        <color rgb="FFFFEB84"/>
        <color rgb="FF63BE7B"/>
      </colorScale>
    </cfRule>
    <cfRule type="colorScale" priority="32">
      <colorScale>
        <cfvo type="min"/>
        <cfvo type="percentile" val="50"/>
        <cfvo type="max"/>
        <color rgb="FFF8696B"/>
        <color rgb="FFFFEB84"/>
        <color rgb="FF63BE7B"/>
      </colorScale>
    </cfRule>
    <cfRule type="colorScale" priority="31">
      <colorScale>
        <cfvo type="min"/>
        <cfvo type="percentile" val="50"/>
        <cfvo type="max"/>
        <color rgb="FFF8696B"/>
        <color rgb="FFFFEB84"/>
        <color rgb="FF63BE7B"/>
      </colorScale>
    </cfRule>
  </conditionalFormatting>
  <conditionalFormatting sqref="O552:P552">
    <cfRule type="colorScale" priority="17">
      <colorScale>
        <cfvo type="min"/>
        <cfvo type="percentile" val="50"/>
        <cfvo type="max"/>
        <color rgb="FFF8696B"/>
        <color rgb="FFFFEB84"/>
        <color rgb="FF63BE7B"/>
      </colorScale>
    </cfRule>
    <cfRule type="colorScale" priority="26">
      <colorScale>
        <cfvo type="min"/>
        <cfvo type="percentile" val="50"/>
        <cfvo type="max"/>
        <color rgb="FFF8696B"/>
        <color rgb="FFFFEB84"/>
        <color rgb="FF63BE7B"/>
      </colorScale>
    </cfRule>
    <cfRule type="colorScale" priority="25">
      <colorScale>
        <cfvo type="min"/>
        <cfvo type="percentile" val="50"/>
        <cfvo type="max"/>
        <color rgb="FFF8696B"/>
        <color rgb="FFFFEB84"/>
        <color rgb="FF63BE7B"/>
      </colorScale>
    </cfRule>
    <cfRule type="colorScale" priority="24">
      <colorScale>
        <cfvo type="min"/>
        <cfvo type="percentile" val="50"/>
        <cfvo type="max"/>
        <color rgb="FFF8696B"/>
        <color rgb="FFFFEB84"/>
        <color rgb="FF63BE7B"/>
      </colorScale>
    </cfRule>
    <cfRule type="colorScale" priority="23">
      <colorScale>
        <cfvo type="min"/>
        <cfvo type="percentile" val="50"/>
        <cfvo type="max"/>
        <color rgb="FFF8696B"/>
        <color rgb="FFFFEB84"/>
        <color rgb="FF63BE7B"/>
      </colorScale>
    </cfRule>
    <cfRule type="colorScale" priority="14">
      <colorScale>
        <cfvo type="min"/>
        <cfvo type="percentile" val="50"/>
        <cfvo type="max"/>
        <color rgb="FFF8696B"/>
        <color rgb="FFFFEB84"/>
        <color rgb="FF63BE7B"/>
      </colorScale>
    </cfRule>
    <cfRule type="colorScale" priority="15">
      <colorScale>
        <cfvo type="min"/>
        <cfvo type="percentile" val="50"/>
        <cfvo type="max"/>
        <color rgb="FFF8696B"/>
        <color rgb="FFFFEB84"/>
        <color rgb="FF63BE7B"/>
      </colorScale>
    </cfRule>
    <cfRule type="colorScale" priority="16">
      <colorScale>
        <cfvo type="min"/>
        <cfvo type="percentile" val="50"/>
        <cfvo type="max"/>
        <color rgb="FFF8696B"/>
        <color rgb="FFFFEB84"/>
        <color rgb="FF63BE7B"/>
      </colorScale>
    </cfRule>
    <cfRule type="colorScale" priority="18">
      <colorScale>
        <cfvo type="min"/>
        <cfvo type="percentile" val="50"/>
        <cfvo type="max"/>
        <color rgb="FFF8696B"/>
        <color rgb="FFFFEB84"/>
        <color rgb="FF63BE7B"/>
      </colorScale>
    </cfRule>
    <cfRule type="colorScale" priority="19">
      <colorScale>
        <cfvo type="min"/>
        <cfvo type="percentile" val="50"/>
        <cfvo type="max"/>
        <color rgb="FFF8696B"/>
        <color rgb="FFFFEB84"/>
        <color rgb="FF63BE7B"/>
      </colorScale>
    </cfRule>
    <cfRule type="colorScale" priority="20">
      <colorScale>
        <cfvo type="min"/>
        <cfvo type="percentile" val="50"/>
        <cfvo type="max"/>
        <color rgb="FFF8696B"/>
        <color rgb="FFFFEB84"/>
        <color rgb="FF63BE7B"/>
      </colorScale>
    </cfRule>
    <cfRule type="colorScale" priority="21">
      <colorScale>
        <cfvo type="min"/>
        <cfvo type="percentile" val="50"/>
        <cfvo type="max"/>
        <color rgb="FFF8696B"/>
        <color rgb="FFFFEB84"/>
        <color rgb="FF63BE7B"/>
      </colorScale>
    </cfRule>
    <cfRule type="colorScale" priority="22">
      <colorScale>
        <cfvo type="min"/>
        <cfvo type="percentile" val="50"/>
        <cfvo type="max"/>
        <color rgb="FFF8696B"/>
        <color rgb="FFFFEB84"/>
        <color rgb="FF63BE7B"/>
      </colorScale>
    </cfRule>
  </conditionalFormatting>
  <conditionalFormatting sqref="O553:P553">
    <cfRule type="colorScale" priority="2">
      <colorScale>
        <cfvo type="min"/>
        <cfvo type="percentile" val="50"/>
        <cfvo type="max"/>
        <color rgb="FFF8696B"/>
        <color rgb="FFFFEB84"/>
        <color rgb="FF63BE7B"/>
      </colorScale>
    </cfRule>
    <cfRule type="colorScale" priority="1">
      <colorScale>
        <cfvo type="min"/>
        <cfvo type="percentile" val="50"/>
        <cfvo type="max"/>
        <color rgb="FFF8696B"/>
        <color rgb="FFFFEB84"/>
        <color rgb="FF63BE7B"/>
      </colorScale>
    </cfRule>
    <cfRule type="colorScale" priority="8">
      <colorScale>
        <cfvo type="min"/>
        <cfvo type="percentile" val="50"/>
        <cfvo type="max"/>
        <color rgb="FFF8696B"/>
        <color rgb="FFFFEB84"/>
        <color rgb="FF63BE7B"/>
      </colorScale>
    </cfRule>
    <cfRule type="colorScale" priority="9">
      <colorScale>
        <cfvo type="min"/>
        <cfvo type="percentile" val="50"/>
        <cfvo type="max"/>
        <color rgb="FFF8696B"/>
        <color rgb="FFFFEB84"/>
        <color rgb="FF63BE7B"/>
      </colorScale>
    </cfRule>
    <cfRule type="colorScale" priority="13">
      <colorScale>
        <cfvo type="min"/>
        <cfvo type="percentile" val="50"/>
        <cfvo type="max"/>
        <color rgb="FFF8696B"/>
        <color rgb="FFFFEB84"/>
        <color rgb="FF63BE7B"/>
      </colorScale>
    </cfRule>
    <cfRule type="colorScale" priority="12">
      <colorScale>
        <cfvo type="min"/>
        <cfvo type="percentile" val="50"/>
        <cfvo type="max"/>
        <color rgb="FFF8696B"/>
        <color rgb="FFFFEB84"/>
        <color rgb="FF63BE7B"/>
      </colorScale>
    </cfRule>
    <cfRule type="colorScale" priority="11">
      <colorScale>
        <cfvo type="min"/>
        <cfvo type="percentile" val="50"/>
        <cfvo type="max"/>
        <color rgb="FFF8696B"/>
        <color rgb="FFFFEB84"/>
        <color rgb="FF63BE7B"/>
      </colorScale>
    </cfRule>
    <cfRule type="colorScale" priority="10">
      <colorScale>
        <cfvo type="min"/>
        <cfvo type="percentile" val="50"/>
        <cfvo type="max"/>
        <color rgb="FFF8696B"/>
        <color rgb="FFFFEB84"/>
        <color rgb="FF63BE7B"/>
      </colorScale>
    </cfRule>
    <cfRule type="colorScale" priority="7">
      <colorScale>
        <cfvo type="min"/>
        <cfvo type="percentile" val="50"/>
        <cfvo type="max"/>
        <color rgb="FFF8696B"/>
        <color rgb="FFFFEB84"/>
        <color rgb="FF63BE7B"/>
      </colorScale>
    </cfRule>
    <cfRule type="colorScale" priority="6">
      <colorScale>
        <cfvo type="min"/>
        <cfvo type="percentile" val="50"/>
        <cfvo type="max"/>
        <color rgb="FFF8696B"/>
        <color rgb="FFFFEB84"/>
        <color rgb="FF63BE7B"/>
      </colorScale>
    </cfRule>
    <cfRule type="colorScale" priority="5">
      <colorScale>
        <cfvo type="min"/>
        <cfvo type="percentile" val="50"/>
        <cfvo type="max"/>
        <color rgb="FFF8696B"/>
        <color rgb="FFFFEB84"/>
        <color rgb="FF63BE7B"/>
      </colorScale>
    </cfRule>
    <cfRule type="colorScale" priority="4">
      <colorScale>
        <cfvo type="min"/>
        <cfvo type="percentile" val="50"/>
        <cfvo type="max"/>
        <color rgb="FFF8696B"/>
        <color rgb="FFFFEB84"/>
        <color rgb="FF63BE7B"/>
      </colorScale>
    </cfRule>
    <cfRule type="colorScale" priority="3">
      <colorScale>
        <cfvo type="min"/>
        <cfvo type="percentile" val="50"/>
        <cfvo type="max"/>
        <color rgb="FFF8696B"/>
        <color rgb="FFFFEB84"/>
        <color rgb="FF63BE7B"/>
      </colorScale>
    </cfRule>
  </conditionalFormatting>
  <conditionalFormatting sqref="O554:P557">
    <cfRule type="colorScale" priority="60">
      <colorScale>
        <cfvo type="min"/>
        <cfvo type="percentile" val="50"/>
        <cfvo type="max"/>
        <color rgb="FFF8696B"/>
        <color rgb="FFFFEB84"/>
        <color rgb="FF63BE7B"/>
      </colorScale>
    </cfRule>
    <cfRule type="colorScale" priority="61">
      <colorScale>
        <cfvo type="min"/>
        <cfvo type="percentile" val="50"/>
        <cfvo type="max"/>
        <color rgb="FFF8696B"/>
        <color rgb="FFFFEB84"/>
        <color rgb="FF63BE7B"/>
      </colorScale>
    </cfRule>
    <cfRule type="colorScale" priority="56">
      <colorScale>
        <cfvo type="min"/>
        <cfvo type="percentile" val="50"/>
        <cfvo type="max"/>
        <color rgb="FFF8696B"/>
        <color rgb="FFFFEB84"/>
        <color rgb="FF63BE7B"/>
      </colorScale>
    </cfRule>
    <cfRule type="colorScale" priority="55">
      <colorScale>
        <cfvo type="min"/>
        <cfvo type="percentile" val="50"/>
        <cfvo type="max"/>
        <color rgb="FFF8696B"/>
        <color rgb="FFFFEB84"/>
        <color rgb="FF63BE7B"/>
      </colorScale>
    </cfRule>
    <cfRule type="colorScale" priority="49">
      <colorScale>
        <cfvo type="min"/>
        <cfvo type="percentile" val="50"/>
        <cfvo type="max"/>
        <color rgb="FFF8696B"/>
        <color rgb="FFFFEB84"/>
        <color rgb="FF63BE7B"/>
      </colorScale>
    </cfRule>
    <cfRule type="colorScale" priority="54">
      <colorScale>
        <cfvo type="min"/>
        <cfvo type="percentile" val="50"/>
        <cfvo type="max"/>
        <color rgb="FFF8696B"/>
        <color rgb="FFFFEB84"/>
        <color rgb="FF63BE7B"/>
      </colorScale>
    </cfRule>
    <cfRule type="colorScale" priority="53">
      <colorScale>
        <cfvo type="min"/>
        <cfvo type="percentile" val="50"/>
        <cfvo type="max"/>
        <color rgb="FFF8696B"/>
        <color rgb="FFFFEB84"/>
        <color rgb="FF63BE7B"/>
      </colorScale>
    </cfRule>
    <cfRule type="colorScale" priority="52">
      <colorScale>
        <cfvo type="min"/>
        <cfvo type="percentile" val="50"/>
        <cfvo type="max"/>
        <color rgb="FFF8696B"/>
        <color rgb="FFFFEB84"/>
        <color rgb="FF63BE7B"/>
      </colorScale>
    </cfRule>
    <cfRule type="colorScale" priority="51">
      <colorScale>
        <cfvo type="min"/>
        <cfvo type="percentile" val="50"/>
        <cfvo type="max"/>
        <color rgb="FFF8696B"/>
        <color rgb="FFFFEB84"/>
        <color rgb="FF63BE7B"/>
      </colorScale>
    </cfRule>
    <cfRule type="colorScale" priority="50">
      <colorScale>
        <cfvo type="min"/>
        <cfvo type="percentile" val="50"/>
        <cfvo type="max"/>
        <color rgb="FFF8696B"/>
        <color rgb="FFFFEB84"/>
        <color rgb="FF63BE7B"/>
      </colorScale>
    </cfRule>
    <cfRule type="colorScale" priority="48">
      <colorScale>
        <cfvo type="min"/>
        <cfvo type="percentile" val="50"/>
        <cfvo type="max"/>
        <color rgb="FFF8696B"/>
        <color rgb="FFFFEB84"/>
        <color rgb="FF63BE7B"/>
      </colorScale>
    </cfRule>
    <cfRule type="colorScale" priority="57">
      <colorScale>
        <cfvo type="min"/>
        <cfvo type="percentile" val="50"/>
        <cfvo type="max"/>
        <color rgb="FFF8696B"/>
        <color rgb="FFFFEB84"/>
        <color rgb="FF63BE7B"/>
      </colorScale>
    </cfRule>
    <cfRule type="colorScale" priority="58">
      <colorScale>
        <cfvo type="min"/>
        <cfvo type="percentile" val="50"/>
        <cfvo type="max"/>
        <color rgb="FFF8696B"/>
        <color rgb="FFFFEB84"/>
        <color rgb="FF63BE7B"/>
      </colorScale>
    </cfRule>
    <cfRule type="colorScale" priority="59">
      <colorScale>
        <cfvo type="min"/>
        <cfvo type="percentile" val="50"/>
        <cfvo type="max"/>
        <color rgb="FFF8696B"/>
        <color rgb="FFFFEB84"/>
        <color rgb="FF63BE7B"/>
      </colorScale>
    </cfRule>
  </conditionalFormatting>
  <conditionalFormatting sqref="P502:P514 O7:P501 O502:O515">
    <cfRule type="colorScale" priority="333">
      <colorScale>
        <cfvo type="min"/>
        <cfvo type="percentile" val="50"/>
        <cfvo type="max"/>
        <color rgb="FFF8696B"/>
        <color rgb="FFFFEB84"/>
        <color rgb="FF63BE7B"/>
      </colorScale>
    </cfRule>
  </conditionalFormatting>
  <conditionalFormatting sqref="P515">
    <cfRule type="colorScale" priority="132">
      <colorScale>
        <cfvo type="min"/>
        <cfvo type="percentile" val="50"/>
        <cfvo type="max"/>
        <color rgb="FFF8696B"/>
        <color rgb="FFFFEB84"/>
        <color rgb="FF63BE7B"/>
      </colorScale>
    </cfRule>
    <cfRule type="colorScale" priority="133">
      <colorScale>
        <cfvo type="min"/>
        <cfvo type="percentile" val="50"/>
        <cfvo type="max"/>
        <color rgb="FFF8696B"/>
        <color rgb="FFFFEB84"/>
        <color rgb="FF63BE7B"/>
      </colorScale>
    </cfRule>
    <cfRule type="colorScale" priority="134">
      <colorScale>
        <cfvo type="min"/>
        <cfvo type="percentile" val="50"/>
        <cfvo type="max"/>
        <color rgb="FFF8696B"/>
        <color rgb="FFFFEB84"/>
        <color rgb="FF63BE7B"/>
      </colorScale>
    </cfRule>
    <cfRule type="colorScale" priority="135">
      <colorScale>
        <cfvo type="min"/>
        <cfvo type="percentile" val="50"/>
        <cfvo type="max"/>
        <color rgb="FFF8696B"/>
        <color rgb="FFFFEB84"/>
        <color rgb="FF63BE7B"/>
      </colorScale>
    </cfRule>
    <cfRule type="colorScale" priority="137">
      <colorScale>
        <cfvo type="min"/>
        <cfvo type="percentile" val="50"/>
        <cfvo type="max"/>
        <color rgb="FFF8696B"/>
        <color rgb="FFFFEB84"/>
        <color rgb="FF63BE7B"/>
      </colorScale>
    </cfRule>
    <cfRule type="colorScale" priority="138">
      <colorScale>
        <cfvo type="min"/>
        <cfvo type="percentile" val="50"/>
        <cfvo type="max"/>
        <color rgb="FFF8696B"/>
        <color rgb="FFFFEB84"/>
        <color rgb="FF63BE7B"/>
      </colorScale>
    </cfRule>
    <cfRule type="colorScale" priority="131">
      <colorScale>
        <cfvo type="min"/>
        <cfvo type="percentile" val="50"/>
        <cfvo type="max"/>
        <color rgb="FFF8696B"/>
        <color rgb="FFFFEB84"/>
        <color rgb="FF63BE7B"/>
      </colorScale>
    </cfRule>
    <cfRule type="colorScale" priority="136">
      <colorScale>
        <cfvo type="min"/>
        <cfvo type="percentile" val="50"/>
        <cfvo type="max"/>
        <color rgb="FFF8696B"/>
        <color rgb="FFFFEB84"/>
        <color rgb="FF63BE7B"/>
      </colorScale>
    </cfRule>
    <cfRule type="colorScale" priority="129">
      <colorScale>
        <cfvo type="min"/>
        <cfvo type="percentile" val="50"/>
        <cfvo type="max"/>
        <color rgb="FFF8696B"/>
        <color rgb="FFFFEB84"/>
        <color rgb="FF63BE7B"/>
      </colorScale>
    </cfRule>
    <cfRule type="colorScale" priority="130">
      <colorScale>
        <cfvo type="min"/>
        <cfvo type="percentile" val="50"/>
        <cfvo type="max"/>
        <color rgb="FFF8696B"/>
        <color rgb="FFFFEB84"/>
        <color rgb="FF63BE7B"/>
      </colorScale>
    </cfRule>
  </conditionalFormatting>
  <conditionalFormatting sqref="P531">
    <cfRule type="colorScale" priority="117">
      <colorScale>
        <cfvo type="min"/>
        <cfvo type="percentile" val="50"/>
        <cfvo type="max"/>
        <color rgb="FFF8696B"/>
        <color rgb="FFFFEB84"/>
        <color rgb="FF63BE7B"/>
      </colorScale>
    </cfRule>
    <cfRule type="colorScale" priority="118">
      <colorScale>
        <cfvo type="min"/>
        <cfvo type="percentile" val="50"/>
        <cfvo type="max"/>
        <color rgb="FFF8696B"/>
        <color rgb="FFFFEB84"/>
        <color rgb="FF63BE7B"/>
      </colorScale>
    </cfRule>
    <cfRule type="colorScale" priority="112">
      <colorScale>
        <cfvo type="min"/>
        <cfvo type="percentile" val="50"/>
        <cfvo type="max"/>
        <color rgb="FFF8696B"/>
        <color rgb="FFFFEB84"/>
        <color rgb="FF63BE7B"/>
      </colorScale>
    </cfRule>
    <cfRule type="colorScale" priority="113">
      <colorScale>
        <cfvo type="min"/>
        <cfvo type="percentile" val="50"/>
        <cfvo type="max"/>
        <color rgb="FFF8696B"/>
        <color rgb="FFFFEB84"/>
        <color rgb="FF63BE7B"/>
      </colorScale>
    </cfRule>
    <cfRule type="colorScale" priority="111">
      <colorScale>
        <cfvo type="min"/>
        <cfvo type="percentile" val="50"/>
        <cfvo type="max"/>
        <color rgb="FFF8696B"/>
        <color rgb="FFFFEB84"/>
        <color rgb="FF63BE7B"/>
      </colorScale>
    </cfRule>
    <cfRule type="colorScale" priority="110">
      <colorScale>
        <cfvo type="min"/>
        <cfvo type="percentile" val="50"/>
        <cfvo type="max"/>
        <color rgb="FFF8696B"/>
        <color rgb="FFFFEB84"/>
        <color rgb="FF63BE7B"/>
      </colorScale>
    </cfRule>
    <cfRule type="colorScale" priority="114">
      <colorScale>
        <cfvo type="min"/>
        <cfvo type="percentile" val="50"/>
        <cfvo type="max"/>
        <color rgb="FFF8696B"/>
        <color rgb="FFFFEB84"/>
        <color rgb="FF63BE7B"/>
      </colorScale>
    </cfRule>
    <cfRule type="colorScale" priority="115">
      <colorScale>
        <cfvo type="min"/>
        <cfvo type="percentile" val="50"/>
        <cfvo type="max"/>
        <color rgb="FFF8696B"/>
        <color rgb="FFFFEB84"/>
        <color rgb="FF63BE7B"/>
      </colorScale>
    </cfRule>
    <cfRule type="colorScale" priority="109">
      <colorScale>
        <cfvo type="min"/>
        <cfvo type="percentile" val="50"/>
        <cfvo type="max"/>
        <color rgb="FFF8696B"/>
        <color rgb="FFFFEB84"/>
        <color rgb="FF63BE7B"/>
      </colorScale>
    </cfRule>
    <cfRule type="colorScale" priority="116">
      <colorScale>
        <cfvo type="min"/>
        <cfvo type="percentile" val="50"/>
        <cfvo type="max"/>
        <color rgb="FFF8696B"/>
        <color rgb="FFFFEB84"/>
        <color rgb="FF63BE7B"/>
      </colorScale>
    </cfRule>
  </conditionalFormatting>
  <conditionalFormatting sqref="Z7:Z557">
    <cfRule type="colorScale" priority="360">
      <colorScale>
        <cfvo type="min"/>
        <cfvo type="percentile" val="50"/>
        <cfvo type="max"/>
        <color rgb="FF63BE7B"/>
        <color rgb="FFFFEB84"/>
        <color rgb="FFF8696B"/>
      </colorScale>
    </cfRule>
  </conditionalFormatting>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4C1DD-8A67-4DF8-BAB2-CD1A6EFB2E9F}">
  <sheetPr codeName="Hoja2">
    <tabColor theme="6"/>
  </sheetPr>
  <dimension ref="A1:AQ418"/>
  <sheetViews>
    <sheetView showGridLines="0" topLeftCell="AF1" zoomScaleNormal="100" workbookViewId="0">
      <pane ySplit="6" topLeftCell="A37" activePane="bottomLeft" state="frozen"/>
      <selection activeCell="AN19" sqref="AN19"/>
      <selection pane="bottomLeft" activeCell="AO43" sqref="AO43"/>
    </sheetView>
  </sheetViews>
  <sheetFormatPr baseColWidth="10" defaultColWidth="11.42578125" defaultRowHeight="12.75"/>
  <cols>
    <col min="1" max="1" width="6" style="437" customWidth="1"/>
    <col min="2" max="2" width="34.140625" style="437" customWidth="1"/>
    <col min="3" max="3" width="50" style="437" customWidth="1"/>
    <col min="4" max="4" width="23.5703125" style="437" bestFit="1" customWidth="1"/>
    <col min="5" max="5" width="9.7109375" style="437" customWidth="1"/>
    <col min="6" max="6" width="15.140625" style="437" customWidth="1"/>
    <col min="7" max="7" width="9.140625" style="437" bestFit="1" customWidth="1"/>
    <col min="8" max="8" width="8.42578125" style="437" customWidth="1"/>
    <col min="9" max="9" width="14.140625" style="437" bestFit="1" customWidth="1"/>
    <col min="10" max="10" width="12.85546875" style="437" bestFit="1" customWidth="1"/>
    <col min="11" max="11" width="14.85546875" style="437" bestFit="1" customWidth="1"/>
    <col min="12" max="12" width="13.85546875" style="437" bestFit="1" customWidth="1"/>
    <col min="13" max="13" width="15.140625" style="437" bestFit="1" customWidth="1"/>
    <col min="14" max="14" width="12.85546875" style="437" customWidth="1"/>
    <col min="15" max="15" width="13.7109375" style="437" bestFit="1" customWidth="1"/>
    <col min="16" max="16" width="12.28515625" style="437" bestFit="1" customWidth="1"/>
    <col min="17" max="17" width="13.28515625" style="437" bestFit="1" customWidth="1"/>
    <col min="18" max="18" width="15.5703125" style="437" bestFit="1" customWidth="1"/>
    <col min="19" max="19" width="10" style="437" customWidth="1"/>
    <col min="20" max="22" width="15.5703125" style="437" bestFit="1" customWidth="1"/>
    <col min="23" max="23" width="12.42578125" style="437" bestFit="1" customWidth="1"/>
    <col min="24" max="24" width="10.85546875" style="437" bestFit="1" customWidth="1"/>
    <col min="25" max="25" width="11.42578125" style="437" bestFit="1" customWidth="1"/>
    <col min="26" max="26" width="11.28515625" style="437" bestFit="1" customWidth="1"/>
    <col min="27" max="27" width="10.85546875" style="437" bestFit="1" customWidth="1"/>
    <col min="28" max="28" width="8.85546875" style="437" bestFit="1" customWidth="1"/>
    <col min="29" max="29" width="14.42578125" style="437" customWidth="1"/>
    <col min="30" max="30" width="16.28515625" style="437" customWidth="1"/>
    <col min="31" max="31" width="17.28515625" style="437" customWidth="1"/>
    <col min="32" max="32" width="17.7109375" style="437" bestFit="1" customWidth="1"/>
    <col min="33" max="33" width="16.5703125" style="437" bestFit="1" customWidth="1"/>
    <col min="34" max="34" width="15.42578125" style="437" bestFit="1" customWidth="1"/>
    <col min="35" max="35" width="19.42578125" style="437" bestFit="1" customWidth="1"/>
    <col min="36" max="36" width="17.5703125" style="437" bestFit="1" customWidth="1"/>
    <col min="37" max="37" width="13.5703125" style="437" bestFit="1" customWidth="1"/>
    <col min="38" max="38" width="12.85546875" style="437" bestFit="1" customWidth="1"/>
    <col min="39" max="39" width="15" style="437" bestFit="1" customWidth="1"/>
    <col min="40" max="40" width="55.7109375" style="437" bestFit="1" customWidth="1"/>
    <col min="41" max="42" width="13.5703125" style="437" bestFit="1" customWidth="1"/>
    <col min="43" max="43" width="13.5703125" style="529" bestFit="1" customWidth="1"/>
    <col min="44" max="44" width="13.5703125" style="437" bestFit="1" customWidth="1"/>
    <col min="45" max="45" width="14.5703125" style="437" bestFit="1" customWidth="1"/>
    <col min="46" max="16384" width="11.42578125" style="437"/>
  </cols>
  <sheetData>
    <row r="1" spans="1:43" ht="16.5" thickBot="1">
      <c r="B1" s="438" t="s">
        <v>411</v>
      </c>
      <c r="C1" s="439">
        <f>+'[2]FM FAMPLUSUSD'!A214</f>
        <v>46021</v>
      </c>
      <c r="D1" s="440"/>
      <c r="E1" s="440"/>
      <c r="F1" s="440"/>
      <c r="G1" s="440"/>
      <c r="I1" s="441">
        <f>+C3-1.38%</f>
        <v>5.0433254647652255E-2</v>
      </c>
      <c r="J1" s="442"/>
      <c r="K1" s="442"/>
      <c r="M1" s="442"/>
      <c r="P1" s="442"/>
      <c r="Q1" s="443"/>
      <c r="R1" s="551"/>
      <c r="T1" s="440"/>
      <c r="U1" s="444"/>
      <c r="W1" s="440"/>
    </row>
    <row r="2" spans="1:43" ht="16.5" customHeight="1" thickBot="1">
      <c r="B2" s="446" t="s">
        <v>412</v>
      </c>
      <c r="C2" s="552">
        <f>ROUND((SUM(Tabla33[Valor Presente o Contable])),2)</f>
        <v>13997379.949999999</v>
      </c>
      <c r="D2" s="719" t="s">
        <v>413</v>
      </c>
      <c r="E2" s="719"/>
      <c r="F2" s="719"/>
      <c r="G2" s="447">
        <f>SUMPRODUCT(Tabla33[Valor Presente o Contable],Tabla33[Plazo residual])/SUM(Tabla33[Valor Presente o Contable])</f>
        <v>569.48002962818612</v>
      </c>
      <c r="H2" s="448"/>
      <c r="I2" s="441">
        <f>+C4-1.38%</f>
        <v>4.8979835459519998E-2</v>
      </c>
      <c r="J2" s="442"/>
      <c r="K2" s="442"/>
      <c r="M2" s="444"/>
      <c r="N2" s="444"/>
      <c r="P2" s="440"/>
      <c r="Q2" s="444"/>
      <c r="S2" s="449"/>
      <c r="T2" s="442"/>
      <c r="U2" s="444"/>
      <c r="V2" s="440"/>
      <c r="W2" s="444"/>
      <c r="Y2" s="440"/>
      <c r="AA2" s="450"/>
      <c r="AB2" s="440"/>
      <c r="AE2" s="451"/>
    </row>
    <row r="3" spans="1:43" ht="15.75">
      <c r="B3" s="452" t="s">
        <v>414</v>
      </c>
      <c r="C3" s="453">
        <f>SUMPRODUCT(Tabla33[YTM],Tabla33[Valor Presente o Contable])/SUM(Tabla33[Valor Presente o Contable])</f>
        <v>6.4233254647652255E-2</v>
      </c>
      <c r="D3" s="452" t="s">
        <v>415</v>
      </c>
      <c r="E3" s="452"/>
      <c r="F3" s="454"/>
      <c r="G3" s="455">
        <f>SUMPRODUCT(Tabla33[Valor Presente o Contable],Tabla33[Duration])/SUM(Tabla33[Valor Presente o Contable])</f>
        <v>1.5534960301326894</v>
      </c>
      <c r="I3" s="456"/>
      <c r="K3" s="450"/>
      <c r="L3" s="440"/>
      <c r="M3" s="444"/>
      <c r="N3" s="444"/>
      <c r="O3" s="444"/>
      <c r="P3" s="457"/>
      <c r="Q3" s="458"/>
      <c r="R3" s="449"/>
      <c r="S3" s="449"/>
      <c r="T3" s="458"/>
      <c r="V3" s="440"/>
      <c r="W3" s="444"/>
      <c r="X3" s="440"/>
      <c r="Y3" s="440"/>
      <c r="AA3" s="444"/>
      <c r="AB3" s="450"/>
      <c r="AE3" s="451"/>
    </row>
    <row r="4" spans="1:43" ht="15.75">
      <c r="B4" s="452" t="s">
        <v>416</v>
      </c>
      <c r="C4" s="453">
        <f>SUMPRODUCT(Tabla33[TNA],Tabla33[Valor Presente o Contable])/SUM(Tabla33[Valor Presente o Contable])</f>
        <v>6.2779835459519998E-2</v>
      </c>
      <c r="D4" s="452" t="s">
        <v>417</v>
      </c>
      <c r="E4" s="452"/>
      <c r="F4" s="454"/>
      <c r="G4" s="459">
        <f>SUMPRODUCT(Tabla33[Valor Presente o Contable],Tabla33[Modified Duration])/SUM(Tabla33[Valor Presente o Contable])</f>
        <v>1.5243363877847516</v>
      </c>
      <c r="H4" s="452" t="s">
        <v>418</v>
      </c>
      <c r="I4" s="452"/>
      <c r="J4" s="454"/>
      <c r="K4" s="460">
        <f>SUM(Tabla33[Valuación por devegamiento])</f>
        <v>2159.6292017300566</v>
      </c>
      <c r="L4" s="461"/>
      <c r="M4" s="462"/>
      <c r="N4" s="457"/>
      <c r="O4" s="444"/>
      <c r="Q4" s="457"/>
      <c r="R4" s="443"/>
      <c r="S4" s="463"/>
      <c r="U4" s="464"/>
      <c r="V4" s="464"/>
      <c r="W4" s="440"/>
      <c r="X4" s="450"/>
      <c r="Y4" s="450"/>
      <c r="AA4" s="444"/>
      <c r="AB4" s="450"/>
      <c r="AE4" s="451"/>
    </row>
    <row r="5" spans="1:43" ht="15.75">
      <c r="D5" s="450"/>
      <c r="J5" s="465"/>
      <c r="M5" s="466"/>
      <c r="N5" s="450"/>
      <c r="O5" s="450"/>
      <c r="P5" s="450"/>
      <c r="Q5" s="458"/>
      <c r="R5" s="458"/>
      <c r="U5" s="467">
        <f>C1</f>
        <v>46021</v>
      </c>
      <c r="V5" s="467">
        <f>U5-1</f>
        <v>46020</v>
      </c>
      <c r="W5" s="468">
        <f>SUM(Tabla33[Valuación por devegamiento])</f>
        <v>2159.6292017300566</v>
      </c>
      <c r="X5" s="449"/>
      <c r="Y5" s="440"/>
      <c r="AA5" s="444"/>
      <c r="AB5" s="450"/>
      <c r="AE5" s="469"/>
      <c r="AF5" s="470">
        <f>+SUM(AF7:AF418)</f>
        <v>13864971.970000001</v>
      </c>
      <c r="AG5" s="470">
        <f t="shared" ref="AG5:AJ5" si="0">+SUM(AG7:AG418)</f>
        <v>1630030.9607397239</v>
      </c>
      <c r="AH5" s="470">
        <f t="shared" si="0"/>
        <v>1498739.8253641005</v>
      </c>
      <c r="AI5" s="470">
        <f t="shared" si="0"/>
        <v>20570.996750633109</v>
      </c>
      <c r="AJ5" s="470">
        <f t="shared" si="0"/>
        <v>-19454.00101611764</v>
      </c>
      <c r="AK5" s="471">
        <f>+AF5+AG5-AH5+AI5+AJ5</f>
        <v>13997380.10111014</v>
      </c>
      <c r="AL5" s="529">
        <f>+AK5-C2</f>
        <v>0.15111014060676098</v>
      </c>
    </row>
    <row r="6" spans="1:43" ht="25.5">
      <c r="A6" s="472" t="s">
        <v>419</v>
      </c>
      <c r="B6" s="472" t="s">
        <v>50</v>
      </c>
      <c r="C6" s="472" t="s">
        <v>420</v>
      </c>
      <c r="D6" s="472" t="s">
        <v>49</v>
      </c>
      <c r="E6" s="472" t="s">
        <v>421</v>
      </c>
      <c r="F6" s="472" t="s">
        <v>51</v>
      </c>
      <c r="G6" s="472" t="s">
        <v>52</v>
      </c>
      <c r="H6" s="473" t="s">
        <v>190</v>
      </c>
      <c r="I6" s="472" t="s">
        <v>422</v>
      </c>
      <c r="J6" s="472" t="s">
        <v>56</v>
      </c>
      <c r="K6" s="472" t="s">
        <v>423</v>
      </c>
      <c r="L6" s="472" t="s">
        <v>424</v>
      </c>
      <c r="M6" s="472" t="s">
        <v>425</v>
      </c>
      <c r="N6" s="472" t="s">
        <v>426</v>
      </c>
      <c r="O6" s="472" t="s">
        <v>427</v>
      </c>
      <c r="P6" s="472" t="s">
        <v>428</v>
      </c>
      <c r="Q6" s="472" t="s">
        <v>429</v>
      </c>
      <c r="R6" s="472" t="s">
        <v>430</v>
      </c>
      <c r="S6" s="472" t="s">
        <v>55</v>
      </c>
      <c r="T6" s="472" t="s">
        <v>431</v>
      </c>
      <c r="U6" s="472" t="s">
        <v>432</v>
      </c>
      <c r="V6" s="472" t="s">
        <v>433</v>
      </c>
      <c r="W6" s="472" t="s">
        <v>434</v>
      </c>
      <c r="X6" s="472" t="s">
        <v>435</v>
      </c>
      <c r="Y6" s="472" t="s">
        <v>436</v>
      </c>
      <c r="Z6" s="472" t="s">
        <v>437</v>
      </c>
      <c r="AA6" s="472" t="s">
        <v>438</v>
      </c>
      <c r="AB6" s="472" t="s">
        <v>439</v>
      </c>
      <c r="AC6" s="472" t="s">
        <v>440</v>
      </c>
      <c r="AD6" s="472" t="s">
        <v>441</v>
      </c>
      <c r="AE6" s="458"/>
      <c r="AF6" s="474" t="s">
        <v>442</v>
      </c>
      <c r="AG6" s="474" t="s">
        <v>443</v>
      </c>
      <c r="AH6" s="474" t="s">
        <v>444</v>
      </c>
      <c r="AI6" s="474" t="s">
        <v>445</v>
      </c>
      <c r="AJ6" s="474" t="s">
        <v>446</v>
      </c>
    </row>
    <row r="7" spans="1:43" ht="15">
      <c r="A7" s="475">
        <v>1</v>
      </c>
      <c r="B7" s="475" t="s">
        <v>447</v>
      </c>
      <c r="C7" s="475" t="s">
        <v>448</v>
      </c>
      <c r="D7" s="475" t="s">
        <v>294</v>
      </c>
      <c r="E7" s="475" t="s">
        <v>449</v>
      </c>
      <c r="F7" s="475" t="s">
        <v>297</v>
      </c>
      <c r="G7" s="475" t="s">
        <v>298</v>
      </c>
      <c r="H7" s="476">
        <v>50</v>
      </c>
      <c r="I7" s="477">
        <v>1000</v>
      </c>
      <c r="J7" s="478">
        <v>6.5000000000000002E-2</v>
      </c>
      <c r="K7" s="479">
        <f>_xlfn.MAXIFS(R:R,C:C,C7,AD:AD,"Cupón de interés",X:X,"Vencido")</f>
        <v>45958</v>
      </c>
      <c r="L7" s="478">
        <f>+Tabla33[[#This Row],[Tasa de Interés]]*($U$5-Tabla33[[#This Row],[Last coupon]])/365</f>
        <v>1.1219178082191781E-2</v>
      </c>
      <c r="M7" s="480">
        <f>+Tabla33[[#This Row],[Precio Dirty]]-Tabla33[[#This Row],[Accrued]]</f>
        <v>1.0002326407964204</v>
      </c>
      <c r="N7" s="481">
        <f>SUMIFS(U:U,C:C,C7,Q:Q,Q7)/SUMIFS(T:T,C:C,C7,Q:Q,Q7,AD:AD,"Amortización de K")</f>
        <v>1.0114518188786121</v>
      </c>
      <c r="O7" s="482">
        <v>6.6508695483207689E-2</v>
      </c>
      <c r="P7" s="483">
        <v>6.4911470005821315E-2</v>
      </c>
      <c r="Q7" s="484">
        <v>45812</v>
      </c>
      <c r="R7" s="484">
        <v>47238</v>
      </c>
      <c r="S7" s="475" t="s">
        <v>146</v>
      </c>
      <c r="T7" s="485">
        <f>Tabla33[[#This Row],[Cantidad]]*Tabla33[[#This Row],[Cortes]]</f>
        <v>50000</v>
      </c>
      <c r="U7" s="486">
        <f t="shared" ref="U7:U70" si="1">IF(X7="VIgente",(T7/(1+O7)^((R7-$U$5)/365)))</f>
        <v>40339.433694423802</v>
      </c>
      <c r="V7" s="487">
        <f t="shared" ref="V7:V70" si="2">IF(X7="VIgente",(T7/(1+O7)^((R7-$V$5)/365)))</f>
        <v>40332.317958359177</v>
      </c>
      <c r="W7" s="487">
        <f>IF(Tabla33[[#This Row],[Fecha de operación]]=$C$1,0,U7-V7)</f>
        <v>7.115736064624798</v>
      </c>
      <c r="X7" s="488" t="str">
        <f t="shared" ref="X7:X8" si="3">IF(R7&lt;=$U$5,"Vencido","Vigente")</f>
        <v>Vigente</v>
      </c>
      <c r="Y7" s="489" t="s">
        <v>450</v>
      </c>
      <c r="Z7" s="488">
        <f t="shared" ref="Z7:Z8" si="4">+R7-$U$5</f>
        <v>1217</v>
      </c>
      <c r="AA7" s="477">
        <f>IF(Y7="Mensual",DURATION($C$1,$C$1+Z7*12,J7/12,O7/12,1)/12,DURATION($C$1,R7,J7,O7,IF(Y7="Cupón cero",1,IF(Y7="Al vencimiento",1,IF(Y7="Anual",1,IF(Y7="Semestral",2,IF(Y7="Trimestral",4,"")))))))</f>
        <v>2.9908444398760761</v>
      </c>
      <c r="AB7" s="477">
        <f>IF(Y7="Mensual",MDURATION($C$1,$C$1+Z7*12,J7/12,O7/12,1)/12,MDURATION($C$1,R7,J7,O7,IF(Y7="Cupón cero",1,IF(Y7="Al vencimiento",1,IF(Y7="Anual",1,IF(Y7="Semestral",2,IF(Y7="Trimestral",4,"")))))))</f>
        <v>2.9419284834660218</v>
      </c>
      <c r="AC7" s="488" t="s">
        <v>451</v>
      </c>
      <c r="AD7" s="488" t="s">
        <v>452</v>
      </c>
      <c r="AE7" s="458"/>
      <c r="AF7" s="444">
        <f>+IF(Tabla33[[#This Row],[Amortización k | cupón de intereses]]="Amortización de K",Tabla33[[#This Row],[Valor Nominal]],0)</f>
        <v>50000</v>
      </c>
      <c r="AG7" s="444">
        <f>+IF(AND(Tabla33[[#This Row],[Amortización k | cupón de intereses]]="Cupón de interés",Tabla33[[#This Row],[Estado]]="Vigente"),Tabla33[[#This Row],[Valor Nominal]],0)</f>
        <v>0</v>
      </c>
      <c r="AH7" s="444">
        <f>+IF(Tabla33[[#This Row],[Amortización k | cupón de intereses]]="Amortización de K",SUMIFS($AG$7:$AG$418,Tabla33[Código Emisión],Tabla33[[#This Row],[Código Emisión]],Tabla33[Fecha de operación],Tabla33[[#This Row],[Fecha de operación]]),0)-Tabla33[[#This Row],[Accrued]]*Tabla33[[#This Row],[Valor Nominal]]</f>
        <v>10836.301095890411</v>
      </c>
      <c r="AI7" s="444">
        <f>+IF(Tabla33[[#This Row],[Amortización k | cupón de intereses]]="Amortización de K",IF(Tabla33[[#This Row],[Precio Clean]]&gt;1,Tabla33[[#This Row],[Valor Nominal]]*(Tabla33[[#This Row],[Precio Clean]]-1),0),0)</f>
        <v>11.632039821019013</v>
      </c>
      <c r="AJ7" s="444">
        <f>+IF(Tabla33[[#This Row],[Amortización k | cupón de intereses]]="Amortización de K",IF(Tabla33[[#This Row],[Precio Clean]]&lt;1,Tabla33[[#This Row],[Valor Nominal]]*(Tabla33[[#This Row],[Precio Clean]]-1),0),0)</f>
        <v>0</v>
      </c>
    </row>
    <row r="8" spans="1:43">
      <c r="B8" s="437" t="str">
        <f>+B7</f>
        <v>Banco Basa SA</v>
      </c>
      <c r="C8" s="437" t="str">
        <f>+C7</f>
        <v>PYBAM01F0358</v>
      </c>
      <c r="D8" s="437" t="str">
        <f>+D7</f>
        <v>Bonos Financieros</v>
      </c>
      <c r="E8" s="437" t="str">
        <f>+E7</f>
        <v>AA-py</v>
      </c>
      <c r="F8" s="437" t="s">
        <v>297</v>
      </c>
      <c r="G8" s="437" t="s">
        <v>298</v>
      </c>
      <c r="H8" s="437">
        <f>+H7</f>
        <v>50</v>
      </c>
      <c r="I8" s="492">
        <v>16.739726000000001</v>
      </c>
      <c r="J8" s="451"/>
      <c r="L8" s="442"/>
      <c r="M8" s="493"/>
      <c r="N8" s="493"/>
      <c r="O8" s="494">
        <f>$O$7</f>
        <v>6.6508695483207689E-2</v>
      </c>
      <c r="P8" s="494">
        <f>$P$7</f>
        <v>6.4911470005821315E-2</v>
      </c>
      <c r="Q8" s="450">
        <f>+Q7</f>
        <v>45812</v>
      </c>
      <c r="R8" s="450">
        <v>47238</v>
      </c>
      <c r="S8" s="437" t="s">
        <v>146</v>
      </c>
      <c r="T8" s="495">
        <f>Tabla33[[#This Row],[Cantidad]]*Tabla33[[#This Row],[Cortes]]</f>
        <v>836.98630000000003</v>
      </c>
      <c r="U8" s="496">
        <f t="shared" si="1"/>
        <v>675.27106703982224</v>
      </c>
      <c r="V8" s="497">
        <f t="shared" si="2"/>
        <v>675.15195156781203</v>
      </c>
      <c r="W8" s="497">
        <f>IF(Tabla33[[#This Row],[Fecha de operación]]=$C$1,0,U8-V8)</f>
        <v>0.11911547201020767</v>
      </c>
      <c r="X8" s="469" t="str">
        <f t="shared" si="3"/>
        <v>Vigente</v>
      </c>
      <c r="Y8" s="498"/>
      <c r="Z8" s="469">
        <f t="shared" si="4"/>
        <v>1217</v>
      </c>
      <c r="AA8" s="477">
        <f>+AA7</f>
        <v>2.9908444398760761</v>
      </c>
      <c r="AB8" s="492">
        <f>AB7</f>
        <v>2.9419284834660218</v>
      </c>
      <c r="AC8" s="469" t="s">
        <v>451</v>
      </c>
      <c r="AD8" s="469" t="s">
        <v>454</v>
      </c>
      <c r="AE8" s="458"/>
      <c r="AF8" s="444">
        <f>+IF(Tabla33[[#This Row],[Amortización k | cupón de intereses]]="Amortización de K",Tabla33[[#This Row],[Valor Nominal]],0)</f>
        <v>0</v>
      </c>
      <c r="AG8" s="444">
        <f>+IF(AND(Tabla33[[#This Row],[Amortización k | cupón de intereses]]="Cupón de interés",Tabla33[[#This Row],[Estado]]="Vigente"),Tabla33[[#This Row],[Valor Nominal]],0)</f>
        <v>836.98630000000003</v>
      </c>
      <c r="AH8" s="444">
        <f>+IF(Tabla33[[#This Row],[Amortización k | cupón de intereses]]="Amortización de K",SUMIFS($AG$7:$AG$418,Tabla33[Código Emisión],Tabla33[[#This Row],[Código Emisión]],Tabla33[Fecha de operación],Tabla33[[#This Row],[Fecha de operación]]),0)-Tabla33[[#This Row],[Accrued]]*Tabla33[[#This Row],[Valor Nominal]]</f>
        <v>0</v>
      </c>
      <c r="AI8" s="444">
        <f>+IF(Tabla33[[#This Row],[Amortización k | cupón de intereses]]="Amortización de K",IF(Tabla33[[#This Row],[Precio Clean]]&gt;1,Tabla33[[#This Row],[Valor Nominal]]*(Tabla33[[#This Row],[Precio Clean]]-1),0),0)</f>
        <v>0</v>
      </c>
      <c r="AJ8" s="444">
        <f>+IF(Tabla33[[#This Row],[Amortización k | cupón de intereses]]="Amortización de K",IF(Tabla33[[#This Row],[Precio Clean]]&lt;1,Tabla33[[#This Row],[Valor Nominal]]*(Tabla33[[#This Row],[Precio Clean]]-1),0),0)</f>
        <v>0</v>
      </c>
      <c r="AN8" s="490" t="s">
        <v>453</v>
      </c>
      <c r="AO8" s="491">
        <f>+AO9+AO10-AO11+AO12+AO13</f>
        <v>11064933.410621943</v>
      </c>
      <c r="AP8" s="444">
        <f>+SUMIFS(Tabla33[Valor Presente o Contable],Tabla33[Instrumento],AN8)</f>
        <v>11064933.410621943</v>
      </c>
      <c r="AQ8" s="529">
        <f>+AO8-AP8</f>
        <v>0</v>
      </c>
    </row>
    <row r="9" spans="1:43">
      <c r="B9" s="437" t="str">
        <f>+B8</f>
        <v>Banco Basa SA</v>
      </c>
      <c r="C9" s="437" t="str">
        <f t="shared" ref="C9:H24" si="5">+C8</f>
        <v>PYBAM01F0358</v>
      </c>
      <c r="D9" s="437" t="str">
        <f>+D8</f>
        <v>Bonos Financieros</v>
      </c>
      <c r="E9" s="437" t="str">
        <f>+E8</f>
        <v>AA-py</v>
      </c>
      <c r="F9" s="437" t="str">
        <f t="shared" ref="F9:H16" si="6">+F8</f>
        <v>Financiero</v>
      </c>
      <c r="G9" s="437" t="str">
        <f t="shared" si="6"/>
        <v>Paraguay</v>
      </c>
      <c r="H9" s="437">
        <f t="shared" si="6"/>
        <v>50</v>
      </c>
      <c r="I9" s="492">
        <v>16.205479</v>
      </c>
      <c r="J9" s="451"/>
      <c r="L9" s="442"/>
      <c r="M9" s="493"/>
      <c r="N9" s="493"/>
      <c r="O9" s="494">
        <f>+O8</f>
        <v>6.6508695483207689E-2</v>
      </c>
      <c r="P9" s="494">
        <f>+P8</f>
        <v>6.4911470005821315E-2</v>
      </c>
      <c r="Q9" s="450">
        <f>+Q8</f>
        <v>45812</v>
      </c>
      <c r="R9" s="450">
        <v>47144</v>
      </c>
      <c r="S9" s="437" t="s">
        <v>146</v>
      </c>
      <c r="T9" s="495">
        <f>Tabla33[[#This Row],[Cantidad]]*Tabla33[[#This Row],[Cortes]]</f>
        <v>810.27395000000001</v>
      </c>
      <c r="U9" s="496">
        <f t="shared" si="1"/>
        <v>664.65069058756774</v>
      </c>
      <c r="V9" s="497">
        <f t="shared" si="2"/>
        <v>664.53344851309487</v>
      </c>
      <c r="W9" s="497">
        <f>IF(Tabla33[[#This Row],[Fecha de operación]]=$C$1,0,U9-V9)</f>
        <v>0.11724207447286972</v>
      </c>
      <c r="X9" s="469" t="str">
        <f>IF(R9&lt;=$U$5,"Vencido","Vigente")</f>
        <v>Vigente</v>
      </c>
      <c r="Y9" s="498"/>
      <c r="Z9" s="469">
        <f>+R9-$U$5</f>
        <v>1123</v>
      </c>
      <c r="AA9" s="492">
        <f t="shared" ref="AA9:AB24" si="7">AA8</f>
        <v>2.9908444398760761</v>
      </c>
      <c r="AB9" s="492">
        <f t="shared" si="7"/>
        <v>2.9419284834660218</v>
      </c>
      <c r="AC9" s="469" t="s">
        <v>451</v>
      </c>
      <c r="AD9" s="469" t="s">
        <v>454</v>
      </c>
      <c r="AE9" s="458"/>
      <c r="AF9" s="444">
        <f>+IF(Tabla33[[#This Row],[Amortización k | cupón de intereses]]="Amortización de K",Tabla33[[#This Row],[Valor Nominal]],0)</f>
        <v>0</v>
      </c>
      <c r="AG9" s="444">
        <f>+IF(AND(Tabla33[[#This Row],[Amortización k | cupón de intereses]]="Cupón de interés",Tabla33[[#This Row],[Estado]]="Vigente"),Tabla33[[#This Row],[Valor Nominal]],0)</f>
        <v>810.27395000000001</v>
      </c>
      <c r="AH9" s="444">
        <f>+IF(Tabla33[[#This Row],[Amortización k | cupón de intereses]]="Amortización de K",SUMIFS($AG$7:$AG$418,Tabla33[Código Emisión],Tabla33[[#This Row],[Código Emisión]],Tabla33[Fecha de operación],Tabla33[[#This Row],[Fecha de operación]]),0)-Tabla33[[#This Row],[Accrued]]*Tabla33[[#This Row],[Valor Nominal]]</f>
        <v>0</v>
      </c>
      <c r="AI9" s="444">
        <f>+IF(Tabla33[[#This Row],[Amortización k | cupón de intereses]]="Amortización de K",IF(Tabla33[[#This Row],[Precio Clean]]&gt;1,Tabla33[[#This Row],[Valor Nominal]]*(Tabla33[[#This Row],[Precio Clean]]-1),0),0)</f>
        <v>0</v>
      </c>
      <c r="AJ9" s="444">
        <f>+IF(Tabla33[[#This Row],[Amortización k | cupón de intereses]]="Amortización de K",IF(Tabla33[[#This Row],[Precio Clean]]&lt;1,Tabla33[[#This Row],[Valor Nominal]]*(Tabla33[[#This Row],[Precio Clean]]-1),0),0)</f>
        <v>0</v>
      </c>
      <c r="AM9" s="595">
        <v>12010115001001</v>
      </c>
      <c r="AN9" s="596" t="s">
        <v>455</v>
      </c>
      <c r="AO9" s="597">
        <f>+SUMIF(Tabla33[Instrumento],$AN8,$AF$7:$AF$418)</f>
        <v>10930000</v>
      </c>
      <c r="AP9" s="444"/>
    </row>
    <row r="10" spans="1:43">
      <c r="B10" s="437" t="str">
        <f t="shared" ref="B10:B31" si="8">+B9</f>
        <v>Banco Basa SA</v>
      </c>
      <c r="C10" s="437" t="str">
        <f t="shared" si="5"/>
        <v>PYBAM01F0358</v>
      </c>
      <c r="D10" s="437" t="str">
        <f t="shared" si="5"/>
        <v>Bonos Financieros</v>
      </c>
      <c r="E10" s="437" t="str">
        <f t="shared" si="5"/>
        <v>AA-py</v>
      </c>
      <c r="F10" s="437" t="str">
        <f t="shared" si="6"/>
        <v>Financiero</v>
      </c>
      <c r="G10" s="437" t="str">
        <f t="shared" si="6"/>
        <v>Paraguay</v>
      </c>
      <c r="H10" s="437">
        <f t="shared" si="6"/>
        <v>50</v>
      </c>
      <c r="I10" s="492">
        <v>16.205479</v>
      </c>
      <c r="J10" s="451"/>
      <c r="L10" s="442"/>
      <c r="M10" s="493"/>
      <c r="N10" s="493"/>
      <c r="O10" s="494">
        <f t="shared" ref="O10:Q25" si="9">+O9</f>
        <v>6.6508695483207689E-2</v>
      </c>
      <c r="P10" s="494">
        <f t="shared" si="9"/>
        <v>6.4911470005821315E-2</v>
      </c>
      <c r="Q10" s="450">
        <f t="shared" si="9"/>
        <v>45812</v>
      </c>
      <c r="R10" s="450">
        <v>47053</v>
      </c>
      <c r="S10" s="437" t="s">
        <v>146</v>
      </c>
      <c r="T10" s="495">
        <f>Tabla33[[#This Row],[Cantidad]]*Tabla33[[#This Row],[Cortes]]</f>
        <v>810.27395000000001</v>
      </c>
      <c r="U10" s="496">
        <f t="shared" si="1"/>
        <v>675.40676579282388</v>
      </c>
      <c r="V10" s="497">
        <f t="shared" si="2"/>
        <v>675.28762638402475</v>
      </c>
      <c r="W10" s="497">
        <f>IF(Tabla33[[#This Row],[Fecha de operación]]=$C$1,0,U10-V10)</f>
        <v>0.11913940879912843</v>
      </c>
      <c r="X10" s="469" t="str">
        <f>IF(R10&lt;=$U$5,"Vencido","Vigente")</f>
        <v>Vigente</v>
      </c>
      <c r="Y10" s="498"/>
      <c r="Z10" s="469">
        <f>+R10-$U$5</f>
        <v>1032</v>
      </c>
      <c r="AA10" s="492">
        <f t="shared" si="7"/>
        <v>2.9908444398760761</v>
      </c>
      <c r="AB10" s="492">
        <f t="shared" si="7"/>
        <v>2.9419284834660218</v>
      </c>
      <c r="AC10" s="469" t="s">
        <v>451</v>
      </c>
      <c r="AD10" s="469" t="s">
        <v>454</v>
      </c>
      <c r="AE10" s="553"/>
      <c r="AF10" s="444">
        <f>+IF(Tabla33[[#This Row],[Amortización k | cupón de intereses]]="Amortización de K",Tabla33[[#This Row],[Valor Nominal]],0)</f>
        <v>0</v>
      </c>
      <c r="AG10" s="444">
        <f>+IF(AND(Tabla33[[#This Row],[Amortización k | cupón de intereses]]="Cupón de interés",Tabla33[[#This Row],[Estado]]="Vigente"),Tabla33[[#This Row],[Valor Nominal]],0)</f>
        <v>810.27395000000001</v>
      </c>
      <c r="AH10" s="444">
        <f>+IF(Tabla33[[#This Row],[Amortización k | cupón de intereses]]="Amortización de K",SUMIFS($AG$7:$AG$418,Tabla33[Código Emisión],Tabla33[[#This Row],[Código Emisión]],Tabla33[Fecha de operación],Tabla33[[#This Row],[Fecha de operación]]),0)-Tabla33[[#This Row],[Accrued]]*Tabla33[[#This Row],[Valor Nominal]]</f>
        <v>0</v>
      </c>
      <c r="AI10" s="444">
        <f>+IF(Tabla33[[#This Row],[Amortización k | cupón de intereses]]="Amortización de K",IF(Tabla33[[#This Row],[Precio Clean]]&gt;1,Tabla33[[#This Row],[Valor Nominal]]*(Tabla33[[#This Row],[Precio Clean]]-1),0),0)</f>
        <v>0</v>
      </c>
      <c r="AJ10" s="444">
        <f>+IF(Tabla33[[#This Row],[Amortización k | cupón de intereses]]="Amortización de K",IF(Tabla33[[#This Row],[Precio Clean]]&lt;1,Tabla33[[#This Row],[Valor Nominal]]*(Tabla33[[#This Row],[Precio Clean]]-1),0),0)</f>
        <v>0</v>
      </c>
      <c r="AM10" s="595">
        <v>13080225001001</v>
      </c>
      <c r="AN10" s="596" t="s">
        <v>456</v>
      </c>
      <c r="AO10" s="597">
        <f>+SUMIF(Tabla33[Instrumento],$AN8,$AG$7:$AG$418)</f>
        <v>1533329.5727397255</v>
      </c>
      <c r="AP10" s="444"/>
    </row>
    <row r="11" spans="1:43">
      <c r="B11" s="437" t="str">
        <f t="shared" si="8"/>
        <v>Banco Basa SA</v>
      </c>
      <c r="C11" s="437" t="str">
        <f t="shared" si="5"/>
        <v>PYBAM01F0358</v>
      </c>
      <c r="D11" s="437" t="str">
        <f t="shared" si="5"/>
        <v>Bonos Financieros</v>
      </c>
      <c r="E11" s="437" t="str">
        <f t="shared" si="5"/>
        <v>AA-py</v>
      </c>
      <c r="F11" s="437" t="str">
        <f t="shared" si="6"/>
        <v>Financiero</v>
      </c>
      <c r="G11" s="437" t="str">
        <f t="shared" si="6"/>
        <v>Paraguay</v>
      </c>
      <c r="H11" s="437">
        <f t="shared" si="6"/>
        <v>50</v>
      </c>
      <c r="I11" s="492">
        <v>16.205479</v>
      </c>
      <c r="J11" s="451"/>
      <c r="L11" s="442"/>
      <c r="M11" s="493"/>
      <c r="N11" s="493"/>
      <c r="O11" s="494">
        <f t="shared" si="9"/>
        <v>6.6508695483207689E-2</v>
      </c>
      <c r="P11" s="494">
        <f t="shared" si="9"/>
        <v>6.4911470005821315E-2</v>
      </c>
      <c r="Q11" s="450">
        <f t="shared" si="9"/>
        <v>45812</v>
      </c>
      <c r="R11" s="450">
        <v>46962</v>
      </c>
      <c r="S11" s="437" t="s">
        <v>146</v>
      </c>
      <c r="T11" s="495">
        <f>Tabla33[[#This Row],[Cantidad]]*Tabla33[[#This Row],[Cortes]]</f>
        <v>810.27395000000001</v>
      </c>
      <c r="U11" s="496">
        <f t="shared" si="1"/>
        <v>686.33690709845359</v>
      </c>
      <c r="V11" s="497">
        <f t="shared" si="2"/>
        <v>686.21583965067236</v>
      </c>
      <c r="W11" s="497">
        <f>IF(Tabla33[[#This Row],[Fecha de operación]]=$C$1,0,U11-V11)</f>
        <v>0.12106744778122902</v>
      </c>
      <c r="X11" s="469" t="str">
        <f>IF(R11&lt;=$U$5,"Vencido","Vigente")</f>
        <v>Vigente</v>
      </c>
      <c r="Y11" s="498"/>
      <c r="Z11" s="469">
        <f>+R11-$U$5</f>
        <v>941</v>
      </c>
      <c r="AA11" s="492">
        <f t="shared" si="7"/>
        <v>2.9908444398760761</v>
      </c>
      <c r="AB11" s="492">
        <f t="shared" si="7"/>
        <v>2.9419284834660218</v>
      </c>
      <c r="AC11" s="469" t="s">
        <v>451</v>
      </c>
      <c r="AD11" s="469" t="s">
        <v>454</v>
      </c>
      <c r="AE11" s="553"/>
      <c r="AF11" s="444">
        <f>+IF(Tabla33[[#This Row],[Amortización k | cupón de intereses]]="Amortización de K",Tabla33[[#This Row],[Valor Nominal]],0)</f>
        <v>0</v>
      </c>
      <c r="AG11" s="444">
        <f>+IF(AND(Tabla33[[#This Row],[Amortización k | cupón de intereses]]="Cupón de interés",Tabla33[[#This Row],[Estado]]="Vigente"),Tabla33[[#This Row],[Valor Nominal]],0)</f>
        <v>810.27395000000001</v>
      </c>
      <c r="AH11" s="444">
        <f>+IF(Tabla33[[#This Row],[Amortización k | cupón de intereses]]="Amortización de K",SUMIFS($AG$7:$AG$418,Tabla33[Código Emisión],Tabla33[[#This Row],[Código Emisión]],Tabla33[Fecha de operación],Tabla33[[#This Row],[Fecha de operación]]),0)-Tabla33[[#This Row],[Accrued]]*Tabla33[[#This Row],[Valor Nominal]]</f>
        <v>0</v>
      </c>
      <c r="AI11" s="444">
        <f>+IF(Tabla33[[#This Row],[Amortización k | cupón de intereses]]="Amortización de K",IF(Tabla33[[#This Row],[Precio Clean]]&gt;1,Tabla33[[#This Row],[Valor Nominal]]*(Tabla33[[#This Row],[Precio Clean]]-1),0),0)</f>
        <v>0</v>
      </c>
      <c r="AJ11" s="444">
        <f>+IF(Tabla33[[#This Row],[Amortización k | cupón de intereses]]="Amortización de K",IF(Tabla33[[#This Row],[Precio Clean]]&lt;1,Tabla33[[#This Row],[Valor Nominal]]*(Tabla33[[#This Row],[Precio Clean]]-1),0),0)</f>
        <v>0</v>
      </c>
      <c r="AM11" s="595">
        <v>13080225901001</v>
      </c>
      <c r="AN11" s="598" t="s">
        <v>457</v>
      </c>
      <c r="AO11" s="597">
        <f>+SUMIF(Tabla33[Instrumento],$AN8,$AH$7:$AH$418)</f>
        <v>1410005.9836986298</v>
      </c>
      <c r="AP11" s="444"/>
    </row>
    <row r="12" spans="1:43">
      <c r="B12" s="437" t="str">
        <f t="shared" si="8"/>
        <v>Banco Basa SA</v>
      </c>
      <c r="C12" s="437" t="str">
        <f t="shared" si="5"/>
        <v>PYBAM01F0358</v>
      </c>
      <c r="D12" s="437" t="str">
        <f t="shared" si="5"/>
        <v>Bonos Financieros</v>
      </c>
      <c r="E12" s="437" t="str">
        <f t="shared" si="5"/>
        <v>AA-py</v>
      </c>
      <c r="F12" s="437" t="str">
        <f t="shared" si="6"/>
        <v>Financiero</v>
      </c>
      <c r="G12" s="437" t="str">
        <f t="shared" si="6"/>
        <v>Paraguay</v>
      </c>
      <c r="H12" s="437">
        <f t="shared" si="6"/>
        <v>50</v>
      </c>
      <c r="I12" s="492">
        <v>16.739726000000001</v>
      </c>
      <c r="J12" s="451"/>
      <c r="L12" s="442"/>
      <c r="M12" s="493"/>
      <c r="N12" s="493"/>
      <c r="O12" s="494">
        <f t="shared" si="9"/>
        <v>6.6508695483207689E-2</v>
      </c>
      <c r="P12" s="494">
        <f t="shared" si="9"/>
        <v>6.4911470005821315E-2</v>
      </c>
      <c r="Q12" s="450">
        <f t="shared" si="9"/>
        <v>45812</v>
      </c>
      <c r="R12" s="450">
        <v>46871</v>
      </c>
      <c r="S12" s="437" t="s">
        <v>146</v>
      </c>
      <c r="T12" s="495">
        <f>Tabla33[[#This Row],[Cantidad]]*Tabla33[[#This Row],[Cortes]]</f>
        <v>836.98630000000003</v>
      </c>
      <c r="U12" s="496">
        <f t="shared" si="1"/>
        <v>720.43660742236091</v>
      </c>
      <c r="V12" s="497">
        <f t="shared" si="2"/>
        <v>720.30952490582035</v>
      </c>
      <c r="W12" s="497">
        <f>IF(Tabla33[[#This Row],[Fecha de operación]]=$C$1,0,U12-V12)</f>
        <v>0.12708251654055402</v>
      </c>
      <c r="X12" s="469" t="str">
        <f t="shared" ref="X12:X33" si="10">IF(R12&lt;=$U$5,"Vencido","Vigente")</f>
        <v>Vigente</v>
      </c>
      <c r="Y12" s="498"/>
      <c r="Z12" s="469">
        <f t="shared" ref="Z12:Z33" si="11">+R12-$U$5</f>
        <v>850</v>
      </c>
      <c r="AA12" s="499">
        <f t="shared" si="7"/>
        <v>2.9908444398760761</v>
      </c>
      <c r="AB12" s="499">
        <f t="shared" si="7"/>
        <v>2.9419284834660218</v>
      </c>
      <c r="AC12" s="469" t="s">
        <v>451</v>
      </c>
      <c r="AD12" s="469" t="s">
        <v>454</v>
      </c>
      <c r="AF12" s="444">
        <f>+IF(Tabla33[[#This Row],[Amortización k | cupón de intereses]]="Amortización de K",Tabla33[[#This Row],[Valor Nominal]],0)</f>
        <v>0</v>
      </c>
      <c r="AG12" s="444">
        <f>+IF(AND(Tabla33[[#This Row],[Amortización k | cupón de intereses]]="Cupón de interés",Tabla33[[#This Row],[Estado]]="Vigente"),Tabla33[[#This Row],[Valor Nominal]],0)</f>
        <v>836.98630000000003</v>
      </c>
      <c r="AH12" s="444">
        <f>+IF(Tabla33[[#This Row],[Amortización k | cupón de intereses]]="Amortización de K",SUMIFS($AG$7:$AG$418,Tabla33[Código Emisión],Tabla33[[#This Row],[Código Emisión]],Tabla33[Fecha de operación],Tabla33[[#This Row],[Fecha de operación]]),0)-Tabla33[[#This Row],[Accrued]]*Tabla33[[#This Row],[Valor Nominal]]</f>
        <v>0</v>
      </c>
      <c r="AI12" s="444">
        <f>+IF(Tabla33[[#This Row],[Amortización k | cupón de intereses]]="Amortización de K",IF(Tabla33[[#This Row],[Precio Clean]]&gt;1,Tabla33[[#This Row],[Valor Nominal]]*(Tabla33[[#This Row],[Precio Clean]]-1),0),0)</f>
        <v>0</v>
      </c>
      <c r="AJ12" s="444">
        <f>+IF(Tabla33[[#This Row],[Amortización k | cupón de intereses]]="Amortización de K",IF(Tabla33[[#This Row],[Precio Clean]]&lt;1,Tabla33[[#This Row],[Valor Nominal]]*(Tabla33[[#This Row],[Precio Clean]]-1),0),0)</f>
        <v>0</v>
      </c>
      <c r="AM12" s="595">
        <v>12010121001001</v>
      </c>
      <c r="AN12" s="596" t="s">
        <v>458</v>
      </c>
      <c r="AO12" s="597">
        <f>+SUMIF(Tabla33[Instrumento],$AN8,$AI$7:$AI$418)</f>
        <v>20524.107775759825</v>
      </c>
      <c r="AP12" s="444"/>
    </row>
    <row r="13" spans="1:43">
      <c r="B13" s="437" t="str">
        <f t="shared" si="8"/>
        <v>Banco Basa SA</v>
      </c>
      <c r="C13" s="437" t="str">
        <f t="shared" si="5"/>
        <v>PYBAM01F0358</v>
      </c>
      <c r="D13" s="437" t="str">
        <f t="shared" si="5"/>
        <v>Bonos Financieros</v>
      </c>
      <c r="E13" s="437" t="str">
        <f t="shared" si="5"/>
        <v>AA-py</v>
      </c>
      <c r="F13" s="437" t="str">
        <f t="shared" si="6"/>
        <v>Financiero</v>
      </c>
      <c r="G13" s="437" t="str">
        <f t="shared" si="6"/>
        <v>Paraguay</v>
      </c>
      <c r="H13" s="437">
        <f t="shared" si="6"/>
        <v>50</v>
      </c>
      <c r="I13" s="492">
        <v>16.205479</v>
      </c>
      <c r="J13" s="451"/>
      <c r="L13" s="442"/>
      <c r="M13" s="493"/>
      <c r="N13" s="493"/>
      <c r="O13" s="494">
        <f t="shared" si="9"/>
        <v>6.6508695483207689E-2</v>
      </c>
      <c r="P13" s="494">
        <f t="shared" si="9"/>
        <v>6.4911470005821315E-2</v>
      </c>
      <c r="Q13" s="450">
        <f t="shared" si="9"/>
        <v>45812</v>
      </c>
      <c r="R13" s="450">
        <v>46777</v>
      </c>
      <c r="S13" s="437" t="s">
        <v>146</v>
      </c>
      <c r="T13" s="495">
        <f>Tabla33[[#This Row],[Cantidad]]*Tabla33[[#This Row],[Cortes]]</f>
        <v>810.27395000000001</v>
      </c>
      <c r="U13" s="496">
        <f t="shared" si="1"/>
        <v>709.10588653963237</v>
      </c>
      <c r="V13" s="497">
        <f t="shared" si="2"/>
        <v>708.98080272292054</v>
      </c>
      <c r="W13" s="497">
        <f>IF(Tabla33[[#This Row],[Fecha de operación]]=$C$1,0,U13-V13)</f>
        <v>0.12508381671182178</v>
      </c>
      <c r="X13" s="469" t="str">
        <f t="shared" si="10"/>
        <v>Vigente</v>
      </c>
      <c r="Y13" s="498"/>
      <c r="Z13" s="469">
        <f t="shared" si="11"/>
        <v>756</v>
      </c>
      <c r="AA13" s="499">
        <f t="shared" si="7"/>
        <v>2.9908444398760761</v>
      </c>
      <c r="AB13" s="499">
        <f t="shared" si="7"/>
        <v>2.9419284834660218</v>
      </c>
      <c r="AC13" s="469" t="s">
        <v>451</v>
      </c>
      <c r="AD13" s="469" t="s">
        <v>454</v>
      </c>
      <c r="AF13" s="444">
        <f>+IF(Tabla33[[#This Row],[Amortización k | cupón de intereses]]="Amortización de K",Tabla33[[#This Row],[Valor Nominal]],0)</f>
        <v>0</v>
      </c>
      <c r="AG13" s="444">
        <f>+IF(AND(Tabla33[[#This Row],[Amortización k | cupón de intereses]]="Cupón de interés",Tabla33[[#This Row],[Estado]]="Vigente"),Tabla33[[#This Row],[Valor Nominal]],0)</f>
        <v>810.27395000000001</v>
      </c>
      <c r="AH13" s="444">
        <f>+IF(Tabla33[[#This Row],[Amortización k | cupón de intereses]]="Amortización de K",SUMIFS($AG$7:$AG$418,Tabla33[Código Emisión],Tabla33[[#This Row],[Código Emisión]],Tabla33[Fecha de operación],Tabla33[[#This Row],[Fecha de operación]]),0)-Tabla33[[#This Row],[Accrued]]*Tabla33[[#This Row],[Valor Nominal]]</f>
        <v>0</v>
      </c>
      <c r="AI13" s="444">
        <f>+IF(Tabla33[[#This Row],[Amortización k | cupón de intereses]]="Amortización de K",IF(Tabla33[[#This Row],[Precio Clean]]&gt;1,Tabla33[[#This Row],[Valor Nominal]]*(Tabla33[[#This Row],[Precio Clean]]-1),0),0)</f>
        <v>0</v>
      </c>
      <c r="AJ13" s="444">
        <f>+IF(Tabla33[[#This Row],[Amortización k | cupón de intereses]]="Amortización de K",IF(Tabla33[[#This Row],[Precio Clean]]&lt;1,Tabla33[[#This Row],[Valor Nominal]]*(Tabla33[[#This Row],[Precio Clean]]-1),0),0)</f>
        <v>0</v>
      </c>
      <c r="AM13" s="595">
        <v>22010110001001</v>
      </c>
      <c r="AN13" s="596" t="s">
        <v>459</v>
      </c>
      <c r="AO13" s="597">
        <f>+SUMIF(Tabla33[Instrumento],$AN8,$AJ$7:$AJ$418)</f>
        <v>-8914.2861949105536</v>
      </c>
      <c r="AP13" s="444"/>
    </row>
    <row r="14" spans="1:43">
      <c r="B14" s="437" t="str">
        <f t="shared" si="8"/>
        <v>Banco Basa SA</v>
      </c>
      <c r="C14" s="437" t="str">
        <f t="shared" si="5"/>
        <v>PYBAM01F0358</v>
      </c>
      <c r="D14" s="437" t="str">
        <f t="shared" si="5"/>
        <v>Bonos Financieros</v>
      </c>
      <c r="E14" s="437" t="str">
        <f t="shared" si="5"/>
        <v>AA-py</v>
      </c>
      <c r="F14" s="437" t="str">
        <f t="shared" si="6"/>
        <v>Financiero</v>
      </c>
      <c r="G14" s="437" t="str">
        <f t="shared" si="6"/>
        <v>Paraguay</v>
      </c>
      <c r="H14" s="437">
        <f t="shared" si="6"/>
        <v>50</v>
      </c>
      <c r="I14" s="492">
        <v>16.205479</v>
      </c>
      <c r="J14" s="451"/>
      <c r="L14" s="442"/>
      <c r="M14" s="493"/>
      <c r="N14" s="493"/>
      <c r="O14" s="494">
        <f t="shared" si="9"/>
        <v>6.6508695483207689E-2</v>
      </c>
      <c r="P14" s="494">
        <f t="shared" si="9"/>
        <v>6.4911470005821315E-2</v>
      </c>
      <c r="Q14" s="450">
        <f t="shared" si="9"/>
        <v>45812</v>
      </c>
      <c r="R14" s="450">
        <v>46686</v>
      </c>
      <c r="S14" s="437" t="s">
        <v>146</v>
      </c>
      <c r="T14" s="495">
        <f>Tabla33[[#This Row],[Cantidad]]*Tabla33[[#This Row],[Cortes]]</f>
        <v>810.27395000000001</v>
      </c>
      <c r="U14" s="496">
        <f t="shared" si="1"/>
        <v>720.58138239350342</v>
      </c>
      <c r="V14" s="497">
        <f t="shared" si="2"/>
        <v>720.45427433916041</v>
      </c>
      <c r="W14" s="497">
        <f>IF(Tabla33[[#This Row],[Fecha de operación]]=$C$1,0,U14-V14)</f>
        <v>0.12710805434301164</v>
      </c>
      <c r="X14" s="469" t="str">
        <f t="shared" si="10"/>
        <v>Vigente</v>
      </c>
      <c r="Y14" s="498"/>
      <c r="Z14" s="469">
        <f t="shared" si="11"/>
        <v>665</v>
      </c>
      <c r="AA14" s="499">
        <f t="shared" si="7"/>
        <v>2.9908444398760761</v>
      </c>
      <c r="AB14" s="499">
        <f t="shared" si="7"/>
        <v>2.9419284834660218</v>
      </c>
      <c r="AC14" s="469" t="s">
        <v>451</v>
      </c>
      <c r="AD14" s="469" t="s">
        <v>454</v>
      </c>
      <c r="AF14" s="444">
        <f>+IF(Tabla33[[#This Row],[Amortización k | cupón de intereses]]="Amortización de K",Tabla33[[#This Row],[Valor Nominal]],0)</f>
        <v>0</v>
      </c>
      <c r="AG14" s="444">
        <f>+IF(AND(Tabla33[[#This Row],[Amortización k | cupón de intereses]]="Cupón de interés",Tabla33[[#This Row],[Estado]]="Vigente"),Tabla33[[#This Row],[Valor Nominal]],0)</f>
        <v>810.27395000000001</v>
      </c>
      <c r="AH14" s="444">
        <f>+IF(Tabla33[[#This Row],[Amortización k | cupón de intereses]]="Amortización de K",SUMIFS($AG$7:$AG$418,Tabla33[Código Emisión],Tabla33[[#This Row],[Código Emisión]],Tabla33[Fecha de operación],Tabla33[[#This Row],[Fecha de operación]]),0)-Tabla33[[#This Row],[Accrued]]*Tabla33[[#This Row],[Valor Nominal]]</f>
        <v>0</v>
      </c>
      <c r="AI14" s="444">
        <f>+IF(Tabla33[[#This Row],[Amortización k | cupón de intereses]]="Amortización de K",IF(Tabla33[[#This Row],[Precio Clean]]&gt;1,Tabla33[[#This Row],[Valor Nominal]]*(Tabla33[[#This Row],[Precio Clean]]-1),0),0)</f>
        <v>0</v>
      </c>
      <c r="AJ14" s="444">
        <f>+IF(Tabla33[[#This Row],[Amortización k | cupón de intereses]]="Amortización de K",IF(Tabla33[[#This Row],[Precio Clean]]&lt;1,Tabla33[[#This Row],[Valor Nominal]]*(Tabla33[[#This Row],[Precio Clean]]-1),0),0)</f>
        <v>0</v>
      </c>
      <c r="AM14" s="463"/>
      <c r="AO14" s="444"/>
      <c r="AP14" s="444"/>
    </row>
    <row r="15" spans="1:43">
      <c r="B15" s="437" t="str">
        <f t="shared" si="8"/>
        <v>Banco Basa SA</v>
      </c>
      <c r="C15" s="437" t="str">
        <f t="shared" si="5"/>
        <v>PYBAM01F0358</v>
      </c>
      <c r="D15" s="437" t="str">
        <f t="shared" si="5"/>
        <v>Bonos Financieros</v>
      </c>
      <c r="E15" s="437" t="str">
        <f t="shared" si="5"/>
        <v>AA-py</v>
      </c>
      <c r="F15" s="437" t="str">
        <f t="shared" si="6"/>
        <v>Financiero</v>
      </c>
      <c r="G15" s="437" t="str">
        <f t="shared" si="6"/>
        <v>Paraguay</v>
      </c>
      <c r="H15" s="437">
        <f t="shared" si="6"/>
        <v>50</v>
      </c>
      <c r="I15" s="492">
        <v>16.205479</v>
      </c>
      <c r="J15" s="451"/>
      <c r="L15" s="442"/>
      <c r="M15" s="493"/>
      <c r="N15" s="493"/>
      <c r="O15" s="494">
        <f t="shared" si="9"/>
        <v>6.6508695483207689E-2</v>
      </c>
      <c r="P15" s="494">
        <f t="shared" si="9"/>
        <v>6.4911470005821315E-2</v>
      </c>
      <c r="Q15" s="450">
        <f t="shared" si="9"/>
        <v>45812</v>
      </c>
      <c r="R15" s="450">
        <v>46595</v>
      </c>
      <c r="S15" s="437" t="s">
        <v>146</v>
      </c>
      <c r="T15" s="495">
        <f>Tabla33[[#This Row],[Cantidad]]*Tabla33[[#This Row],[Cortes]]</f>
        <v>810.27395000000001</v>
      </c>
      <c r="U15" s="496">
        <f t="shared" si="1"/>
        <v>732.24258676790976</v>
      </c>
      <c r="V15" s="497">
        <f t="shared" si="2"/>
        <v>732.11342171759736</v>
      </c>
      <c r="W15" s="497">
        <f>IF(Tabla33[[#This Row],[Fecha de operación]]=$C$1,0,U15-V15)</f>
        <v>0.12916505031239467</v>
      </c>
      <c r="X15" s="469" t="str">
        <f t="shared" si="10"/>
        <v>Vigente</v>
      </c>
      <c r="Y15" s="498"/>
      <c r="Z15" s="469">
        <f t="shared" si="11"/>
        <v>574</v>
      </c>
      <c r="AA15" s="499">
        <f t="shared" si="7"/>
        <v>2.9908444398760761</v>
      </c>
      <c r="AB15" s="499">
        <f t="shared" si="7"/>
        <v>2.9419284834660218</v>
      </c>
      <c r="AC15" s="469" t="s">
        <v>451</v>
      </c>
      <c r="AD15" s="469" t="s">
        <v>454</v>
      </c>
      <c r="AF15" s="444">
        <f>+IF(Tabla33[[#This Row],[Amortización k | cupón de intereses]]="Amortización de K",Tabla33[[#This Row],[Valor Nominal]],0)</f>
        <v>0</v>
      </c>
      <c r="AG15" s="444">
        <f>+IF(AND(Tabla33[[#This Row],[Amortización k | cupón de intereses]]="Cupón de interés",Tabla33[[#This Row],[Estado]]="Vigente"),Tabla33[[#This Row],[Valor Nominal]],0)</f>
        <v>810.27395000000001</v>
      </c>
      <c r="AH15" s="444">
        <f>+IF(Tabla33[[#This Row],[Amortización k | cupón de intereses]]="Amortización de K",SUMIFS($AG$7:$AG$418,Tabla33[Código Emisión],Tabla33[[#This Row],[Código Emisión]],Tabla33[Fecha de operación],Tabla33[[#This Row],[Fecha de operación]]),0)-Tabla33[[#This Row],[Accrued]]*Tabla33[[#This Row],[Valor Nominal]]</f>
        <v>0</v>
      </c>
      <c r="AI15" s="444">
        <f>+IF(Tabla33[[#This Row],[Amortización k | cupón de intereses]]="Amortización de K",IF(Tabla33[[#This Row],[Precio Clean]]&gt;1,Tabla33[[#This Row],[Valor Nominal]]*(Tabla33[[#This Row],[Precio Clean]]-1),0),0)</f>
        <v>0</v>
      </c>
      <c r="AJ15" s="444">
        <f>+IF(Tabla33[[#This Row],[Amortización k | cupón de intereses]]="Amortización de K",IF(Tabla33[[#This Row],[Precio Clean]]&lt;1,Tabla33[[#This Row],[Valor Nominal]]*(Tabla33[[#This Row],[Precio Clean]]-1),0),0)</f>
        <v>0</v>
      </c>
      <c r="AM15" s="463"/>
      <c r="AN15" s="490" t="s">
        <v>460</v>
      </c>
      <c r="AO15" s="491">
        <f>+AO16+AO17-AO18+AO19+AO20</f>
        <v>202290.72459131165</v>
      </c>
      <c r="AP15" s="444">
        <f>+SUMIFS(Tabla33[Valor Presente o Contable],Tabla33[Instrumento],AN15)</f>
        <v>202290.72459131165</v>
      </c>
      <c r="AQ15" s="529">
        <f>+AO15-AP15</f>
        <v>0</v>
      </c>
    </row>
    <row r="16" spans="1:43">
      <c r="B16" s="437" t="str">
        <f t="shared" si="8"/>
        <v>Banco Basa SA</v>
      </c>
      <c r="C16" s="437" t="str">
        <f t="shared" si="5"/>
        <v>PYBAM01F0358</v>
      </c>
      <c r="D16" s="437" t="str">
        <f t="shared" si="5"/>
        <v>Bonos Financieros</v>
      </c>
      <c r="E16" s="437" t="str">
        <f t="shared" si="5"/>
        <v>AA-py</v>
      </c>
      <c r="F16" s="437" t="str">
        <f t="shared" si="6"/>
        <v>Financiero</v>
      </c>
      <c r="G16" s="437" t="str">
        <f t="shared" si="6"/>
        <v>Paraguay</v>
      </c>
      <c r="H16" s="437">
        <f t="shared" si="6"/>
        <v>50</v>
      </c>
      <c r="I16" s="492">
        <v>16.205479</v>
      </c>
      <c r="J16" s="451"/>
      <c r="L16" s="442"/>
      <c r="M16" s="493"/>
      <c r="N16" s="493"/>
      <c r="O16" s="494">
        <f t="shared" si="9"/>
        <v>6.6508695483207689E-2</v>
      </c>
      <c r="P16" s="494">
        <f t="shared" si="9"/>
        <v>6.4911470005821315E-2</v>
      </c>
      <c r="Q16" s="450">
        <f t="shared" si="9"/>
        <v>45812</v>
      </c>
      <c r="R16" s="450">
        <v>46504</v>
      </c>
      <c r="S16" s="437" t="s">
        <v>146</v>
      </c>
      <c r="T16" s="495">
        <f>Tabla33[[#This Row],[Cantidad]]*Tabla33[[#This Row],[Cortes]]</f>
        <v>810.27395000000001</v>
      </c>
      <c r="U16" s="496">
        <f t="shared" si="1"/>
        <v>744.09250499308212</v>
      </c>
      <c r="V16" s="497">
        <f t="shared" si="2"/>
        <v>743.96124965833178</v>
      </c>
      <c r="W16" s="497">
        <f>IF(Tabla33[[#This Row],[Fecha de operación]]=$C$1,0,U16-V16)</f>
        <v>0.13125533475033535</v>
      </c>
      <c r="X16" s="469" t="str">
        <f t="shared" si="10"/>
        <v>Vigente</v>
      </c>
      <c r="Y16" s="498"/>
      <c r="Z16" s="469">
        <f t="shared" si="11"/>
        <v>483</v>
      </c>
      <c r="AA16" s="499">
        <f t="shared" si="7"/>
        <v>2.9908444398760761</v>
      </c>
      <c r="AB16" s="499">
        <f t="shared" si="7"/>
        <v>2.9419284834660218</v>
      </c>
      <c r="AC16" s="469" t="s">
        <v>451</v>
      </c>
      <c r="AD16" s="469" t="s">
        <v>454</v>
      </c>
      <c r="AF16" s="444">
        <f>+IF(Tabla33[[#This Row],[Amortización k | cupón de intereses]]="Amortización de K",Tabla33[[#This Row],[Valor Nominal]],0)</f>
        <v>0</v>
      </c>
      <c r="AG16" s="444">
        <f>+IF(AND(Tabla33[[#This Row],[Amortización k | cupón de intereses]]="Cupón de interés",Tabla33[[#This Row],[Estado]]="Vigente"),Tabla33[[#This Row],[Valor Nominal]],0)</f>
        <v>810.27395000000001</v>
      </c>
      <c r="AH16" s="444">
        <f>+IF(Tabla33[[#This Row],[Amortización k | cupón de intereses]]="Amortización de K",SUMIFS($AG$7:$AG$418,Tabla33[Código Emisión],Tabla33[[#This Row],[Código Emisión]],Tabla33[Fecha de operación],Tabla33[[#This Row],[Fecha de operación]]),0)-Tabla33[[#This Row],[Accrued]]*Tabla33[[#This Row],[Valor Nominal]]</f>
        <v>0</v>
      </c>
      <c r="AI16" s="444">
        <f>+IF(Tabla33[[#This Row],[Amortización k | cupón de intereses]]="Amortización de K",IF(Tabla33[[#This Row],[Precio Clean]]&gt;1,Tabla33[[#This Row],[Valor Nominal]]*(Tabla33[[#This Row],[Precio Clean]]-1),0),0)</f>
        <v>0</v>
      </c>
      <c r="AJ16" s="444">
        <f>+IF(Tabla33[[#This Row],[Amortización k | cupón de intereses]]="Amortización de K",IF(Tabla33[[#This Row],[Precio Clean]]&lt;1,Tabla33[[#This Row],[Valor Nominal]]*(Tabla33[[#This Row],[Precio Clean]]-1),0),0)</f>
        <v>0</v>
      </c>
      <c r="AM16" s="595">
        <v>12010115004001</v>
      </c>
      <c r="AN16" s="596" t="s">
        <v>461</v>
      </c>
      <c r="AO16" s="597">
        <f>+SUMIF(Tabla33[Instrumento],$AN15,$AF$7:$AF$418)</f>
        <v>200000</v>
      </c>
      <c r="AP16" s="444"/>
    </row>
    <row r="17" spans="1:43">
      <c r="B17" s="437" t="str">
        <f t="shared" si="8"/>
        <v>Banco Basa SA</v>
      </c>
      <c r="C17" s="437" t="str">
        <f t="shared" si="5"/>
        <v>PYBAM01F0358</v>
      </c>
      <c r="D17" s="437" t="str">
        <f t="shared" si="5"/>
        <v>Bonos Financieros</v>
      </c>
      <c r="E17" s="437" t="str">
        <f t="shared" si="5"/>
        <v>AA-py</v>
      </c>
      <c r="F17" s="437" t="str">
        <f t="shared" si="5"/>
        <v>Financiero</v>
      </c>
      <c r="G17" s="437" t="str">
        <f t="shared" si="5"/>
        <v>Paraguay</v>
      </c>
      <c r="H17" s="437">
        <f t="shared" si="5"/>
        <v>50</v>
      </c>
      <c r="I17" s="492">
        <v>16.205479</v>
      </c>
      <c r="J17" s="451"/>
      <c r="L17" s="442"/>
      <c r="M17" s="493"/>
      <c r="N17" s="493"/>
      <c r="O17" s="494">
        <f t="shared" si="9"/>
        <v>6.6508695483207689E-2</v>
      </c>
      <c r="P17" s="494">
        <f t="shared" si="9"/>
        <v>6.4911470005821315E-2</v>
      </c>
      <c r="Q17" s="450">
        <f t="shared" si="9"/>
        <v>45812</v>
      </c>
      <c r="R17" s="450">
        <v>46413</v>
      </c>
      <c r="S17" s="437" t="s">
        <v>146</v>
      </c>
      <c r="T17" s="495">
        <f>Tabla33[[#This Row],[Cantidad]]*Tabla33[[#This Row],[Cortes]]</f>
        <v>810.27395000000001</v>
      </c>
      <c r="U17" s="496">
        <f t="shared" si="1"/>
        <v>756.13419103465947</v>
      </c>
      <c r="V17" s="497">
        <f t="shared" si="2"/>
        <v>756.00081158829437</v>
      </c>
      <c r="W17" s="497">
        <f>IF(Tabla33[[#This Row],[Fecha de operación]]=$C$1,0,U17-V17)</f>
        <v>0.13337944636509746</v>
      </c>
      <c r="X17" s="469" t="str">
        <f t="shared" si="10"/>
        <v>Vigente</v>
      </c>
      <c r="Y17" s="498"/>
      <c r="Z17" s="469">
        <f t="shared" si="11"/>
        <v>392</v>
      </c>
      <c r="AA17" s="499">
        <f t="shared" si="7"/>
        <v>2.9908444398760761</v>
      </c>
      <c r="AB17" s="499">
        <f t="shared" si="7"/>
        <v>2.9419284834660218</v>
      </c>
      <c r="AC17" s="469" t="s">
        <v>451</v>
      </c>
      <c r="AD17" s="469" t="s">
        <v>454</v>
      </c>
      <c r="AF17" s="444">
        <f>+IF(Tabla33[[#This Row],[Amortización k | cupón de intereses]]="Amortización de K",Tabla33[[#This Row],[Valor Nominal]],0)</f>
        <v>0</v>
      </c>
      <c r="AG17" s="444">
        <f>+IF(AND(Tabla33[[#This Row],[Amortización k | cupón de intereses]]="Cupón de interés",Tabla33[[#This Row],[Estado]]="Vigente"),Tabla33[[#This Row],[Valor Nominal]],0)</f>
        <v>810.27395000000001</v>
      </c>
      <c r="AH17" s="444">
        <f>+IF(Tabla33[[#This Row],[Amortización k | cupón de intereses]]="Amortización de K",SUMIFS($AG$7:$AG$418,Tabla33[Código Emisión],Tabla33[[#This Row],[Código Emisión]],Tabla33[Fecha de operación],Tabla33[[#This Row],[Fecha de operación]]),0)-Tabla33[[#This Row],[Accrued]]*Tabla33[[#This Row],[Valor Nominal]]</f>
        <v>0</v>
      </c>
      <c r="AI17" s="444">
        <f>+IF(Tabla33[[#This Row],[Amortización k | cupón de intereses]]="Amortización de K",IF(Tabla33[[#This Row],[Precio Clean]]&gt;1,Tabla33[[#This Row],[Valor Nominal]]*(Tabla33[[#This Row],[Precio Clean]]-1),0),0)</f>
        <v>0</v>
      </c>
      <c r="AJ17" s="444">
        <f>+IF(Tabla33[[#This Row],[Amortización k | cupón de intereses]]="Amortización de K",IF(Tabla33[[#This Row],[Precio Clean]]&lt;1,Tabla33[[#This Row],[Valor Nominal]]*(Tabla33[[#This Row],[Precio Clean]]-1),0),0)</f>
        <v>0</v>
      </c>
      <c r="AM17" s="595">
        <v>13080225004001</v>
      </c>
      <c r="AN17" s="596" t="s">
        <v>462</v>
      </c>
      <c r="AO17" s="597">
        <f>+SUMIF(Tabla33[Instrumento],$AN15,$AG$7:$AG$418)</f>
        <v>45589.04</v>
      </c>
      <c r="AP17" s="444"/>
    </row>
    <row r="18" spans="1:43">
      <c r="B18" s="437" t="str">
        <f t="shared" si="8"/>
        <v>Banco Basa SA</v>
      </c>
      <c r="C18" s="437" t="str">
        <f t="shared" si="5"/>
        <v>PYBAM01F0358</v>
      </c>
      <c r="D18" s="437" t="str">
        <f t="shared" si="5"/>
        <v>Bonos Financieros</v>
      </c>
      <c r="E18" s="437" t="str">
        <f t="shared" si="5"/>
        <v>AA-py</v>
      </c>
      <c r="F18" s="437" t="str">
        <f t="shared" si="5"/>
        <v>Financiero</v>
      </c>
      <c r="G18" s="437" t="str">
        <f t="shared" si="5"/>
        <v>Paraguay</v>
      </c>
      <c r="H18" s="437">
        <f t="shared" si="5"/>
        <v>50</v>
      </c>
      <c r="I18" s="492">
        <v>16.205479</v>
      </c>
      <c r="J18" s="451"/>
      <c r="L18" s="442"/>
      <c r="M18" s="493"/>
      <c r="N18" s="493"/>
      <c r="O18" s="494">
        <f t="shared" si="9"/>
        <v>6.6508695483207689E-2</v>
      </c>
      <c r="P18" s="494">
        <f t="shared" si="9"/>
        <v>6.4911470005821315E-2</v>
      </c>
      <c r="Q18" s="450">
        <f t="shared" si="9"/>
        <v>45812</v>
      </c>
      <c r="R18" s="450">
        <v>46322</v>
      </c>
      <c r="S18" s="437" t="s">
        <v>146</v>
      </c>
      <c r="T18" s="495">
        <f>Tabla33[[#This Row],[Cantidad]]*Tabla33[[#This Row],[Cortes]]</f>
        <v>810.27395000000001</v>
      </c>
      <c r="U18" s="496">
        <f t="shared" si="1"/>
        <v>768.3707482807589</v>
      </c>
      <c r="V18" s="497">
        <f t="shared" si="2"/>
        <v>768.23521034817509</v>
      </c>
      <c r="W18" s="497">
        <f>IF(Tabla33[[#This Row],[Fecha de operación]]=$C$1,0,U18-V18)</f>
        <v>0.13553793258381575</v>
      </c>
      <c r="X18" s="469" t="str">
        <f t="shared" si="10"/>
        <v>Vigente</v>
      </c>
      <c r="Y18" s="498"/>
      <c r="Z18" s="469">
        <f t="shared" si="11"/>
        <v>301</v>
      </c>
      <c r="AA18" s="499">
        <f t="shared" si="7"/>
        <v>2.9908444398760761</v>
      </c>
      <c r="AB18" s="499">
        <f t="shared" si="7"/>
        <v>2.9419284834660218</v>
      </c>
      <c r="AC18" s="469" t="s">
        <v>451</v>
      </c>
      <c r="AD18" s="469" t="s">
        <v>454</v>
      </c>
      <c r="AF18" s="444">
        <f>+IF(Tabla33[[#This Row],[Amortización k | cupón de intereses]]="Amortización de K",Tabla33[[#This Row],[Valor Nominal]],0)</f>
        <v>0</v>
      </c>
      <c r="AG18" s="444">
        <f>+IF(AND(Tabla33[[#This Row],[Amortización k | cupón de intereses]]="Cupón de interés",Tabla33[[#This Row],[Estado]]="Vigente"),Tabla33[[#This Row],[Valor Nominal]],0)</f>
        <v>810.27395000000001</v>
      </c>
      <c r="AH18" s="444">
        <f>+IF(Tabla33[[#This Row],[Amortización k | cupón de intereses]]="Amortización de K",SUMIFS($AG$7:$AG$418,Tabla33[Código Emisión],Tabla33[[#This Row],[Código Emisión]],Tabla33[Fecha de operación],Tabla33[[#This Row],[Fecha de operación]]),0)-Tabla33[[#This Row],[Accrued]]*Tabla33[[#This Row],[Valor Nominal]]</f>
        <v>0</v>
      </c>
      <c r="AI18" s="444">
        <f>+IF(Tabla33[[#This Row],[Amortización k | cupón de intereses]]="Amortización de K",IF(Tabla33[[#This Row],[Precio Clean]]&gt;1,Tabla33[[#This Row],[Valor Nominal]]*(Tabla33[[#This Row],[Precio Clean]]-1),0),0)</f>
        <v>0</v>
      </c>
      <c r="AJ18" s="444">
        <f>+IF(Tabla33[[#This Row],[Amortización k | cupón de intereses]]="Amortización de K",IF(Tabla33[[#This Row],[Precio Clean]]&lt;1,Tabla33[[#This Row],[Valor Nominal]]*(Tabla33[[#This Row],[Precio Clean]]-1),0),0)</f>
        <v>0</v>
      </c>
      <c r="AM18" s="595">
        <v>13080225904001</v>
      </c>
      <c r="AN18" s="596" t="s">
        <v>463</v>
      </c>
      <c r="AO18" s="597">
        <f>+SUMIF(Tabla33[Instrumento],$AN15,$AH$7:$AH$418)</f>
        <v>43345.204383561642</v>
      </c>
      <c r="AP18" s="444"/>
    </row>
    <row r="19" spans="1:43">
      <c r="B19" s="437" t="str">
        <f t="shared" si="8"/>
        <v>Banco Basa SA</v>
      </c>
      <c r="C19" s="437" t="str">
        <f t="shared" si="5"/>
        <v>PYBAM01F0358</v>
      </c>
      <c r="D19" s="437" t="str">
        <f t="shared" si="5"/>
        <v>Bonos Financieros</v>
      </c>
      <c r="E19" s="437" t="str">
        <f t="shared" si="5"/>
        <v>AA-py</v>
      </c>
      <c r="F19" s="437" t="str">
        <f t="shared" si="5"/>
        <v>Financiero</v>
      </c>
      <c r="G19" s="437" t="str">
        <f t="shared" si="5"/>
        <v>Paraguay</v>
      </c>
      <c r="H19" s="437">
        <f t="shared" si="5"/>
        <v>50</v>
      </c>
      <c r="I19" s="492">
        <v>16.205479</v>
      </c>
      <c r="J19" s="451"/>
      <c r="L19" s="442"/>
      <c r="M19" s="493"/>
      <c r="N19" s="493"/>
      <c r="O19" s="494">
        <f t="shared" si="9"/>
        <v>6.6508695483207689E-2</v>
      </c>
      <c r="P19" s="494">
        <f t="shared" si="9"/>
        <v>6.4911470005821315E-2</v>
      </c>
      <c r="Q19" s="450">
        <f t="shared" si="9"/>
        <v>45812</v>
      </c>
      <c r="R19" s="450">
        <v>46231</v>
      </c>
      <c r="S19" s="437" t="s">
        <v>146</v>
      </c>
      <c r="T19" s="495">
        <f>Tabla33[[#This Row],[Cantidad]]*Tabla33[[#This Row],[Cortes]]</f>
        <v>810.27395000000001</v>
      </c>
      <c r="U19" s="496">
        <f t="shared" si="1"/>
        <v>780.80533034178211</v>
      </c>
      <c r="V19" s="497">
        <f t="shared" si="2"/>
        <v>780.66759899208967</v>
      </c>
      <c r="W19" s="497">
        <f>IF(Tabla33[[#This Row],[Fecha de operación]]=$C$1,0,U19-V19)</f>
        <v>0.13773134969244438</v>
      </c>
      <c r="X19" s="469" t="str">
        <f t="shared" si="10"/>
        <v>Vigente</v>
      </c>
      <c r="Y19" s="498"/>
      <c r="Z19" s="469">
        <f t="shared" si="11"/>
        <v>210</v>
      </c>
      <c r="AA19" s="499">
        <f t="shared" si="7"/>
        <v>2.9908444398760761</v>
      </c>
      <c r="AB19" s="499">
        <f t="shared" si="7"/>
        <v>2.9419284834660218</v>
      </c>
      <c r="AC19" s="469" t="s">
        <v>451</v>
      </c>
      <c r="AD19" s="469" t="s">
        <v>454</v>
      </c>
      <c r="AF19" s="444">
        <f>+IF(Tabla33[[#This Row],[Amortización k | cupón de intereses]]="Amortización de K",Tabla33[[#This Row],[Valor Nominal]],0)</f>
        <v>0</v>
      </c>
      <c r="AG19" s="444">
        <f>+IF(AND(Tabla33[[#This Row],[Amortización k | cupón de intereses]]="Cupón de interés",Tabla33[[#This Row],[Estado]]="Vigente"),Tabla33[[#This Row],[Valor Nominal]],0)</f>
        <v>810.27395000000001</v>
      </c>
      <c r="AH19" s="444">
        <f>+IF(Tabla33[[#This Row],[Amortización k | cupón de intereses]]="Amortización de K",SUMIFS($AG$7:$AG$418,Tabla33[Código Emisión],Tabla33[[#This Row],[Código Emisión]],Tabla33[Fecha de operación],Tabla33[[#This Row],[Fecha de operación]]),0)-Tabla33[[#This Row],[Accrued]]*Tabla33[[#This Row],[Valor Nominal]]</f>
        <v>0</v>
      </c>
      <c r="AI19" s="444">
        <f>+IF(Tabla33[[#This Row],[Amortización k | cupón de intereses]]="Amortización de K",IF(Tabla33[[#This Row],[Precio Clean]]&gt;1,Tabla33[[#This Row],[Valor Nominal]]*(Tabla33[[#This Row],[Precio Clean]]-1),0),0)</f>
        <v>0</v>
      </c>
      <c r="AJ19" s="444">
        <f>+IF(Tabla33[[#This Row],[Amortización k | cupón de intereses]]="Amortización de K",IF(Tabla33[[#This Row],[Precio Clean]]&lt;1,Tabla33[[#This Row],[Valor Nominal]]*(Tabla33[[#This Row],[Precio Clean]]-1),0),0)</f>
        <v>0</v>
      </c>
      <c r="AM19" s="595">
        <v>12010121004001</v>
      </c>
      <c r="AN19" s="596" t="s">
        <v>464</v>
      </c>
      <c r="AO19" s="597">
        <f>+SUMIF(Tabla33[Instrumento],$AN15,$AI$7:$AI$418)</f>
        <v>46.888974873282585</v>
      </c>
      <c r="AP19" s="444"/>
    </row>
    <row r="20" spans="1:43">
      <c r="B20" s="437" t="str">
        <f t="shared" si="8"/>
        <v>Banco Basa SA</v>
      </c>
      <c r="C20" s="437" t="str">
        <f t="shared" si="5"/>
        <v>PYBAM01F0358</v>
      </c>
      <c r="D20" s="437" t="str">
        <f t="shared" si="5"/>
        <v>Bonos Financieros</v>
      </c>
      <c r="E20" s="437" t="str">
        <f t="shared" si="5"/>
        <v>AA-py</v>
      </c>
      <c r="F20" s="437" t="str">
        <f t="shared" si="5"/>
        <v>Financiero</v>
      </c>
      <c r="G20" s="437" t="str">
        <f t="shared" si="5"/>
        <v>Paraguay</v>
      </c>
      <c r="H20" s="437">
        <f t="shared" si="5"/>
        <v>50</v>
      </c>
      <c r="I20" s="492">
        <v>16.205479</v>
      </c>
      <c r="J20" s="451"/>
      <c r="L20" s="442"/>
      <c r="M20" s="493"/>
      <c r="N20" s="493"/>
      <c r="O20" s="494">
        <f t="shared" si="9"/>
        <v>6.6508695483207689E-2</v>
      </c>
      <c r="P20" s="494">
        <f t="shared" si="9"/>
        <v>6.4911470005821315E-2</v>
      </c>
      <c r="Q20" s="450">
        <f t="shared" si="9"/>
        <v>45812</v>
      </c>
      <c r="R20" s="450">
        <v>46140</v>
      </c>
      <c r="S20" s="437" t="s">
        <v>146</v>
      </c>
      <c r="T20" s="495">
        <f>Tabla33[[#This Row],[Cantidad]]*Tabla33[[#This Row],[Cortes]]</f>
        <v>810.27395000000001</v>
      </c>
      <c r="U20" s="496">
        <f t="shared" si="1"/>
        <v>793.44114186316449</v>
      </c>
      <c r="V20" s="497">
        <f t="shared" si="2"/>
        <v>793.30118160018503</v>
      </c>
      <c r="W20" s="497">
        <f>IF(Tabla33[[#This Row],[Fecha de operación]]=$C$1,0,U20-V20)</f>
        <v>0.13996026297945718</v>
      </c>
      <c r="X20" s="469" t="str">
        <f t="shared" si="10"/>
        <v>Vigente</v>
      </c>
      <c r="Y20" s="498"/>
      <c r="Z20" s="469">
        <f t="shared" si="11"/>
        <v>119</v>
      </c>
      <c r="AA20" s="499">
        <f t="shared" si="7"/>
        <v>2.9908444398760761</v>
      </c>
      <c r="AB20" s="499">
        <f t="shared" si="7"/>
        <v>2.9419284834660218</v>
      </c>
      <c r="AC20" s="469" t="s">
        <v>451</v>
      </c>
      <c r="AD20" s="469" t="s">
        <v>454</v>
      </c>
      <c r="AF20" s="444">
        <f>+IF(Tabla33[[#This Row],[Amortización k | cupón de intereses]]="Amortización de K",Tabla33[[#This Row],[Valor Nominal]],0)</f>
        <v>0</v>
      </c>
      <c r="AG20" s="444">
        <f>+IF(AND(Tabla33[[#This Row],[Amortización k | cupón de intereses]]="Cupón de interés",Tabla33[[#This Row],[Estado]]="Vigente"),Tabla33[[#This Row],[Valor Nominal]],0)</f>
        <v>810.27395000000001</v>
      </c>
      <c r="AH20" s="444">
        <f>+IF(Tabla33[[#This Row],[Amortización k | cupón de intereses]]="Amortización de K",SUMIFS($AG$7:$AG$418,Tabla33[Código Emisión],Tabla33[[#This Row],[Código Emisión]],Tabla33[Fecha de operación],Tabla33[[#This Row],[Fecha de operación]]),0)-Tabla33[[#This Row],[Accrued]]*Tabla33[[#This Row],[Valor Nominal]]</f>
        <v>0</v>
      </c>
      <c r="AI20" s="444">
        <f>+IF(Tabla33[[#This Row],[Amortización k | cupón de intereses]]="Amortización de K",IF(Tabla33[[#This Row],[Precio Clean]]&gt;1,Tabla33[[#This Row],[Valor Nominal]]*(Tabla33[[#This Row],[Precio Clean]]-1),0),0)</f>
        <v>0</v>
      </c>
      <c r="AJ20" s="444">
        <f>+IF(Tabla33[[#This Row],[Amortización k | cupón de intereses]]="Amortización de K",IF(Tabla33[[#This Row],[Precio Clean]]&lt;1,Tabla33[[#This Row],[Valor Nominal]]*(Tabla33[[#This Row],[Precio Clean]]-1),0),0)</f>
        <v>0</v>
      </c>
      <c r="AM20" s="463">
        <v>22010110004001</v>
      </c>
      <c r="AN20" s="437" t="s">
        <v>465</v>
      </c>
      <c r="AO20" s="444">
        <f>+SUMIF(Tabla33[Instrumento],$AN15,$AJ$7:$AJ$418)</f>
        <v>0</v>
      </c>
      <c r="AP20" s="444"/>
    </row>
    <row r="21" spans="1:43">
      <c r="B21" s="437" t="str">
        <f t="shared" si="8"/>
        <v>Banco Basa SA</v>
      </c>
      <c r="C21" s="437" t="str">
        <f t="shared" si="5"/>
        <v>PYBAM01F0358</v>
      </c>
      <c r="D21" s="437" t="str">
        <f t="shared" si="5"/>
        <v>Bonos Financieros</v>
      </c>
      <c r="E21" s="437" t="str">
        <f t="shared" si="5"/>
        <v>AA-py</v>
      </c>
      <c r="F21" s="437" t="str">
        <f t="shared" si="5"/>
        <v>Financiero</v>
      </c>
      <c r="G21" s="437" t="str">
        <f t="shared" si="5"/>
        <v>Paraguay</v>
      </c>
      <c r="H21" s="437">
        <f t="shared" si="5"/>
        <v>50</v>
      </c>
      <c r="I21" s="492">
        <v>16.205479</v>
      </c>
      <c r="J21" s="451"/>
      <c r="L21" s="442"/>
      <c r="M21" s="493"/>
      <c r="N21" s="493"/>
      <c r="O21" s="494">
        <f t="shared" si="9"/>
        <v>6.6508695483207689E-2</v>
      </c>
      <c r="P21" s="494">
        <f t="shared" si="9"/>
        <v>6.4911470005821315E-2</v>
      </c>
      <c r="Q21" s="450">
        <f t="shared" si="9"/>
        <v>45812</v>
      </c>
      <c r="R21" s="450">
        <v>46049</v>
      </c>
      <c r="S21" s="437" t="s">
        <v>146</v>
      </c>
      <c r="T21" s="495">
        <f>Tabla33[[#This Row],[Cantidad]]*Tabla33[[#This Row],[Cortes]]</f>
        <v>810.27395000000001</v>
      </c>
      <c r="U21" s="496">
        <f t="shared" si="1"/>
        <v>806.28143935127821</v>
      </c>
      <c r="V21" s="497">
        <f t="shared" si="2"/>
        <v>806.13921410439718</v>
      </c>
      <c r="W21" s="497">
        <f>IF(Tabla33[[#This Row],[Fecha de operación]]=$C$1,0,U21-V21)</f>
        <v>0.14222524688102567</v>
      </c>
      <c r="X21" s="469" t="str">
        <f t="shared" si="10"/>
        <v>Vigente</v>
      </c>
      <c r="Y21" s="498"/>
      <c r="Z21" s="469">
        <f t="shared" si="11"/>
        <v>28</v>
      </c>
      <c r="AA21" s="499">
        <f t="shared" si="7"/>
        <v>2.9908444398760761</v>
      </c>
      <c r="AB21" s="499">
        <f t="shared" si="7"/>
        <v>2.9419284834660218</v>
      </c>
      <c r="AC21" s="469" t="s">
        <v>451</v>
      </c>
      <c r="AD21" s="469" t="s">
        <v>454</v>
      </c>
      <c r="AF21" s="444">
        <f>+IF(Tabla33[[#This Row],[Amortización k | cupón de intereses]]="Amortización de K",Tabla33[[#This Row],[Valor Nominal]],0)</f>
        <v>0</v>
      </c>
      <c r="AG21" s="444">
        <f>+IF(AND(Tabla33[[#This Row],[Amortización k | cupón de intereses]]="Cupón de interés",Tabla33[[#This Row],[Estado]]="Vigente"),Tabla33[[#This Row],[Valor Nominal]],0)</f>
        <v>810.27395000000001</v>
      </c>
      <c r="AH21" s="444">
        <f>+IF(Tabla33[[#This Row],[Amortización k | cupón de intereses]]="Amortización de K",SUMIFS($AG$7:$AG$418,Tabla33[Código Emisión],Tabla33[[#This Row],[Código Emisión]],Tabla33[Fecha de operación],Tabla33[[#This Row],[Fecha de operación]]),0)-Tabla33[[#This Row],[Accrued]]*Tabla33[[#This Row],[Valor Nominal]]</f>
        <v>0</v>
      </c>
      <c r="AI21" s="444">
        <f>+IF(Tabla33[[#This Row],[Amortización k | cupón de intereses]]="Amortización de K",IF(Tabla33[[#This Row],[Precio Clean]]&gt;1,Tabla33[[#This Row],[Valor Nominal]]*(Tabla33[[#This Row],[Precio Clean]]-1),0),0)</f>
        <v>0</v>
      </c>
      <c r="AJ21" s="444">
        <f>+IF(Tabla33[[#This Row],[Amortización k | cupón de intereses]]="Amortización de K",IF(Tabla33[[#This Row],[Precio Clean]]&lt;1,Tabla33[[#This Row],[Valor Nominal]]*(Tabla33[[#This Row],[Precio Clean]]-1),0),0)</f>
        <v>0</v>
      </c>
      <c r="AM21" s="463"/>
      <c r="AO21" s="444"/>
      <c r="AP21" s="444"/>
    </row>
    <row r="22" spans="1:43">
      <c r="B22" s="437" t="str">
        <f t="shared" si="8"/>
        <v>Banco Basa SA</v>
      </c>
      <c r="C22" s="437" t="str">
        <f t="shared" si="5"/>
        <v>PYBAM01F0358</v>
      </c>
      <c r="D22" s="437" t="str">
        <f t="shared" si="5"/>
        <v>Bonos Financieros</v>
      </c>
      <c r="E22" s="437" t="str">
        <f t="shared" si="5"/>
        <v>AA-py</v>
      </c>
      <c r="F22" s="437" t="str">
        <f t="shared" si="5"/>
        <v>Financiero</v>
      </c>
      <c r="G22" s="437" t="str">
        <f t="shared" si="5"/>
        <v>Paraguay</v>
      </c>
      <c r="H22" s="437">
        <f t="shared" si="5"/>
        <v>50</v>
      </c>
      <c r="I22" s="492">
        <v>16.205479</v>
      </c>
      <c r="J22" s="451"/>
      <c r="L22" s="442"/>
      <c r="M22" s="493"/>
      <c r="N22" s="493"/>
      <c r="O22" s="494">
        <f t="shared" si="9"/>
        <v>6.6508695483207689E-2</v>
      </c>
      <c r="P22" s="494">
        <f t="shared" si="9"/>
        <v>6.4911470005821315E-2</v>
      </c>
      <c r="Q22" s="450">
        <f t="shared" si="9"/>
        <v>45812</v>
      </c>
      <c r="R22" s="450">
        <v>45958</v>
      </c>
      <c r="S22" s="437" t="s">
        <v>146</v>
      </c>
      <c r="T22" s="495">
        <f>Tabla33[[#This Row],[Cantidad]]*Tabla33[[#This Row],[Cortes]]</f>
        <v>810.27395000000001</v>
      </c>
      <c r="U22" s="496" t="b">
        <f t="shared" si="1"/>
        <v>0</v>
      </c>
      <c r="V22" s="497" t="b">
        <f t="shared" si="2"/>
        <v>0</v>
      </c>
      <c r="W22" s="497">
        <f>IF(Tabla33[[#This Row],[Fecha de operación]]=$C$1,0,U22-V22)</f>
        <v>0</v>
      </c>
      <c r="X22" s="469" t="str">
        <f t="shared" si="10"/>
        <v>Vencido</v>
      </c>
      <c r="Y22" s="498"/>
      <c r="Z22" s="469">
        <f t="shared" si="11"/>
        <v>-63</v>
      </c>
      <c r="AA22" s="499">
        <f t="shared" si="7"/>
        <v>2.9908444398760761</v>
      </c>
      <c r="AB22" s="499">
        <f t="shared" si="7"/>
        <v>2.9419284834660218</v>
      </c>
      <c r="AC22" s="469" t="s">
        <v>451</v>
      </c>
      <c r="AD22" s="469" t="s">
        <v>454</v>
      </c>
      <c r="AF22" s="444">
        <f>+IF(Tabla33[[#This Row],[Amortización k | cupón de intereses]]="Amortización de K",Tabla33[[#This Row],[Valor Nominal]],0)</f>
        <v>0</v>
      </c>
      <c r="AG22" s="444">
        <f>+IF(AND(Tabla33[[#This Row],[Amortización k | cupón de intereses]]="Cupón de interés",Tabla33[[#This Row],[Estado]]="Vigente"),Tabla33[[#This Row],[Valor Nominal]],0)</f>
        <v>0</v>
      </c>
      <c r="AH22" s="444">
        <f>+IF(Tabla33[[#This Row],[Amortización k | cupón de intereses]]="Amortización de K",SUMIFS($AG$7:$AG$418,Tabla33[Código Emisión],Tabla33[[#This Row],[Código Emisión]],Tabla33[Fecha de operación],Tabla33[[#This Row],[Fecha de operación]]),0)-Tabla33[[#This Row],[Accrued]]*Tabla33[[#This Row],[Valor Nominal]]</f>
        <v>0</v>
      </c>
      <c r="AI22" s="444">
        <f>+IF(Tabla33[[#This Row],[Amortización k | cupón de intereses]]="Amortización de K",IF(Tabla33[[#This Row],[Precio Clean]]&gt;1,Tabla33[[#This Row],[Valor Nominal]]*(Tabla33[[#This Row],[Precio Clean]]-1),0),0)</f>
        <v>0</v>
      </c>
      <c r="AJ22" s="444">
        <f>+IF(Tabla33[[#This Row],[Amortización k | cupón de intereses]]="Amortización de K",IF(Tabla33[[#This Row],[Precio Clean]]&lt;1,Tabla33[[#This Row],[Valor Nominal]]*(Tabla33[[#This Row],[Precio Clean]]-1),0),0)</f>
        <v>0</v>
      </c>
      <c r="AM22" s="463"/>
      <c r="AN22" s="490" t="s">
        <v>466</v>
      </c>
      <c r="AO22" s="599">
        <f>+AO23+AO24-AO25+AO26+AO27</f>
        <v>248816.56148157001</v>
      </c>
      <c r="AP22" s="444">
        <f>+SUMIFS(Tabla33[Valor Presente o Contable],Tabla33[Instrumento],AN22)</f>
        <v>248816.56148157001</v>
      </c>
      <c r="AQ22" s="529">
        <f>+AO22-AP22</f>
        <v>0</v>
      </c>
    </row>
    <row r="23" spans="1:43">
      <c r="A23" s="500">
        <f>+A7+1</f>
        <v>2</v>
      </c>
      <c r="B23" s="475" t="s">
        <v>447</v>
      </c>
      <c r="C23" s="475" t="s">
        <v>467</v>
      </c>
      <c r="D23" s="475" t="s">
        <v>453</v>
      </c>
      <c r="E23" s="475" t="s">
        <v>449</v>
      </c>
      <c r="F23" s="475" t="s">
        <v>297</v>
      </c>
      <c r="G23" s="475" t="s">
        <v>298</v>
      </c>
      <c r="H23" s="475">
        <v>2</v>
      </c>
      <c r="I23" s="477">
        <v>100000</v>
      </c>
      <c r="J23" s="478">
        <v>5.1499999999999997E-2</v>
      </c>
      <c r="K23" s="484">
        <v>45736</v>
      </c>
      <c r="L23" s="503">
        <f>+(1*(J23/365)*(Q23-K23))</f>
        <v>1.0723287671232876E-2</v>
      </c>
      <c r="M23" s="501">
        <f>(SUM(U23:U31)/Tabla33[[#This Row],[Valor Nominal]])-Tabla33[[#This Row],[Accrued]]</f>
        <v>0.97014489012557481</v>
      </c>
      <c r="N23" s="501">
        <f>(SUM(U23:U31)/Tabla33[[#This Row],[Valor Nominal]])</f>
        <v>0.98086817779680768</v>
      </c>
      <c r="O23" s="482">
        <v>6.6607305407524117E-2</v>
      </c>
      <c r="P23" s="482">
        <v>6.500542768207751E-2</v>
      </c>
      <c r="Q23" s="484">
        <v>45812</v>
      </c>
      <c r="R23" s="484">
        <v>46568</v>
      </c>
      <c r="S23" s="475" t="s">
        <v>146</v>
      </c>
      <c r="T23" s="485">
        <f>Tabla33[[#This Row],[Cantidad]]*Tabla33[[#This Row],[Cortes]]</f>
        <v>200000</v>
      </c>
      <c r="U23" s="486">
        <f t="shared" si="1"/>
        <v>181577.2887926198</v>
      </c>
      <c r="V23" s="487">
        <f t="shared" si="2"/>
        <v>181545.21320296027</v>
      </c>
      <c r="W23" s="487">
        <f>IF(Tabla33[[#This Row],[Fecha de operación]]=$C$1,0,U23-V23)</f>
        <v>32.07558965953649</v>
      </c>
      <c r="X23" s="488" t="str">
        <f t="shared" si="10"/>
        <v>Vigente</v>
      </c>
      <c r="Y23" s="489" t="s">
        <v>450</v>
      </c>
      <c r="Z23" s="488">
        <f t="shared" si="11"/>
        <v>547</v>
      </c>
      <c r="AA23" s="477">
        <f>IF(Y23="Mensual",DURATION($C$1,$C$1+Z23*12,J23/12,O23/12,1)/12,DURATION($C$1,R23,J23,O23,IF(Y23="Cupón cero",1,IF(Y23="Al vencimiento",1,IF(Y23="Anual",1,IF(Y23="Semestral",2,IF(Y23="Trimestral",4,"")))))))</f>
        <v>1.4336561622218267</v>
      </c>
      <c r="AB23" s="477">
        <f>IF(Y23="Mensual",MDURATION($C$1,$C$1+Z23*12,J23/12,O23/12,1)/12,MDURATION($C$1,R23,J23,O23,IF(Y23="Cupón cero",1,IF(Y23="Al vencimiento",1,IF(Y23="Anual",1,IF(Y23="Semestral",2,IF(Y23="Trimestral",4,"")))))))</f>
        <v>1.4101741865416302</v>
      </c>
      <c r="AC23" s="488" t="s">
        <v>451</v>
      </c>
      <c r="AD23" s="488" t="s">
        <v>452</v>
      </c>
      <c r="AF23" s="444">
        <f>+IF(Tabla33[[#This Row],[Amortización k | cupón de intereses]]="Amortización de K",Tabla33[[#This Row],[Valor Nominal]],0)</f>
        <v>200000</v>
      </c>
      <c r="AG23" s="444">
        <f>+IF(AND(Tabla33[[#This Row],[Amortización k | cupón de intereses]]="Cupón de interés",Tabla33[[#This Row],[Estado]]="Vigente"),Tabla33[[#This Row],[Valor Nominal]],0)</f>
        <v>0</v>
      </c>
      <c r="AH23" s="444">
        <f>+IF(Tabla33[[#This Row],[Amortización k | cupón de intereses]]="Amortización de K",SUMIFS($AG$7:$AG$418,Tabla33[Código Emisión],Tabla33[[#This Row],[Código Emisión]],Tabla33[Fecha de operación],Tabla33[[#This Row],[Fecha de operación]]),0)-Tabla33[[#This Row],[Accrued]]*Tabla33[[#This Row],[Valor Nominal]]</f>
        <v>13291.342465753425</v>
      </c>
      <c r="AI23" s="444">
        <f>+IF(Tabla33[[#This Row],[Amortización k | cupón de intereses]]="Amortización de K",IF(Tabla33[[#This Row],[Precio Clean]]&gt;1,Tabla33[[#This Row],[Valor Nominal]]*(Tabla33[[#This Row],[Precio Clean]]-1),0),0)</f>
        <v>0</v>
      </c>
      <c r="AJ23" s="444">
        <f>+IF(Tabla33[[#This Row],[Amortización k | cupón de intereses]]="Amortización de K",IF(Tabla33[[#This Row],[Precio Clean]]&lt;1,Tabla33[[#This Row],[Valor Nominal]]*(Tabla33[[#This Row],[Precio Clean]]-1),0),0)</f>
        <v>-5971.0219748850377</v>
      </c>
      <c r="AM23" s="595">
        <v>12010125001001</v>
      </c>
      <c r="AN23" s="596" t="s">
        <v>468</v>
      </c>
      <c r="AO23" s="597">
        <f>+SUMIF(Tabla33[Instrumento],$AN22,$AF$7:$AF$418)</f>
        <v>250000</v>
      </c>
      <c r="AP23" s="444"/>
    </row>
    <row r="24" spans="1:43">
      <c r="A24" s="502"/>
      <c r="B24" s="437" t="str">
        <f t="shared" si="8"/>
        <v>Banco Basa SA</v>
      </c>
      <c r="C24" s="437" t="s">
        <v>467</v>
      </c>
      <c r="D24" s="437" t="str">
        <f>+D23</f>
        <v>CDA</v>
      </c>
      <c r="E24" s="437" t="str">
        <f>+E23</f>
        <v>AA-py</v>
      </c>
      <c r="F24" s="437" t="str">
        <f t="shared" si="5"/>
        <v>Financiero</v>
      </c>
      <c r="G24" s="437" t="str">
        <f t="shared" si="5"/>
        <v>Paraguay</v>
      </c>
      <c r="H24" s="437">
        <f t="shared" si="5"/>
        <v>2</v>
      </c>
      <c r="I24" s="469">
        <v>1312</v>
      </c>
      <c r="J24" s="451"/>
      <c r="L24" s="442"/>
      <c r="M24" s="493"/>
      <c r="N24" s="493"/>
      <c r="O24" s="494">
        <v>6.6607305407524117E-2</v>
      </c>
      <c r="P24" s="494">
        <v>6.500542768207751E-2</v>
      </c>
      <c r="Q24" s="450">
        <f t="shared" si="9"/>
        <v>45812</v>
      </c>
      <c r="R24" s="450">
        <v>46568</v>
      </c>
      <c r="S24" s="437" t="s">
        <v>146</v>
      </c>
      <c r="T24" s="495">
        <f>Tabla33[[#This Row],[Cantidad]]*Tabla33[[#This Row],[Cortes]]</f>
        <v>2624</v>
      </c>
      <c r="U24" s="496">
        <f t="shared" si="1"/>
        <v>2382.2940289591716</v>
      </c>
      <c r="V24" s="497">
        <f t="shared" si="2"/>
        <v>2381.8731972228388</v>
      </c>
      <c r="W24" s="497">
        <f>IF(Tabla33[[#This Row],[Fecha de operación]]=$C$1,0,U24-V24)</f>
        <v>0.42083173633272963</v>
      </c>
      <c r="X24" s="469" t="str">
        <f t="shared" si="10"/>
        <v>Vigente</v>
      </c>
      <c r="Y24" s="498"/>
      <c r="Z24" s="469">
        <f t="shared" si="11"/>
        <v>547</v>
      </c>
      <c r="AA24" s="499">
        <f t="shared" si="7"/>
        <v>1.4336561622218267</v>
      </c>
      <c r="AB24" s="499">
        <f t="shared" si="7"/>
        <v>1.4101741865416302</v>
      </c>
      <c r="AC24" s="469" t="s">
        <v>451</v>
      </c>
      <c r="AD24" s="469" t="s">
        <v>454</v>
      </c>
      <c r="AF24" s="444">
        <f>+IF(Tabla33[[#This Row],[Amortización k | cupón de intereses]]="Amortización de K",Tabla33[[#This Row],[Valor Nominal]],0)</f>
        <v>0</v>
      </c>
      <c r="AG24" s="444">
        <f>+IF(AND(Tabla33[[#This Row],[Amortización k | cupón de intereses]]="Cupón de interés",Tabla33[[#This Row],[Estado]]="Vigente"),Tabla33[[#This Row],[Valor Nominal]],0)</f>
        <v>2624</v>
      </c>
      <c r="AH24" s="444">
        <f>+IF(Tabla33[[#This Row],[Amortización k | cupón de intereses]]="Amortización de K",SUMIFS($AG$7:$AG$418,Tabla33[Código Emisión],Tabla33[[#This Row],[Código Emisión]],Tabla33[Fecha de operación],Tabla33[[#This Row],[Fecha de operación]]),0)-Tabla33[[#This Row],[Accrued]]*Tabla33[[#This Row],[Valor Nominal]]</f>
        <v>0</v>
      </c>
      <c r="AI24" s="444">
        <f>+IF(Tabla33[[#This Row],[Amortización k | cupón de intereses]]="Amortización de K",IF(Tabla33[[#This Row],[Precio Clean]]&gt;1,Tabla33[[#This Row],[Valor Nominal]]*(Tabla33[[#This Row],[Precio Clean]]-1),0),0)</f>
        <v>0</v>
      </c>
      <c r="AJ24" s="444">
        <f>+IF(Tabla33[[#This Row],[Amortización k | cupón de intereses]]="Amortización de K",IF(Tabla33[[#This Row],[Precio Clean]]&lt;1,Tabla33[[#This Row],[Valor Nominal]]*(Tabla33[[#This Row],[Precio Clean]]-1),0),0)</f>
        <v>0</v>
      </c>
      <c r="AM24" s="595">
        <v>13080229001001</v>
      </c>
      <c r="AN24" s="596" t="s">
        <v>469</v>
      </c>
      <c r="AO24" s="597">
        <f>+SUMIF(Tabla33[Instrumento],$AN22,$AG$7:$AG$418)</f>
        <v>19218.75</v>
      </c>
      <c r="AP24" s="444"/>
    </row>
    <row r="25" spans="1:43">
      <c r="A25" s="502"/>
      <c r="B25" s="437" t="str">
        <f t="shared" si="8"/>
        <v>Banco Basa SA</v>
      </c>
      <c r="C25" s="437" t="s">
        <v>467</v>
      </c>
      <c r="D25" s="437" t="str">
        <f t="shared" ref="D25:H31" si="12">+D24</f>
        <v>CDA</v>
      </c>
      <c r="E25" s="437" t="str">
        <f t="shared" si="12"/>
        <v>AA-py</v>
      </c>
      <c r="F25" s="437" t="str">
        <f t="shared" si="12"/>
        <v>Financiero</v>
      </c>
      <c r="G25" s="437" t="str">
        <f t="shared" si="12"/>
        <v>Paraguay</v>
      </c>
      <c r="H25" s="437">
        <f t="shared" si="12"/>
        <v>2</v>
      </c>
      <c r="I25" s="469">
        <v>1270</v>
      </c>
      <c r="J25" s="451"/>
      <c r="L25" s="442"/>
      <c r="M25" s="493"/>
      <c r="N25" s="493"/>
      <c r="O25" s="494">
        <v>6.6607305407524117E-2</v>
      </c>
      <c r="P25" s="494">
        <v>6.500542768207751E-2</v>
      </c>
      <c r="Q25" s="450">
        <f t="shared" si="9"/>
        <v>45812</v>
      </c>
      <c r="R25" s="450">
        <v>46475</v>
      </c>
      <c r="S25" s="437" t="s">
        <v>146</v>
      </c>
      <c r="T25" s="495">
        <f>Tabla33[[#This Row],[Cantidad]]*Tabla33[[#This Row],[Cortes]]</f>
        <v>2540</v>
      </c>
      <c r="U25" s="496">
        <f t="shared" si="1"/>
        <v>2344.2323509963176</v>
      </c>
      <c r="V25" s="497">
        <f t="shared" si="2"/>
        <v>2343.818242847346</v>
      </c>
      <c r="W25" s="497">
        <f>IF(Tabla33[[#This Row],[Fecha de operación]]=$C$1,0,U25-V25)</f>
        <v>0.41410814897153614</v>
      </c>
      <c r="X25" s="469" t="str">
        <f t="shared" si="10"/>
        <v>Vigente</v>
      </c>
      <c r="Y25" s="498"/>
      <c r="Z25" s="469">
        <f t="shared" si="11"/>
        <v>454</v>
      </c>
      <c r="AA25" s="499">
        <f t="shared" ref="AA25:AB31" si="13">AA24</f>
        <v>1.4336561622218267</v>
      </c>
      <c r="AB25" s="499">
        <f t="shared" si="13"/>
        <v>1.4101741865416302</v>
      </c>
      <c r="AC25" s="469" t="s">
        <v>451</v>
      </c>
      <c r="AD25" s="469" t="s">
        <v>454</v>
      </c>
      <c r="AF25" s="444">
        <f>+IF(Tabla33[[#This Row],[Amortización k | cupón de intereses]]="Amortización de K",Tabla33[[#This Row],[Valor Nominal]],0)</f>
        <v>0</v>
      </c>
      <c r="AG25" s="444">
        <f>+IF(AND(Tabla33[[#This Row],[Amortización k | cupón de intereses]]="Cupón de interés",Tabla33[[#This Row],[Estado]]="Vigente"),Tabla33[[#This Row],[Valor Nominal]],0)</f>
        <v>2540</v>
      </c>
      <c r="AH25" s="444">
        <f>+IF(Tabla33[[#This Row],[Amortización k | cupón de intereses]]="Amortización de K",SUMIFS($AG$7:$AG$418,Tabla33[Código Emisión],Tabla33[[#This Row],[Código Emisión]],Tabla33[Fecha de operación],Tabla33[[#This Row],[Fecha de operación]]),0)-Tabla33[[#This Row],[Accrued]]*Tabla33[[#This Row],[Valor Nominal]]</f>
        <v>0</v>
      </c>
      <c r="AI25" s="444">
        <f>+IF(Tabla33[[#This Row],[Amortización k | cupón de intereses]]="Amortización de K",IF(Tabla33[[#This Row],[Precio Clean]]&gt;1,Tabla33[[#This Row],[Valor Nominal]]*(Tabla33[[#This Row],[Precio Clean]]-1),0),0)</f>
        <v>0</v>
      </c>
      <c r="AJ25" s="444">
        <f>+IF(Tabla33[[#This Row],[Amortización k | cupón de intereses]]="Amortización de K",IF(Tabla33[[#This Row],[Precio Clean]]&lt;1,Tabla33[[#This Row],[Valor Nominal]]*(Tabla33[[#This Row],[Precio Clean]]-1),0),0)</f>
        <v>0</v>
      </c>
      <c r="AM25" s="595">
        <v>13080229901001</v>
      </c>
      <c r="AN25" s="596" t="s">
        <v>470</v>
      </c>
      <c r="AO25" s="597">
        <f>+SUMIF(Tabla33[Instrumento],$AN22,$AH$7:$AH$418)</f>
        <v>15980.034722222223</v>
      </c>
      <c r="AP25" s="444"/>
    </row>
    <row r="26" spans="1:43">
      <c r="A26" s="502"/>
      <c r="B26" s="437" t="str">
        <f t="shared" si="8"/>
        <v>Banco Basa SA</v>
      </c>
      <c r="C26" s="437" t="s">
        <v>467</v>
      </c>
      <c r="D26" s="437" t="str">
        <f t="shared" si="12"/>
        <v>CDA</v>
      </c>
      <c r="E26" s="437" t="str">
        <f t="shared" si="12"/>
        <v>AA-py</v>
      </c>
      <c r="F26" s="437" t="str">
        <f t="shared" si="12"/>
        <v>Financiero</v>
      </c>
      <c r="G26" s="437" t="str">
        <f t="shared" si="12"/>
        <v>Paraguay</v>
      </c>
      <c r="H26" s="437">
        <f t="shared" si="12"/>
        <v>2</v>
      </c>
      <c r="I26" s="469">
        <v>1284</v>
      </c>
      <c r="J26" s="451"/>
      <c r="L26" s="442"/>
      <c r="M26" s="493"/>
      <c r="N26" s="493"/>
      <c r="O26" s="494">
        <v>6.6607305407524117E-2</v>
      </c>
      <c r="P26" s="494">
        <v>6.500542768207751E-2</v>
      </c>
      <c r="Q26" s="450">
        <f t="shared" ref="Q26:Q31" si="14">+Q25</f>
        <v>45812</v>
      </c>
      <c r="R26" s="450">
        <v>46385</v>
      </c>
      <c r="S26" s="437" t="s">
        <v>146</v>
      </c>
      <c r="T26" s="495">
        <f>Tabla33[[#This Row],[Cantidad]]*Tabla33[[#This Row],[Cortes]]</f>
        <v>2568</v>
      </c>
      <c r="U26" s="496">
        <f t="shared" si="1"/>
        <v>2408.0593708520255</v>
      </c>
      <c r="V26" s="497">
        <f t="shared" si="2"/>
        <v>2407.6339876734964</v>
      </c>
      <c r="W26" s="497">
        <f>IF(Tabla33[[#This Row],[Fecha de operación]]=$C$1,0,U26-V26)</f>
        <v>0.42538317852904584</v>
      </c>
      <c r="X26" s="469" t="str">
        <f t="shared" si="10"/>
        <v>Vigente</v>
      </c>
      <c r="Y26" s="498"/>
      <c r="Z26" s="469">
        <f t="shared" si="11"/>
        <v>364</v>
      </c>
      <c r="AA26" s="499">
        <f t="shared" si="13"/>
        <v>1.4336561622218267</v>
      </c>
      <c r="AB26" s="499">
        <f t="shared" si="13"/>
        <v>1.4101741865416302</v>
      </c>
      <c r="AC26" s="469" t="s">
        <v>451</v>
      </c>
      <c r="AD26" s="469" t="s">
        <v>454</v>
      </c>
      <c r="AF26" s="444">
        <f>+IF(Tabla33[[#This Row],[Amortización k | cupón de intereses]]="Amortización de K",Tabla33[[#This Row],[Valor Nominal]],0)</f>
        <v>0</v>
      </c>
      <c r="AG26" s="444">
        <f>+IF(AND(Tabla33[[#This Row],[Amortización k | cupón de intereses]]="Cupón de interés",Tabla33[[#This Row],[Estado]]="Vigente"),Tabla33[[#This Row],[Valor Nominal]],0)</f>
        <v>2568</v>
      </c>
      <c r="AH26" s="444">
        <f>+IF(Tabla33[[#This Row],[Amortización k | cupón de intereses]]="Amortización de K",SUMIFS($AG$7:$AG$418,Tabla33[Código Emisión],Tabla33[[#This Row],[Código Emisión]],Tabla33[Fecha de operación],Tabla33[[#This Row],[Fecha de operación]]),0)-Tabla33[[#This Row],[Accrued]]*Tabla33[[#This Row],[Valor Nominal]]</f>
        <v>0</v>
      </c>
      <c r="AI26" s="444">
        <f>+IF(Tabla33[[#This Row],[Amortización k | cupón de intereses]]="Amortización de K",IF(Tabla33[[#This Row],[Precio Clean]]&gt;1,Tabla33[[#This Row],[Valor Nominal]]*(Tabla33[[#This Row],[Precio Clean]]-1),0),0)</f>
        <v>0</v>
      </c>
      <c r="AJ26" s="444">
        <f>+IF(Tabla33[[#This Row],[Amortización k | cupón de intereses]]="Amortización de K",IF(Tabla33[[#This Row],[Precio Clean]]&lt;1,Tabla33[[#This Row],[Valor Nominal]]*(Tabla33[[#This Row],[Precio Clean]]-1),0),0)</f>
        <v>0</v>
      </c>
      <c r="AM26" s="463">
        <v>12010259001001</v>
      </c>
      <c r="AN26" s="437" t="s">
        <v>471</v>
      </c>
      <c r="AO26" s="444">
        <f>+SUMIF(Tabla33[Instrumento],$AN22,$AI$7:$AI$418)</f>
        <v>0</v>
      </c>
      <c r="AP26" s="444"/>
    </row>
    <row r="27" spans="1:43">
      <c r="A27" s="502"/>
      <c r="B27" s="437" t="str">
        <f t="shared" si="8"/>
        <v>Banco Basa SA</v>
      </c>
      <c r="C27" s="437" t="s">
        <v>467</v>
      </c>
      <c r="D27" s="437" t="str">
        <f t="shared" si="12"/>
        <v>CDA</v>
      </c>
      <c r="E27" s="437" t="str">
        <f t="shared" si="12"/>
        <v>AA-py</v>
      </c>
      <c r="F27" s="437" t="str">
        <f t="shared" si="12"/>
        <v>Financiero</v>
      </c>
      <c r="G27" s="437" t="str">
        <f t="shared" si="12"/>
        <v>Paraguay</v>
      </c>
      <c r="H27" s="437">
        <f t="shared" si="12"/>
        <v>2</v>
      </c>
      <c r="I27" s="469">
        <v>1284</v>
      </c>
      <c r="J27" s="451"/>
      <c r="L27" s="442"/>
      <c r="M27" s="493"/>
      <c r="N27" s="493"/>
      <c r="O27" s="494">
        <v>6.6607305407524117E-2</v>
      </c>
      <c r="P27" s="494">
        <v>6.500542768207751E-2</v>
      </c>
      <c r="Q27" s="450">
        <f t="shared" si="14"/>
        <v>45812</v>
      </c>
      <c r="R27" s="450">
        <v>46294</v>
      </c>
      <c r="S27" s="437" t="s">
        <v>146</v>
      </c>
      <c r="T27" s="495">
        <f>Tabla33[[#This Row],[Cantidad]]*Tabla33[[#This Row],[Cortes]]</f>
        <v>2568</v>
      </c>
      <c r="U27" s="496">
        <f t="shared" si="1"/>
        <v>2447.0855219554846</v>
      </c>
      <c r="V27" s="497">
        <f t="shared" si="2"/>
        <v>2446.6532448156186</v>
      </c>
      <c r="W27" s="497">
        <f>IF(Tabla33[[#This Row],[Fecha de operación]]=$C$1,0,U27-V27)</f>
        <v>0.43227713986607341</v>
      </c>
      <c r="X27" s="469" t="str">
        <f t="shared" si="10"/>
        <v>Vigente</v>
      </c>
      <c r="Y27" s="498"/>
      <c r="Z27" s="469">
        <f t="shared" si="11"/>
        <v>273</v>
      </c>
      <c r="AA27" s="499">
        <f t="shared" si="13"/>
        <v>1.4336561622218267</v>
      </c>
      <c r="AB27" s="499">
        <f t="shared" si="13"/>
        <v>1.4101741865416302</v>
      </c>
      <c r="AC27" s="469" t="s">
        <v>451</v>
      </c>
      <c r="AD27" s="469" t="s">
        <v>454</v>
      </c>
      <c r="AF27" s="444">
        <f>+IF(Tabla33[[#This Row],[Amortización k | cupón de intereses]]="Amortización de K",Tabla33[[#This Row],[Valor Nominal]],0)</f>
        <v>0</v>
      </c>
      <c r="AG27" s="444">
        <f>+IF(AND(Tabla33[[#This Row],[Amortización k | cupón de intereses]]="Cupón de interés",Tabla33[[#This Row],[Estado]]="Vigente"),Tabla33[[#This Row],[Valor Nominal]],0)</f>
        <v>2568</v>
      </c>
      <c r="AH27" s="444">
        <f>+IF(Tabla33[[#This Row],[Amortización k | cupón de intereses]]="Amortización de K",SUMIFS($AG$7:$AG$418,Tabla33[Código Emisión],Tabla33[[#This Row],[Código Emisión]],Tabla33[Fecha de operación],Tabla33[[#This Row],[Fecha de operación]]),0)-Tabla33[[#This Row],[Accrued]]*Tabla33[[#This Row],[Valor Nominal]]</f>
        <v>0</v>
      </c>
      <c r="AI27" s="444">
        <f>+IF(Tabla33[[#This Row],[Amortización k | cupón de intereses]]="Amortización de K",IF(Tabla33[[#This Row],[Precio Clean]]&gt;1,Tabla33[[#This Row],[Valor Nominal]]*(Tabla33[[#This Row],[Precio Clean]]-1),0),0)</f>
        <v>0</v>
      </c>
      <c r="AJ27" s="444">
        <f>+IF(Tabla33[[#This Row],[Amortización k | cupón de intereses]]="Amortización de K",IF(Tabla33[[#This Row],[Precio Clean]]&lt;1,Tabla33[[#This Row],[Valor Nominal]]*(Tabla33[[#This Row],[Precio Clean]]-1),0),0)</f>
        <v>0</v>
      </c>
      <c r="AM27" s="463">
        <v>22010146001001</v>
      </c>
      <c r="AN27" s="437" t="s">
        <v>472</v>
      </c>
      <c r="AO27" s="444">
        <f>+SUMIF(Tabla33[Instrumento],$AN22,$AJ$7:$AJ$418)</f>
        <v>-4422.1537962077782</v>
      </c>
      <c r="AP27" s="444"/>
    </row>
    <row r="28" spans="1:43">
      <c r="A28" s="502"/>
      <c r="B28" s="437" t="str">
        <f t="shared" si="8"/>
        <v>Banco Basa SA</v>
      </c>
      <c r="C28" s="437" t="s">
        <v>467</v>
      </c>
      <c r="D28" s="437" t="str">
        <f t="shared" si="12"/>
        <v>CDA</v>
      </c>
      <c r="E28" s="437" t="str">
        <f t="shared" si="12"/>
        <v>AA-py</v>
      </c>
      <c r="F28" s="437" t="str">
        <f t="shared" si="12"/>
        <v>Financiero</v>
      </c>
      <c r="G28" s="437" t="str">
        <f t="shared" si="12"/>
        <v>Paraguay</v>
      </c>
      <c r="H28" s="437">
        <f t="shared" si="12"/>
        <v>2</v>
      </c>
      <c r="I28" s="469">
        <v>1284</v>
      </c>
      <c r="J28" s="451"/>
      <c r="L28" s="442"/>
      <c r="M28" s="493"/>
      <c r="N28" s="493"/>
      <c r="O28" s="494">
        <v>6.6607305407524117E-2</v>
      </c>
      <c r="P28" s="494">
        <v>6.500542768207751E-2</v>
      </c>
      <c r="Q28" s="450">
        <f t="shared" si="14"/>
        <v>45812</v>
      </c>
      <c r="R28" s="450">
        <v>46202</v>
      </c>
      <c r="S28" s="437" t="s">
        <v>146</v>
      </c>
      <c r="T28" s="495">
        <f>Tabla33[[#This Row],[Cantidad]]*Tabla33[[#This Row],[Cortes]]</f>
        <v>2568</v>
      </c>
      <c r="U28" s="496">
        <f t="shared" si="1"/>
        <v>2487.1835097952699</v>
      </c>
      <c r="V28" s="497">
        <f t="shared" si="2"/>
        <v>2486.7441493543324</v>
      </c>
      <c r="W28" s="497">
        <f>IF(Tabla33[[#This Row],[Fecha de operación]]=$C$1,0,U28-V28)</f>
        <v>0.43936044093743476</v>
      </c>
      <c r="X28" s="469" t="str">
        <f t="shared" si="10"/>
        <v>Vigente</v>
      </c>
      <c r="Y28" s="498"/>
      <c r="Z28" s="469">
        <f t="shared" si="11"/>
        <v>181</v>
      </c>
      <c r="AA28" s="499">
        <f t="shared" si="13"/>
        <v>1.4336561622218267</v>
      </c>
      <c r="AB28" s="499">
        <f t="shared" si="13"/>
        <v>1.4101741865416302</v>
      </c>
      <c r="AC28" s="469" t="s">
        <v>451</v>
      </c>
      <c r="AD28" s="469" t="s">
        <v>454</v>
      </c>
      <c r="AF28" s="444">
        <f>+IF(Tabla33[[#This Row],[Amortización k | cupón de intereses]]="Amortización de K",Tabla33[[#This Row],[Valor Nominal]],0)</f>
        <v>0</v>
      </c>
      <c r="AG28" s="444">
        <f>+IF(AND(Tabla33[[#This Row],[Amortización k | cupón de intereses]]="Cupón de interés",Tabla33[[#This Row],[Estado]]="Vigente"),Tabla33[[#This Row],[Valor Nominal]],0)</f>
        <v>2568</v>
      </c>
      <c r="AH28" s="444">
        <f>+IF(Tabla33[[#This Row],[Amortización k | cupón de intereses]]="Amortización de K",SUMIFS($AG$7:$AG$418,Tabla33[Código Emisión],Tabla33[[#This Row],[Código Emisión]],Tabla33[Fecha de operación],Tabla33[[#This Row],[Fecha de operación]]),0)-Tabla33[[#This Row],[Accrued]]*Tabla33[[#This Row],[Valor Nominal]]</f>
        <v>0</v>
      </c>
      <c r="AI28" s="444">
        <f>+IF(Tabla33[[#This Row],[Amortización k | cupón de intereses]]="Amortización de K",IF(Tabla33[[#This Row],[Precio Clean]]&gt;1,Tabla33[[#This Row],[Valor Nominal]]*(Tabla33[[#This Row],[Precio Clean]]-1),0),0)</f>
        <v>0</v>
      </c>
      <c r="AJ28" s="444">
        <f>+IF(Tabla33[[#This Row],[Amortización k | cupón de intereses]]="Amortización de K",IF(Tabla33[[#This Row],[Precio Clean]]&lt;1,Tabla33[[#This Row],[Valor Nominal]]*(Tabla33[[#This Row],[Precio Clean]]-1),0),0)</f>
        <v>0</v>
      </c>
      <c r="AO28" s="444"/>
      <c r="AP28" s="444"/>
    </row>
    <row r="29" spans="1:43">
      <c r="A29" s="502"/>
      <c r="B29" s="437" t="str">
        <f t="shared" si="8"/>
        <v>Banco Basa SA</v>
      </c>
      <c r="C29" s="437" t="s">
        <v>467</v>
      </c>
      <c r="D29" s="437" t="str">
        <f t="shared" si="12"/>
        <v>CDA</v>
      </c>
      <c r="E29" s="437" t="str">
        <f t="shared" si="12"/>
        <v>AA-py</v>
      </c>
      <c r="F29" s="437" t="str">
        <f t="shared" si="12"/>
        <v>Financiero</v>
      </c>
      <c r="G29" s="437" t="str">
        <f t="shared" si="12"/>
        <v>Paraguay</v>
      </c>
      <c r="H29" s="437">
        <f t="shared" si="12"/>
        <v>2</v>
      </c>
      <c r="I29" s="469">
        <v>1284</v>
      </c>
      <c r="J29" s="451"/>
      <c r="L29" s="442"/>
      <c r="M29" s="493"/>
      <c r="N29" s="493"/>
      <c r="O29" s="494">
        <v>6.6607305407524117E-2</v>
      </c>
      <c r="P29" s="494">
        <v>6.500542768207751E-2</v>
      </c>
      <c r="Q29" s="450">
        <f t="shared" si="14"/>
        <v>45812</v>
      </c>
      <c r="R29" s="450">
        <v>46111</v>
      </c>
      <c r="S29" s="437" t="s">
        <v>146</v>
      </c>
      <c r="T29" s="495">
        <f>Tabla33[[#This Row],[Cantidad]]*Tabla33[[#This Row],[Cortes]]</f>
        <v>2568</v>
      </c>
      <c r="U29" s="496">
        <f t="shared" si="1"/>
        <v>2527.4919841834899</v>
      </c>
      <c r="V29" s="497">
        <f t="shared" si="2"/>
        <v>2527.0455032590776</v>
      </c>
      <c r="W29" s="497">
        <f>IF(Tabla33[[#This Row],[Fecha de operación]]=$C$1,0,U29-V29)</f>
        <v>0.44648092441229892</v>
      </c>
      <c r="X29" s="469" t="str">
        <f t="shared" si="10"/>
        <v>Vigente</v>
      </c>
      <c r="Y29" s="498"/>
      <c r="Z29" s="469">
        <f t="shared" si="11"/>
        <v>90</v>
      </c>
      <c r="AA29" s="499">
        <f t="shared" si="13"/>
        <v>1.4336561622218267</v>
      </c>
      <c r="AB29" s="499">
        <f t="shared" si="13"/>
        <v>1.4101741865416302</v>
      </c>
      <c r="AC29" s="469" t="s">
        <v>451</v>
      </c>
      <c r="AD29" s="469" t="s">
        <v>454</v>
      </c>
      <c r="AF29" s="444">
        <f>+IF(Tabla33[[#This Row],[Amortización k | cupón de intereses]]="Amortización de K",Tabla33[[#This Row],[Valor Nominal]],0)</f>
        <v>0</v>
      </c>
      <c r="AG29" s="444">
        <f>+IF(AND(Tabla33[[#This Row],[Amortización k | cupón de intereses]]="Cupón de interés",Tabla33[[#This Row],[Estado]]="Vigente"),Tabla33[[#This Row],[Valor Nominal]],0)</f>
        <v>2568</v>
      </c>
      <c r="AH29" s="444">
        <f>+IF(Tabla33[[#This Row],[Amortización k | cupón de intereses]]="Amortización de K",SUMIFS($AG$7:$AG$418,Tabla33[Código Emisión],Tabla33[[#This Row],[Código Emisión]],Tabla33[Fecha de operación],Tabla33[[#This Row],[Fecha de operación]]),0)-Tabla33[[#This Row],[Accrued]]*Tabla33[[#This Row],[Valor Nominal]]</f>
        <v>0</v>
      </c>
      <c r="AI29" s="444">
        <f>+IF(Tabla33[[#This Row],[Amortización k | cupón de intereses]]="Amortización de K",IF(Tabla33[[#This Row],[Precio Clean]]&gt;1,Tabla33[[#This Row],[Valor Nominal]]*(Tabla33[[#This Row],[Precio Clean]]-1),0),0)</f>
        <v>0</v>
      </c>
      <c r="AJ29" s="444">
        <f>+IF(Tabla33[[#This Row],[Amortización k | cupón de intereses]]="Amortización de K",IF(Tabla33[[#This Row],[Precio Clean]]&lt;1,Tabla33[[#This Row],[Valor Nominal]]*(Tabla33[[#This Row],[Precio Clean]]-1),0),0)</f>
        <v>0</v>
      </c>
      <c r="AM29" s="463"/>
      <c r="AN29" s="490" t="s">
        <v>560</v>
      </c>
      <c r="AO29" s="491">
        <f>+AO30+AO31+AO32</f>
        <v>698050.17349023873</v>
      </c>
      <c r="AP29" s="444">
        <f>+SUMIFS(Tabla33[Valor Presente o Contable],Tabla33[Instrumento],AN29)</f>
        <v>698050.17349023873</v>
      </c>
      <c r="AQ29" s="529">
        <f>+AO29-AP29</f>
        <v>0</v>
      </c>
    </row>
    <row r="30" spans="1:43">
      <c r="A30" s="502"/>
      <c r="B30" s="437" t="str">
        <f t="shared" si="8"/>
        <v>Banco Basa SA</v>
      </c>
      <c r="C30" s="437" t="s">
        <v>467</v>
      </c>
      <c r="D30" s="437" t="str">
        <f t="shared" si="12"/>
        <v>CDA</v>
      </c>
      <c r="E30" s="437" t="str">
        <f t="shared" si="12"/>
        <v>AA-py</v>
      </c>
      <c r="F30" s="437" t="str">
        <f t="shared" si="12"/>
        <v>Financiero</v>
      </c>
      <c r="G30" s="437" t="str">
        <f t="shared" si="12"/>
        <v>Paraguay</v>
      </c>
      <c r="H30" s="437">
        <f t="shared" si="12"/>
        <v>2</v>
      </c>
      <c r="I30" s="469">
        <v>1284</v>
      </c>
      <c r="J30" s="451"/>
      <c r="L30" s="442"/>
      <c r="M30" s="493"/>
      <c r="N30" s="493"/>
      <c r="O30" s="494">
        <v>6.6607305407524117E-2</v>
      </c>
      <c r="P30" s="494">
        <v>6.500542768207751E-2</v>
      </c>
      <c r="Q30" s="450">
        <f t="shared" si="14"/>
        <v>45812</v>
      </c>
      <c r="R30" s="450">
        <v>46020</v>
      </c>
      <c r="S30" s="437" t="s">
        <v>146</v>
      </c>
      <c r="T30" s="495">
        <f>Tabla33[[#This Row],[Cantidad]]*Tabla33[[#This Row],[Cortes]]</f>
        <v>2568</v>
      </c>
      <c r="U30" s="496" t="b">
        <f t="shared" si="1"/>
        <v>0</v>
      </c>
      <c r="V30" s="497" t="b">
        <f t="shared" si="2"/>
        <v>0</v>
      </c>
      <c r="W30" s="497">
        <f>IF(Tabla33[[#This Row],[Fecha de operación]]=$C$1,0,U30-V30)</f>
        <v>0</v>
      </c>
      <c r="X30" s="469" t="str">
        <f t="shared" si="10"/>
        <v>Vencido</v>
      </c>
      <c r="Y30" s="498"/>
      <c r="Z30" s="469">
        <f t="shared" si="11"/>
        <v>-1</v>
      </c>
      <c r="AA30" s="499">
        <f t="shared" si="13"/>
        <v>1.4336561622218267</v>
      </c>
      <c r="AB30" s="499">
        <f t="shared" si="13"/>
        <v>1.4101741865416302</v>
      </c>
      <c r="AC30" s="469" t="s">
        <v>451</v>
      </c>
      <c r="AD30" s="469" t="s">
        <v>454</v>
      </c>
      <c r="AF30" s="444">
        <f>+IF(Tabla33[[#This Row],[Amortización k | cupón de intereses]]="Amortización de K",Tabla33[[#This Row],[Valor Nominal]],0)</f>
        <v>0</v>
      </c>
      <c r="AG30" s="444">
        <f>+IF(AND(Tabla33[[#This Row],[Amortización k | cupón de intereses]]="Cupón de interés",Tabla33[[#This Row],[Estado]]="Vigente"),Tabla33[[#This Row],[Valor Nominal]],0)</f>
        <v>0</v>
      </c>
      <c r="AH30" s="444">
        <f>+IF(Tabla33[[#This Row],[Amortización k | cupón de intereses]]="Amortización de K",SUMIFS($AG$7:$AG$418,Tabla33[Código Emisión],Tabla33[[#This Row],[Código Emisión]],Tabla33[Fecha de operación],Tabla33[[#This Row],[Fecha de operación]]),0)-Tabla33[[#This Row],[Accrued]]*Tabla33[[#This Row],[Valor Nominal]]</f>
        <v>0</v>
      </c>
      <c r="AI30" s="444">
        <f>+IF(Tabla33[[#This Row],[Amortización k | cupón de intereses]]="Amortización de K",IF(Tabla33[[#This Row],[Precio Clean]]&gt;1,Tabla33[[#This Row],[Valor Nominal]]*(Tabla33[[#This Row],[Precio Clean]]-1),0),0)</f>
        <v>0</v>
      </c>
      <c r="AJ30" s="444">
        <f>+IF(Tabla33[[#This Row],[Amortización k | cupón de intereses]]="Amortización de K",IF(Tabla33[[#This Row],[Precio Clean]]&lt;1,Tabla33[[#This Row],[Valor Nominal]]*(Tabla33[[#This Row],[Precio Clean]]-1),0),0)</f>
        <v>0</v>
      </c>
      <c r="AM30" s="595">
        <v>12010125002001</v>
      </c>
      <c r="AN30" s="596" t="s">
        <v>473</v>
      </c>
      <c r="AO30" s="597">
        <f>+SUMIF(Tabla33[Instrumento],$AN29,$AF$7:$AF$418)</f>
        <v>700000</v>
      </c>
      <c r="AP30" s="444"/>
    </row>
    <row r="31" spans="1:43">
      <c r="A31" s="502"/>
      <c r="B31" s="437" t="str">
        <f t="shared" si="8"/>
        <v>Banco Basa SA</v>
      </c>
      <c r="C31" s="437" t="s">
        <v>467</v>
      </c>
      <c r="D31" s="437" t="str">
        <f t="shared" si="12"/>
        <v>CDA</v>
      </c>
      <c r="E31" s="437" t="str">
        <f t="shared" si="12"/>
        <v>AA-py</v>
      </c>
      <c r="F31" s="437" t="str">
        <f t="shared" si="12"/>
        <v>Financiero</v>
      </c>
      <c r="G31" s="437" t="str">
        <f t="shared" si="12"/>
        <v>Paraguay</v>
      </c>
      <c r="H31" s="437">
        <f t="shared" si="12"/>
        <v>2</v>
      </c>
      <c r="I31" s="469">
        <v>1284</v>
      </c>
      <c r="J31" s="451"/>
      <c r="L31" s="442"/>
      <c r="M31" s="493"/>
      <c r="N31" s="493"/>
      <c r="O31" s="494">
        <v>6.6607305407524117E-2</v>
      </c>
      <c r="P31" s="494">
        <v>6.500542768207751E-2</v>
      </c>
      <c r="Q31" s="450">
        <f t="shared" si="14"/>
        <v>45812</v>
      </c>
      <c r="R31" s="450">
        <v>45929</v>
      </c>
      <c r="S31" s="437" t="s">
        <v>146</v>
      </c>
      <c r="T31" s="495">
        <f>Tabla33[[#This Row],[Cantidad]]*Tabla33[[#This Row],[Cortes]]</f>
        <v>2568</v>
      </c>
      <c r="U31" s="496" t="b">
        <f t="shared" si="1"/>
        <v>0</v>
      </c>
      <c r="V31" s="497" t="b">
        <f t="shared" si="2"/>
        <v>0</v>
      </c>
      <c r="W31" s="497">
        <f>IF(Tabla33[[#This Row],[Fecha de operación]]=$C$1,0,U31-V31)</f>
        <v>0</v>
      </c>
      <c r="X31" s="469" t="str">
        <f t="shared" si="10"/>
        <v>Vencido</v>
      </c>
      <c r="Y31" s="498"/>
      <c r="Z31" s="469">
        <f t="shared" si="11"/>
        <v>-92</v>
      </c>
      <c r="AA31" s="499">
        <f t="shared" si="13"/>
        <v>1.4336561622218267</v>
      </c>
      <c r="AB31" s="499">
        <f t="shared" si="13"/>
        <v>1.4101741865416302</v>
      </c>
      <c r="AC31" s="469" t="s">
        <v>451</v>
      </c>
      <c r="AD31" s="469" t="s">
        <v>454</v>
      </c>
      <c r="AF31" s="444">
        <f>+IF(Tabla33[[#This Row],[Amortización k | cupón de intereses]]="Amortización de K",Tabla33[[#This Row],[Valor Nominal]],0)</f>
        <v>0</v>
      </c>
      <c r="AG31" s="444">
        <f>+IF(AND(Tabla33[[#This Row],[Amortización k | cupón de intereses]]="Cupón de interés",Tabla33[[#This Row],[Estado]]="Vigente"),Tabla33[[#This Row],[Valor Nominal]],0)</f>
        <v>0</v>
      </c>
      <c r="AH31" s="444">
        <f>+IF(Tabla33[[#This Row],[Amortización k | cupón de intereses]]="Amortización de K",SUMIFS($AG$7:$AG$418,Tabla33[Código Emisión],Tabla33[[#This Row],[Código Emisión]],Tabla33[Fecha de operación],Tabla33[[#This Row],[Fecha de operación]]),0)-Tabla33[[#This Row],[Accrued]]*Tabla33[[#This Row],[Valor Nominal]]</f>
        <v>0</v>
      </c>
      <c r="AI31" s="444">
        <f>+IF(Tabla33[[#This Row],[Amortización k | cupón de intereses]]="Amortización de K",IF(Tabla33[[#This Row],[Precio Clean]]&gt;1,Tabla33[[#This Row],[Valor Nominal]]*(Tabla33[[#This Row],[Precio Clean]]-1),0),0)</f>
        <v>0</v>
      </c>
      <c r="AJ31" s="444">
        <f>+IF(Tabla33[[#This Row],[Amortización k | cupón de intereses]]="Amortización de K",IF(Tabla33[[#This Row],[Precio Clean]]&lt;1,Tabla33[[#This Row],[Valor Nominal]]*(Tabla33[[#This Row],[Precio Clean]]-1),0),0)</f>
        <v>0</v>
      </c>
      <c r="AM31" s="463">
        <v>12010259002001</v>
      </c>
      <c r="AN31" s="437" t="s">
        <v>474</v>
      </c>
      <c r="AO31" s="444">
        <f>+SUMIF(Tabla33[Instrumento],$AN29,$AI$7:$AI$418)</f>
        <v>0</v>
      </c>
      <c r="AP31" s="444"/>
    </row>
    <row r="32" spans="1:43" ht="15">
      <c r="A32" s="475">
        <f>A23+1</f>
        <v>3</v>
      </c>
      <c r="B32" s="475" t="s">
        <v>447</v>
      </c>
      <c r="C32" s="475" t="s">
        <v>448</v>
      </c>
      <c r="D32" s="475" t="s">
        <v>294</v>
      </c>
      <c r="E32" s="475" t="s">
        <v>449</v>
      </c>
      <c r="F32" s="475" t="s">
        <v>297</v>
      </c>
      <c r="G32" s="475" t="s">
        <v>298</v>
      </c>
      <c r="H32" s="476">
        <v>150</v>
      </c>
      <c r="I32" s="477">
        <v>1000</v>
      </c>
      <c r="J32" s="478">
        <v>6.5000000000000002E-2</v>
      </c>
      <c r="K32" s="479">
        <f>_xlfn.MAXIFS(R:R,C:C,C32,AD:AD,"Cupón de interés",X:X,"Vencido")</f>
        <v>45958</v>
      </c>
      <c r="L32" s="478">
        <f>+Tabla33[[#This Row],[Tasa de Interés]]*($U$5-Tabla33[[#This Row],[Last coupon]])/365</f>
        <v>1.1219178082191781E-2</v>
      </c>
      <c r="M32" s="480">
        <f>+Tabla33[[#This Row],[Precio Dirty]]-Tabla33[[#This Row],[Accrued]]</f>
        <v>1.0002350462336818</v>
      </c>
      <c r="N32" s="481">
        <f>SUMIFS(U:U,C:C,C32,Q:Q,Q32)/SUMIFS(T:T,C:C,C32,Q:Q,Q32,AD:AD,"Amortización de K")</f>
        <v>1.0114542243158735</v>
      </c>
      <c r="O32" s="482">
        <v>6.6507741808891283E-2</v>
      </c>
      <c r="P32" s="483">
        <v>6.4911470005821315E-2</v>
      </c>
      <c r="Q32" s="484">
        <v>45819</v>
      </c>
      <c r="R32" s="484">
        <v>47238</v>
      </c>
      <c r="S32" s="504" t="s">
        <v>146</v>
      </c>
      <c r="T32" s="505">
        <f>Tabla33[[#This Row],[Cantidad]]*Tabla33[[#This Row],[Cortes]]</f>
        <v>150000</v>
      </c>
      <c r="U32" s="506">
        <f t="shared" si="1"/>
        <v>121018.66189886062</v>
      </c>
      <c r="V32" s="506">
        <f t="shared" si="2"/>
        <v>120997.3149234478</v>
      </c>
      <c r="W32" s="487">
        <f>IF(Tabla33[[#This Row],[Fecha de operación]]=$C$1,0,U32-V32)</f>
        <v>21.346975412816391</v>
      </c>
      <c r="X32" s="507" t="str">
        <f t="shared" si="10"/>
        <v>Vigente</v>
      </c>
      <c r="Y32" s="489" t="s">
        <v>450</v>
      </c>
      <c r="Z32" s="488">
        <f t="shared" si="11"/>
        <v>1217</v>
      </c>
      <c r="AA32" s="508">
        <f>IF(Y32="Mensual",DURATION($C$1,$C$1+Z32*12,J32/12,O32/12,1)/12,DURATION($C$1,R32,J32,O32,IF(Y32="Cupón cero",1,IF(Y32="Al vencimiento",1,IF(Y32="Anual",1,IF(Y32="Semestral",2,IF(Y32="Trimestral",4,"")))))))</f>
        <v>2.990845065767477</v>
      </c>
      <c r="AB32" s="508">
        <f>IF(Y32="Mensual",MDURATION($C$1,$C$1+Z32*12,J32/12,O32/12,1)/12,MDURATION($C$1,R32,J32,O32,IF(Y32="Cupón cero",1,IF(Y32="Al vencimiento",1,IF(Y32="Anual",1,IF(Y32="Semestral",2,IF(Y32="Trimestral",4,"")))))))</f>
        <v>2.9419297890598082</v>
      </c>
      <c r="AC32" s="488" t="s">
        <v>451</v>
      </c>
      <c r="AD32" s="488" t="s">
        <v>452</v>
      </c>
      <c r="AF32" s="444">
        <f>+IF(Tabla33[[#This Row],[Amortización k | cupón de intereses]]="Amortización de K",Tabla33[[#This Row],[Valor Nominal]],0)</f>
        <v>150000</v>
      </c>
      <c r="AG32" s="444">
        <f>+IF(AND(Tabla33[[#This Row],[Amortización k | cupón de intereses]]="Cupón de interés",Tabla33[[#This Row],[Estado]]="Vigente"),Tabla33[[#This Row],[Valor Nominal]],0)</f>
        <v>0</v>
      </c>
      <c r="AH32" s="444">
        <f>+IF(Tabla33[[#This Row],[Amortización k | cupón de intereses]]="Amortización de K",SUMIFS($AG$7:$AG$418,Tabla33[Código Emisión],Tabla33[[#This Row],[Código Emisión]],Tabla33[Fecha de operación],Tabla33[[#This Row],[Fecha de operación]]),0)-Tabla33[[#This Row],[Accrued]]*Tabla33[[#This Row],[Valor Nominal]]</f>
        <v>32508.90328767123</v>
      </c>
      <c r="AI32" s="444">
        <f>+IF(Tabla33[[#This Row],[Amortización k | cupón de intereses]]="Amortización de K",IF(Tabla33[[#This Row],[Precio Clean]]&gt;1,Tabla33[[#This Row],[Valor Nominal]]*(Tabla33[[#This Row],[Precio Clean]]-1),0),0)</f>
        <v>35.256935052263572</v>
      </c>
      <c r="AJ32" s="444">
        <f>+IF(Tabla33[[#This Row],[Amortización k | cupón de intereses]]="Amortización de K",IF(Tabla33[[#This Row],[Precio Clean]]&lt;1,Tabla33[[#This Row],[Valor Nominal]]*(Tabla33[[#This Row],[Precio Clean]]-1),0),0)</f>
        <v>0</v>
      </c>
      <c r="AM32" s="463">
        <v>22010146002001</v>
      </c>
      <c r="AN32" s="437" t="s">
        <v>475</v>
      </c>
      <c r="AO32" s="444">
        <f>+SUMIF(Tabla33[Instrumento],$AN29,$AJ$7:$AJ$418)</f>
        <v>-1949.8265097612655</v>
      </c>
      <c r="AP32" s="444"/>
    </row>
    <row r="33" spans="1:43">
      <c r="B33" s="437" t="str">
        <f>+B32</f>
        <v>Banco Basa SA</v>
      </c>
      <c r="C33" s="437" t="str">
        <f>+C32</f>
        <v>PYBAM01F0358</v>
      </c>
      <c r="D33" s="437" t="str">
        <f>+D32</f>
        <v>Bonos Financieros</v>
      </c>
      <c r="E33" s="437" t="str">
        <f>+E32</f>
        <v>AA-py</v>
      </c>
      <c r="F33" s="437" t="s">
        <v>297</v>
      </c>
      <c r="G33" s="437" t="s">
        <v>298</v>
      </c>
      <c r="H33" s="437">
        <f>+H32</f>
        <v>150</v>
      </c>
      <c r="I33" s="492">
        <v>16.739726000000001</v>
      </c>
      <c r="J33" s="451"/>
      <c r="L33" s="442"/>
      <c r="M33" s="493"/>
      <c r="N33" s="493"/>
      <c r="O33" s="494">
        <f>$O$7</f>
        <v>6.6508695483207689E-2</v>
      </c>
      <c r="P33" s="494">
        <f>$P$7</f>
        <v>6.4911470005821315E-2</v>
      </c>
      <c r="Q33" s="450">
        <f>+Q32</f>
        <v>45819</v>
      </c>
      <c r="R33" s="450">
        <v>47238</v>
      </c>
      <c r="S33" s="509" t="s">
        <v>146</v>
      </c>
      <c r="T33" s="510">
        <f>Tabla33[[#This Row],[Cantidad]]*Tabla33[[#This Row],[Cortes]]</f>
        <v>2510.9589000000001</v>
      </c>
      <c r="U33" s="511">
        <f t="shared" si="1"/>
        <v>2025.8132011194666</v>
      </c>
      <c r="V33" s="511">
        <f t="shared" si="2"/>
        <v>2025.4558547034362</v>
      </c>
      <c r="W33" s="497">
        <f>IF(Tabla33[[#This Row],[Fecha de operación]]=$C$1,0,U33-V33)</f>
        <v>0.35734641603039563</v>
      </c>
      <c r="X33" s="512" t="str">
        <f t="shared" si="10"/>
        <v>Vigente</v>
      </c>
      <c r="Y33" s="498"/>
      <c r="Z33" s="469">
        <f t="shared" si="11"/>
        <v>1217</v>
      </c>
      <c r="AA33" s="499">
        <f>AA32</f>
        <v>2.990845065767477</v>
      </c>
      <c r="AB33" s="499">
        <f>AB32</f>
        <v>2.9419297890598082</v>
      </c>
      <c r="AC33" s="469" t="s">
        <v>451</v>
      </c>
      <c r="AD33" s="469" t="s">
        <v>454</v>
      </c>
      <c r="AF33" s="444">
        <f>+IF(Tabla33[[#This Row],[Amortización k | cupón de intereses]]="Amortización de K",Tabla33[[#This Row],[Valor Nominal]],0)</f>
        <v>0</v>
      </c>
      <c r="AG33" s="444">
        <f>+IF(AND(Tabla33[[#This Row],[Amortización k | cupón de intereses]]="Cupón de interés",Tabla33[[#This Row],[Estado]]="Vigente"),Tabla33[[#This Row],[Valor Nominal]],0)</f>
        <v>2510.9589000000001</v>
      </c>
      <c r="AH33" s="444">
        <f>+IF(Tabla33[[#This Row],[Amortización k | cupón de intereses]]="Amortización de K",SUMIFS($AG$7:$AG$418,Tabla33[Código Emisión],Tabla33[[#This Row],[Código Emisión]],Tabla33[Fecha de operación],Tabla33[[#This Row],[Fecha de operación]]),0)-Tabla33[[#This Row],[Accrued]]*Tabla33[[#This Row],[Valor Nominal]]</f>
        <v>0</v>
      </c>
      <c r="AI33" s="444">
        <f>+IF(Tabla33[[#This Row],[Amortización k | cupón de intereses]]="Amortización de K",IF(Tabla33[[#This Row],[Precio Clean]]&gt;1,Tabla33[[#This Row],[Valor Nominal]]*(Tabla33[[#This Row],[Precio Clean]]-1),0),0)</f>
        <v>0</v>
      </c>
      <c r="AJ33" s="444">
        <f>+IF(Tabla33[[#This Row],[Amortización k | cupón de intereses]]="Amortización de K",IF(Tabla33[[#This Row],[Precio Clean]]&lt;1,Tabla33[[#This Row],[Valor Nominal]]*(Tabla33[[#This Row],[Precio Clean]]-1),0),0)</f>
        <v>0</v>
      </c>
      <c r="AO33" s="444"/>
      <c r="AP33" s="444"/>
    </row>
    <row r="34" spans="1:43">
      <c r="B34" s="437" t="str">
        <f>+B33</f>
        <v>Banco Basa SA</v>
      </c>
      <c r="C34" s="437" t="str">
        <f t="shared" ref="C34:H47" si="15">+C33</f>
        <v>PYBAM01F0358</v>
      </c>
      <c r="D34" s="437" t="str">
        <f>+D33</f>
        <v>Bonos Financieros</v>
      </c>
      <c r="E34" s="437" t="str">
        <f>+E33</f>
        <v>AA-py</v>
      </c>
      <c r="F34" s="437" t="str">
        <f t="shared" ref="F34:H41" si="16">+F33</f>
        <v>Financiero</v>
      </c>
      <c r="G34" s="437" t="str">
        <f t="shared" si="16"/>
        <v>Paraguay</v>
      </c>
      <c r="H34" s="437">
        <f t="shared" si="16"/>
        <v>150</v>
      </c>
      <c r="I34" s="492">
        <v>16.205479</v>
      </c>
      <c r="J34" s="451"/>
      <c r="L34" s="442"/>
      <c r="M34" s="493"/>
      <c r="N34" s="493"/>
      <c r="O34" s="494">
        <f>+O33</f>
        <v>6.6508695483207689E-2</v>
      </c>
      <c r="P34" s="494">
        <f>+P33</f>
        <v>6.4911470005821315E-2</v>
      </c>
      <c r="Q34" s="450">
        <f>+Q33</f>
        <v>45819</v>
      </c>
      <c r="R34" s="450">
        <v>47144</v>
      </c>
      <c r="S34" s="509" t="s">
        <v>146</v>
      </c>
      <c r="T34" s="510">
        <f>Tabla33[[#This Row],[Cantidad]]*Tabla33[[#This Row],[Cortes]]</f>
        <v>2430.8218500000003</v>
      </c>
      <c r="U34" s="511">
        <f t="shared" si="1"/>
        <v>1993.9520717627033</v>
      </c>
      <c r="V34" s="511">
        <f t="shared" si="2"/>
        <v>1993.6003455392847</v>
      </c>
      <c r="W34" s="497">
        <f>IF(Tabla33[[#This Row],[Fecha de operación]]=$C$1,0,U34-V34)</f>
        <v>0.35172622341860915</v>
      </c>
      <c r="X34" s="512" t="str">
        <f>IF(R34&lt;=$U$5,"Vencido","Vigente")</f>
        <v>Vigente</v>
      </c>
      <c r="Y34" s="498"/>
      <c r="Z34" s="469">
        <f>+R34-$U$5</f>
        <v>1123</v>
      </c>
      <c r="AA34" s="499">
        <f t="shared" ref="AA34:AB47" si="17">AA33</f>
        <v>2.990845065767477</v>
      </c>
      <c r="AB34" s="499">
        <f t="shared" si="17"/>
        <v>2.9419297890598082</v>
      </c>
      <c r="AC34" s="469" t="s">
        <v>451</v>
      </c>
      <c r="AD34" s="469" t="s">
        <v>454</v>
      </c>
      <c r="AF34" s="444">
        <f>+IF(Tabla33[[#This Row],[Amortización k | cupón de intereses]]="Amortización de K",Tabla33[[#This Row],[Valor Nominal]],0)</f>
        <v>0</v>
      </c>
      <c r="AG34" s="444">
        <f>+IF(AND(Tabla33[[#This Row],[Amortización k | cupón de intereses]]="Cupón de interés",Tabla33[[#This Row],[Estado]]="Vigente"),Tabla33[[#This Row],[Valor Nominal]],0)</f>
        <v>2430.8218500000003</v>
      </c>
      <c r="AH34" s="444">
        <f>+IF(Tabla33[[#This Row],[Amortización k | cupón de intereses]]="Amortización de K",SUMIFS($AG$7:$AG$418,Tabla33[Código Emisión],Tabla33[[#This Row],[Código Emisión]],Tabla33[Fecha de operación],Tabla33[[#This Row],[Fecha de operación]]),0)-Tabla33[[#This Row],[Accrued]]*Tabla33[[#This Row],[Valor Nominal]]</f>
        <v>0</v>
      </c>
      <c r="AI34" s="444">
        <f>+IF(Tabla33[[#This Row],[Amortización k | cupón de intereses]]="Amortización de K",IF(Tabla33[[#This Row],[Precio Clean]]&gt;1,Tabla33[[#This Row],[Valor Nominal]]*(Tabla33[[#This Row],[Precio Clean]]-1),0),0)</f>
        <v>0</v>
      </c>
      <c r="AJ34" s="444">
        <f>+IF(Tabla33[[#This Row],[Amortización k | cupón de intereses]]="Amortización de K",IF(Tabla33[[#This Row],[Precio Clean]]&lt;1,Tabla33[[#This Row],[Valor Nominal]]*(Tabla33[[#This Row],[Precio Clean]]-1),0),0)</f>
        <v>0</v>
      </c>
      <c r="AM34" s="463"/>
      <c r="AN34" s="490" t="s">
        <v>359</v>
      </c>
      <c r="AO34" s="599">
        <f>+AO35+AO36-AO37+AO38+AO39</f>
        <v>198035.00521078936</v>
      </c>
      <c r="AP34" s="444">
        <f>+SUMIFS(Tabla33[Valor Presente o Contable],Tabla33[Instrumento],AN34)</f>
        <v>198035.00521078936</v>
      </c>
      <c r="AQ34" s="529">
        <f>+AO34-AP34</f>
        <v>0</v>
      </c>
    </row>
    <row r="35" spans="1:43">
      <c r="B35" s="437" t="str">
        <f t="shared" ref="B35:B47" si="18">+B34</f>
        <v>Banco Basa SA</v>
      </c>
      <c r="C35" s="437" t="str">
        <f t="shared" si="15"/>
        <v>PYBAM01F0358</v>
      </c>
      <c r="D35" s="437" t="str">
        <f t="shared" si="15"/>
        <v>Bonos Financieros</v>
      </c>
      <c r="E35" s="437" t="str">
        <f t="shared" si="15"/>
        <v>AA-py</v>
      </c>
      <c r="F35" s="437" t="str">
        <f t="shared" si="16"/>
        <v>Financiero</v>
      </c>
      <c r="G35" s="437" t="str">
        <f t="shared" si="16"/>
        <v>Paraguay</v>
      </c>
      <c r="H35" s="437">
        <f t="shared" si="16"/>
        <v>150</v>
      </c>
      <c r="I35" s="492">
        <v>16.205479</v>
      </c>
      <c r="J35" s="451"/>
      <c r="L35" s="442"/>
      <c r="M35" s="493"/>
      <c r="N35" s="493"/>
      <c r="O35" s="494">
        <f t="shared" ref="O35:Q47" si="19">+O34</f>
        <v>6.6508695483207689E-2</v>
      </c>
      <c r="P35" s="494">
        <f t="shared" si="19"/>
        <v>6.4911470005821315E-2</v>
      </c>
      <c r="Q35" s="450">
        <f t="shared" si="19"/>
        <v>45819</v>
      </c>
      <c r="R35" s="450">
        <v>47053</v>
      </c>
      <c r="S35" s="509" t="s">
        <v>146</v>
      </c>
      <c r="T35" s="510">
        <f>Tabla33[[#This Row],[Cantidad]]*Tabla33[[#This Row],[Cortes]]</f>
        <v>2430.8218500000003</v>
      </c>
      <c r="U35" s="511">
        <f t="shared" si="1"/>
        <v>2026.2202973784717</v>
      </c>
      <c r="V35" s="511">
        <f t="shared" si="2"/>
        <v>2025.8628791520744</v>
      </c>
      <c r="W35" s="497">
        <f>IF(Tabla33[[#This Row],[Fecha de operación]]=$C$1,0,U35-V35)</f>
        <v>0.3574182263973853</v>
      </c>
      <c r="X35" s="512" t="str">
        <f>IF(R35&lt;=$U$5,"Vencido","Vigente")</f>
        <v>Vigente</v>
      </c>
      <c r="Y35" s="498"/>
      <c r="Z35" s="469">
        <f>+R35-$U$5</f>
        <v>1032</v>
      </c>
      <c r="AA35" s="499">
        <f t="shared" si="17"/>
        <v>2.990845065767477</v>
      </c>
      <c r="AB35" s="499">
        <f t="shared" si="17"/>
        <v>2.9419297890598082</v>
      </c>
      <c r="AC35" s="469" t="s">
        <v>451</v>
      </c>
      <c r="AD35" s="469" t="s">
        <v>454</v>
      </c>
      <c r="AF35" s="444">
        <f>+IF(Tabla33[[#This Row],[Amortización k | cupón de intereses]]="Amortización de K",Tabla33[[#This Row],[Valor Nominal]],0)</f>
        <v>0</v>
      </c>
      <c r="AG35" s="444">
        <f>+IF(AND(Tabla33[[#This Row],[Amortización k | cupón de intereses]]="Cupón de interés",Tabla33[[#This Row],[Estado]]="Vigente"),Tabla33[[#This Row],[Valor Nominal]],0)</f>
        <v>2430.8218500000003</v>
      </c>
      <c r="AH35" s="444">
        <f>+IF(Tabla33[[#This Row],[Amortización k | cupón de intereses]]="Amortización de K",SUMIFS($AG$7:$AG$418,Tabla33[Código Emisión],Tabla33[[#This Row],[Código Emisión]],Tabla33[Fecha de operación],Tabla33[[#This Row],[Fecha de operación]]),0)-Tabla33[[#This Row],[Accrued]]*Tabla33[[#This Row],[Valor Nominal]]</f>
        <v>0</v>
      </c>
      <c r="AI35" s="444">
        <f>+IF(Tabla33[[#This Row],[Amortización k | cupón de intereses]]="Amortización de K",IF(Tabla33[[#This Row],[Precio Clean]]&gt;1,Tabla33[[#This Row],[Valor Nominal]]*(Tabla33[[#This Row],[Precio Clean]]-1),0),0)</f>
        <v>0</v>
      </c>
      <c r="AJ35" s="444">
        <f>+IF(Tabla33[[#This Row],[Amortización k | cupón de intereses]]="Amortización de K",IF(Tabla33[[#This Row],[Precio Clean]]&lt;1,Tabla33[[#This Row],[Valor Nominal]]*(Tabla33[[#This Row],[Precio Clean]]-1),0),0)</f>
        <v>0</v>
      </c>
      <c r="AM35" s="595">
        <v>12010115003001</v>
      </c>
      <c r="AN35" s="596" t="s">
        <v>476</v>
      </c>
      <c r="AO35" s="597">
        <f>+SUMIF(Tabla33[Instrumento],$AN34,$AF$7:$AF$418)</f>
        <v>200000</v>
      </c>
      <c r="AP35" s="444"/>
    </row>
    <row r="36" spans="1:43">
      <c r="B36" s="437" t="str">
        <f t="shared" si="18"/>
        <v>Banco Basa SA</v>
      </c>
      <c r="C36" s="437" t="str">
        <f t="shared" si="15"/>
        <v>PYBAM01F0358</v>
      </c>
      <c r="D36" s="437" t="str">
        <f t="shared" si="15"/>
        <v>Bonos Financieros</v>
      </c>
      <c r="E36" s="437" t="str">
        <f t="shared" si="15"/>
        <v>AA-py</v>
      </c>
      <c r="F36" s="437" t="str">
        <f t="shared" si="16"/>
        <v>Financiero</v>
      </c>
      <c r="G36" s="437" t="str">
        <f t="shared" si="16"/>
        <v>Paraguay</v>
      </c>
      <c r="H36" s="437">
        <f t="shared" si="16"/>
        <v>150</v>
      </c>
      <c r="I36" s="492">
        <v>16.205479</v>
      </c>
      <c r="J36" s="451"/>
      <c r="L36" s="442"/>
      <c r="M36" s="493"/>
      <c r="N36" s="493"/>
      <c r="O36" s="494">
        <f t="shared" si="19"/>
        <v>6.6508695483207689E-2</v>
      </c>
      <c r="P36" s="494">
        <f t="shared" si="19"/>
        <v>6.4911470005821315E-2</v>
      </c>
      <c r="Q36" s="450">
        <f t="shared" si="19"/>
        <v>45819</v>
      </c>
      <c r="R36" s="450">
        <v>46962</v>
      </c>
      <c r="S36" s="509" t="s">
        <v>146</v>
      </c>
      <c r="T36" s="510">
        <f>Tabla33[[#This Row],[Cantidad]]*Tabla33[[#This Row],[Cortes]]</f>
        <v>2430.8218500000003</v>
      </c>
      <c r="U36" s="511">
        <f t="shared" si="1"/>
        <v>2059.0107212953608</v>
      </c>
      <c r="V36" s="511">
        <f t="shared" si="2"/>
        <v>2058.6475189520174</v>
      </c>
      <c r="W36" s="497">
        <f>IF(Tabla33[[#This Row],[Fecha de operación]]=$C$1,0,U36-V36)</f>
        <v>0.363202343343346</v>
      </c>
      <c r="X36" s="512" t="str">
        <f>IF(R36&lt;=$U$5,"Vencido","Vigente")</f>
        <v>Vigente</v>
      </c>
      <c r="Y36" s="498"/>
      <c r="Z36" s="469">
        <f>+R36-$U$5</f>
        <v>941</v>
      </c>
      <c r="AA36" s="499">
        <f t="shared" si="17"/>
        <v>2.990845065767477</v>
      </c>
      <c r="AB36" s="499">
        <f t="shared" si="17"/>
        <v>2.9419297890598082</v>
      </c>
      <c r="AC36" s="469" t="s">
        <v>451</v>
      </c>
      <c r="AD36" s="469" t="s">
        <v>454</v>
      </c>
      <c r="AF36" s="444">
        <f>+IF(Tabla33[[#This Row],[Amortización k | cupón de intereses]]="Amortización de K",Tabla33[[#This Row],[Valor Nominal]],0)</f>
        <v>0</v>
      </c>
      <c r="AG36" s="444">
        <f>+IF(AND(Tabla33[[#This Row],[Amortización k | cupón de intereses]]="Cupón de interés",Tabla33[[#This Row],[Estado]]="Vigente"),Tabla33[[#This Row],[Valor Nominal]],0)</f>
        <v>2430.8218500000003</v>
      </c>
      <c r="AH36" s="444">
        <f>+IF(Tabla33[[#This Row],[Amortización k | cupón de intereses]]="Amortización de K",SUMIFS($AG$7:$AG$418,Tabla33[Código Emisión],Tabla33[[#This Row],[Código Emisión]],Tabla33[Fecha de operación],Tabla33[[#This Row],[Fecha de operación]]),0)-Tabla33[[#This Row],[Accrued]]*Tabla33[[#This Row],[Valor Nominal]]</f>
        <v>0</v>
      </c>
      <c r="AI36" s="444">
        <f>+IF(Tabla33[[#This Row],[Amortización k | cupón de intereses]]="Amortización de K",IF(Tabla33[[#This Row],[Precio Clean]]&gt;1,Tabla33[[#This Row],[Valor Nominal]]*(Tabla33[[#This Row],[Precio Clean]]-1),0),0)</f>
        <v>0</v>
      </c>
      <c r="AJ36" s="444">
        <f>+IF(Tabla33[[#This Row],[Amortización k | cupón de intereses]]="Amortización de K",IF(Tabla33[[#This Row],[Precio Clean]]&lt;1,Tabla33[[#This Row],[Valor Nominal]]*(Tabla33[[#This Row],[Precio Clean]]-1),0),0)</f>
        <v>0</v>
      </c>
      <c r="AM36" s="595">
        <v>13080225003001</v>
      </c>
      <c r="AN36" s="596" t="s">
        <v>477</v>
      </c>
      <c r="AO36" s="597">
        <f>+SUMIF(Tabla33[Instrumento],$AN34,$AG$7:$AG$418)</f>
        <v>29917.808000000001</v>
      </c>
      <c r="AP36" s="444"/>
    </row>
    <row r="37" spans="1:43">
      <c r="B37" s="437" t="str">
        <f t="shared" si="18"/>
        <v>Banco Basa SA</v>
      </c>
      <c r="C37" s="437" t="str">
        <f t="shared" si="15"/>
        <v>PYBAM01F0358</v>
      </c>
      <c r="D37" s="437" t="str">
        <f t="shared" si="15"/>
        <v>Bonos Financieros</v>
      </c>
      <c r="E37" s="437" t="str">
        <f t="shared" si="15"/>
        <v>AA-py</v>
      </c>
      <c r="F37" s="437" t="str">
        <f t="shared" si="16"/>
        <v>Financiero</v>
      </c>
      <c r="G37" s="437" t="str">
        <f t="shared" si="16"/>
        <v>Paraguay</v>
      </c>
      <c r="H37" s="437">
        <f t="shared" si="16"/>
        <v>150</v>
      </c>
      <c r="I37" s="492">
        <v>16.739726000000001</v>
      </c>
      <c r="J37" s="451"/>
      <c r="L37" s="442"/>
      <c r="M37" s="493"/>
      <c r="N37" s="493"/>
      <c r="O37" s="494">
        <f t="shared" si="19"/>
        <v>6.6508695483207689E-2</v>
      </c>
      <c r="P37" s="494">
        <f t="shared" si="19"/>
        <v>6.4911470005821315E-2</v>
      </c>
      <c r="Q37" s="450">
        <f t="shared" si="19"/>
        <v>45819</v>
      </c>
      <c r="R37" s="450">
        <v>46871</v>
      </c>
      <c r="S37" s="509" t="s">
        <v>146</v>
      </c>
      <c r="T37" s="510">
        <f>Tabla33[[#This Row],[Cantidad]]*Tabla33[[#This Row],[Cortes]]</f>
        <v>2510.9589000000001</v>
      </c>
      <c r="U37" s="511">
        <f t="shared" si="1"/>
        <v>2161.3098222670828</v>
      </c>
      <c r="V37" s="511">
        <f t="shared" si="2"/>
        <v>2160.9285747174608</v>
      </c>
      <c r="W37" s="497">
        <f>IF(Tabla33[[#This Row],[Fecha de operación]]=$C$1,0,U37-V37)</f>
        <v>0.38124754962200313</v>
      </c>
      <c r="X37" s="512" t="str">
        <f t="shared" ref="X37:X100" si="20">IF(R37&lt;=$U$5,"Vencido","Vigente")</f>
        <v>Vigente</v>
      </c>
      <c r="Y37" s="498"/>
      <c r="Z37" s="469">
        <f t="shared" ref="Z37:Z100" si="21">+R37-$U$5</f>
        <v>850</v>
      </c>
      <c r="AA37" s="499">
        <f t="shared" si="17"/>
        <v>2.990845065767477</v>
      </c>
      <c r="AB37" s="499">
        <f t="shared" si="17"/>
        <v>2.9419297890598082</v>
      </c>
      <c r="AC37" s="469" t="s">
        <v>451</v>
      </c>
      <c r="AD37" s="469" t="s">
        <v>454</v>
      </c>
      <c r="AF37" s="444">
        <f>+IF(Tabla33[[#This Row],[Amortización k | cupón de intereses]]="Amortización de K",Tabla33[[#This Row],[Valor Nominal]],0)</f>
        <v>0</v>
      </c>
      <c r="AG37" s="444">
        <f>+IF(AND(Tabla33[[#This Row],[Amortización k | cupón de intereses]]="Cupón de interés",Tabla33[[#This Row],[Estado]]="Vigente"),Tabla33[[#This Row],[Valor Nominal]],0)</f>
        <v>2510.9589000000001</v>
      </c>
      <c r="AH37" s="444">
        <f>+IF(Tabla33[[#This Row],[Amortización k | cupón de intereses]]="Amortización de K",SUMIFS($AG$7:$AG$418,Tabla33[Código Emisión],Tabla33[[#This Row],[Código Emisión]],Tabla33[Fecha de operación],Tabla33[[#This Row],[Fecha de operación]]),0)-Tabla33[[#This Row],[Accrued]]*Tabla33[[#This Row],[Valor Nominal]]</f>
        <v>0</v>
      </c>
      <c r="AI37" s="444">
        <f>+IF(Tabla33[[#This Row],[Amortización k | cupón de intereses]]="Amortización de K",IF(Tabla33[[#This Row],[Precio Clean]]&gt;1,Tabla33[[#This Row],[Valor Nominal]]*(Tabla33[[#This Row],[Precio Clean]]-1),0),0)</f>
        <v>0</v>
      </c>
      <c r="AJ37" s="444">
        <f>+IF(Tabla33[[#This Row],[Amortización k | cupón de intereses]]="Amortización de K",IF(Tabla33[[#This Row],[Precio Clean]]&lt;1,Tabla33[[#This Row],[Valor Nominal]]*(Tabla33[[#This Row],[Precio Clean]]-1),0),0)</f>
        <v>0</v>
      </c>
      <c r="AM37" s="595">
        <v>13080225903001</v>
      </c>
      <c r="AN37" s="596" t="s">
        <v>478</v>
      </c>
      <c r="AO37" s="597">
        <f>+SUMIF(Tabla33[Instrumento],$AN34,$AH$7:$AH$418)</f>
        <v>27715.068273972603</v>
      </c>
      <c r="AP37" s="444"/>
    </row>
    <row r="38" spans="1:43">
      <c r="B38" s="437" t="str">
        <f t="shared" si="18"/>
        <v>Banco Basa SA</v>
      </c>
      <c r="C38" s="437" t="str">
        <f t="shared" si="15"/>
        <v>PYBAM01F0358</v>
      </c>
      <c r="D38" s="437" t="str">
        <f t="shared" si="15"/>
        <v>Bonos Financieros</v>
      </c>
      <c r="E38" s="437" t="str">
        <f t="shared" si="15"/>
        <v>AA-py</v>
      </c>
      <c r="F38" s="437" t="str">
        <f t="shared" si="16"/>
        <v>Financiero</v>
      </c>
      <c r="G38" s="437" t="str">
        <f t="shared" si="16"/>
        <v>Paraguay</v>
      </c>
      <c r="H38" s="437">
        <f t="shared" si="16"/>
        <v>150</v>
      </c>
      <c r="I38" s="492">
        <v>16.205479</v>
      </c>
      <c r="J38" s="451"/>
      <c r="L38" s="442"/>
      <c r="M38" s="493"/>
      <c r="N38" s="493"/>
      <c r="O38" s="494">
        <f t="shared" si="19"/>
        <v>6.6508695483207689E-2</v>
      </c>
      <c r="P38" s="494">
        <f t="shared" si="19"/>
        <v>6.4911470005821315E-2</v>
      </c>
      <c r="Q38" s="450">
        <f t="shared" si="19"/>
        <v>45819</v>
      </c>
      <c r="R38" s="450">
        <v>46777</v>
      </c>
      <c r="S38" s="509" t="s">
        <v>146</v>
      </c>
      <c r="T38" s="510">
        <f>Tabla33[[#This Row],[Cantidad]]*Tabla33[[#This Row],[Cortes]]</f>
        <v>2430.8218500000003</v>
      </c>
      <c r="U38" s="511">
        <f t="shared" si="1"/>
        <v>2127.3176596188973</v>
      </c>
      <c r="V38" s="511">
        <f t="shared" si="2"/>
        <v>2126.9424081687621</v>
      </c>
      <c r="W38" s="497">
        <f>IF(Tabla33[[#This Row],[Fecha de operación]]=$C$1,0,U38-V38)</f>
        <v>0.37525145013523797</v>
      </c>
      <c r="X38" s="512" t="str">
        <f t="shared" si="20"/>
        <v>Vigente</v>
      </c>
      <c r="Y38" s="498"/>
      <c r="Z38" s="469">
        <f t="shared" si="21"/>
        <v>756</v>
      </c>
      <c r="AA38" s="499">
        <f t="shared" si="17"/>
        <v>2.990845065767477</v>
      </c>
      <c r="AB38" s="499">
        <f t="shared" si="17"/>
        <v>2.9419297890598082</v>
      </c>
      <c r="AC38" s="469" t="s">
        <v>451</v>
      </c>
      <c r="AD38" s="469" t="s">
        <v>454</v>
      </c>
      <c r="AF38" s="444">
        <f>+IF(Tabla33[[#This Row],[Amortización k | cupón de intereses]]="Amortización de K",Tabla33[[#This Row],[Valor Nominal]],0)</f>
        <v>0</v>
      </c>
      <c r="AG38" s="444">
        <f>+IF(AND(Tabla33[[#This Row],[Amortización k | cupón de intereses]]="Cupón de interés",Tabla33[[#This Row],[Estado]]="Vigente"),Tabla33[[#This Row],[Valor Nominal]],0)</f>
        <v>2430.8218500000003</v>
      </c>
      <c r="AH38" s="444">
        <f>+IF(Tabla33[[#This Row],[Amortización k | cupón de intereses]]="Amortización de K",SUMIFS($AG$7:$AG$418,Tabla33[Código Emisión],Tabla33[[#This Row],[Código Emisión]],Tabla33[Fecha de operación],Tabla33[[#This Row],[Fecha de operación]]),0)-Tabla33[[#This Row],[Accrued]]*Tabla33[[#This Row],[Valor Nominal]]</f>
        <v>0</v>
      </c>
      <c r="AI38" s="444">
        <f>+IF(Tabla33[[#This Row],[Amortización k | cupón de intereses]]="Amortización de K",IF(Tabla33[[#This Row],[Precio Clean]]&gt;1,Tabla33[[#This Row],[Valor Nominal]]*(Tabla33[[#This Row],[Precio Clean]]-1),0),0)</f>
        <v>0</v>
      </c>
      <c r="AJ38" s="444">
        <f>+IF(Tabla33[[#This Row],[Amortización k | cupón de intereses]]="Amortización de K",IF(Tabla33[[#This Row],[Precio Clean]]&lt;1,Tabla33[[#This Row],[Valor Nominal]]*(Tabla33[[#This Row],[Precio Clean]]-1),0),0)</f>
        <v>0</v>
      </c>
      <c r="AM38" s="463">
        <v>12010121003001</v>
      </c>
      <c r="AN38" s="437" t="s">
        <v>479</v>
      </c>
      <c r="AO38" s="444">
        <f>+SUMIF(Tabla33[Instrumento],$AN34,$AI$7:$AI$418)</f>
        <v>0</v>
      </c>
      <c r="AP38" s="444"/>
    </row>
    <row r="39" spans="1:43">
      <c r="B39" s="437" t="str">
        <f t="shared" si="18"/>
        <v>Banco Basa SA</v>
      </c>
      <c r="C39" s="437" t="str">
        <f t="shared" si="15"/>
        <v>PYBAM01F0358</v>
      </c>
      <c r="D39" s="437" t="str">
        <f t="shared" si="15"/>
        <v>Bonos Financieros</v>
      </c>
      <c r="E39" s="437" t="str">
        <f t="shared" si="15"/>
        <v>AA-py</v>
      </c>
      <c r="F39" s="437" t="str">
        <f t="shared" si="16"/>
        <v>Financiero</v>
      </c>
      <c r="G39" s="437" t="str">
        <f t="shared" si="16"/>
        <v>Paraguay</v>
      </c>
      <c r="H39" s="437">
        <f t="shared" si="16"/>
        <v>150</v>
      </c>
      <c r="I39" s="492">
        <v>16.205479</v>
      </c>
      <c r="J39" s="451"/>
      <c r="L39" s="442"/>
      <c r="M39" s="493"/>
      <c r="N39" s="493"/>
      <c r="O39" s="494">
        <f t="shared" si="19"/>
        <v>6.6508695483207689E-2</v>
      </c>
      <c r="P39" s="494">
        <f t="shared" si="19"/>
        <v>6.4911470005821315E-2</v>
      </c>
      <c r="Q39" s="450">
        <f t="shared" si="19"/>
        <v>45819</v>
      </c>
      <c r="R39" s="450">
        <v>46686</v>
      </c>
      <c r="S39" s="509" t="s">
        <v>146</v>
      </c>
      <c r="T39" s="510">
        <f>Tabla33[[#This Row],[Cantidad]]*Tabla33[[#This Row],[Cortes]]</f>
        <v>2430.8218500000003</v>
      </c>
      <c r="U39" s="511">
        <f t="shared" si="1"/>
        <v>2161.7441471805105</v>
      </c>
      <c r="V39" s="511">
        <f t="shared" si="2"/>
        <v>2161.3628230174813</v>
      </c>
      <c r="W39" s="497">
        <f>IF(Tabla33[[#This Row],[Fecha de operación]]=$C$1,0,U39-V39)</f>
        <v>0.38132416302914862</v>
      </c>
      <c r="X39" s="512" t="str">
        <f t="shared" si="20"/>
        <v>Vigente</v>
      </c>
      <c r="Y39" s="498"/>
      <c r="Z39" s="469">
        <f t="shared" si="21"/>
        <v>665</v>
      </c>
      <c r="AA39" s="499">
        <f t="shared" si="17"/>
        <v>2.990845065767477</v>
      </c>
      <c r="AB39" s="499">
        <f t="shared" si="17"/>
        <v>2.9419297890598082</v>
      </c>
      <c r="AC39" s="469" t="s">
        <v>451</v>
      </c>
      <c r="AD39" s="469" t="s">
        <v>454</v>
      </c>
      <c r="AF39" s="444">
        <f>+IF(Tabla33[[#This Row],[Amortización k | cupón de intereses]]="Amortización de K",Tabla33[[#This Row],[Valor Nominal]],0)</f>
        <v>0</v>
      </c>
      <c r="AG39" s="444">
        <f>+IF(AND(Tabla33[[#This Row],[Amortización k | cupón de intereses]]="Cupón de interés",Tabla33[[#This Row],[Estado]]="Vigente"),Tabla33[[#This Row],[Valor Nominal]],0)</f>
        <v>2430.8218500000003</v>
      </c>
      <c r="AH39" s="444">
        <f>+IF(Tabla33[[#This Row],[Amortización k | cupón de intereses]]="Amortización de K",SUMIFS($AG$7:$AG$418,Tabla33[Código Emisión],Tabla33[[#This Row],[Código Emisión]],Tabla33[Fecha de operación],Tabla33[[#This Row],[Fecha de operación]]),0)-Tabla33[[#This Row],[Accrued]]*Tabla33[[#This Row],[Valor Nominal]]</f>
        <v>0</v>
      </c>
      <c r="AI39" s="444">
        <f>+IF(Tabla33[[#This Row],[Amortización k | cupón de intereses]]="Amortización de K",IF(Tabla33[[#This Row],[Precio Clean]]&gt;1,Tabla33[[#This Row],[Valor Nominal]]*(Tabla33[[#This Row],[Precio Clean]]-1),0),0)</f>
        <v>0</v>
      </c>
      <c r="AJ39" s="444">
        <f>+IF(Tabla33[[#This Row],[Amortización k | cupón de intereses]]="Amortización de K",IF(Tabla33[[#This Row],[Precio Clean]]&lt;1,Tabla33[[#This Row],[Valor Nominal]]*(Tabla33[[#This Row],[Precio Clean]]-1),0),0)</f>
        <v>0</v>
      </c>
      <c r="AM39" s="463">
        <v>22010110003001</v>
      </c>
      <c r="AN39" s="437" t="s">
        <v>480</v>
      </c>
      <c r="AO39" s="444">
        <f>+SUMIF(Tabla33[Instrumento],$AN34,$AJ$7:$AJ$418)</f>
        <v>-4167.7345152380421</v>
      </c>
      <c r="AP39" s="444"/>
    </row>
    <row r="40" spans="1:43">
      <c r="B40" s="437" t="str">
        <f t="shared" si="18"/>
        <v>Banco Basa SA</v>
      </c>
      <c r="C40" s="437" t="str">
        <f t="shared" si="15"/>
        <v>PYBAM01F0358</v>
      </c>
      <c r="D40" s="437" t="str">
        <f t="shared" si="15"/>
        <v>Bonos Financieros</v>
      </c>
      <c r="E40" s="437" t="str">
        <f t="shared" si="15"/>
        <v>AA-py</v>
      </c>
      <c r="F40" s="437" t="str">
        <f t="shared" si="16"/>
        <v>Financiero</v>
      </c>
      <c r="G40" s="437" t="str">
        <f t="shared" si="16"/>
        <v>Paraguay</v>
      </c>
      <c r="H40" s="437">
        <f t="shared" si="16"/>
        <v>150</v>
      </c>
      <c r="I40" s="492">
        <v>16.205479</v>
      </c>
      <c r="J40" s="451"/>
      <c r="L40" s="442"/>
      <c r="M40" s="493"/>
      <c r="N40" s="493"/>
      <c r="O40" s="494">
        <f t="shared" si="19"/>
        <v>6.6508695483207689E-2</v>
      </c>
      <c r="P40" s="494">
        <f t="shared" si="19"/>
        <v>6.4911470005821315E-2</v>
      </c>
      <c r="Q40" s="450">
        <f t="shared" si="19"/>
        <v>45819</v>
      </c>
      <c r="R40" s="450">
        <v>46595</v>
      </c>
      <c r="S40" s="509" t="s">
        <v>146</v>
      </c>
      <c r="T40" s="510">
        <f>Tabla33[[#This Row],[Cantidad]]*Tabla33[[#This Row],[Cortes]]</f>
        <v>2430.8218500000003</v>
      </c>
      <c r="U40" s="511">
        <f t="shared" si="1"/>
        <v>2196.7277603037296</v>
      </c>
      <c r="V40" s="511">
        <f t="shared" si="2"/>
        <v>2196.3402651527922</v>
      </c>
      <c r="W40" s="497">
        <f>IF(Tabla33[[#This Row],[Fecha de operación]]=$C$1,0,U40-V40)</f>
        <v>0.38749515093741138</v>
      </c>
      <c r="X40" s="512" t="str">
        <f t="shared" si="20"/>
        <v>Vigente</v>
      </c>
      <c r="Y40" s="498"/>
      <c r="Z40" s="469">
        <f t="shared" si="21"/>
        <v>574</v>
      </c>
      <c r="AA40" s="499">
        <f t="shared" si="17"/>
        <v>2.990845065767477</v>
      </c>
      <c r="AB40" s="499">
        <f t="shared" si="17"/>
        <v>2.9419297890598082</v>
      </c>
      <c r="AC40" s="469" t="s">
        <v>451</v>
      </c>
      <c r="AD40" s="469" t="s">
        <v>454</v>
      </c>
      <c r="AF40" s="444">
        <f>+IF(Tabla33[[#This Row],[Amortización k | cupón de intereses]]="Amortización de K",Tabla33[[#This Row],[Valor Nominal]],0)</f>
        <v>0</v>
      </c>
      <c r="AG40" s="444">
        <f>+IF(AND(Tabla33[[#This Row],[Amortización k | cupón de intereses]]="Cupón de interés",Tabla33[[#This Row],[Estado]]="Vigente"),Tabla33[[#This Row],[Valor Nominal]],0)</f>
        <v>2430.8218500000003</v>
      </c>
      <c r="AH40" s="444">
        <f>+IF(Tabla33[[#This Row],[Amortización k | cupón de intereses]]="Amortización de K",SUMIFS($AG$7:$AG$418,Tabla33[Código Emisión],Tabla33[[#This Row],[Código Emisión]],Tabla33[Fecha de operación],Tabla33[[#This Row],[Fecha de operación]]),0)-Tabla33[[#This Row],[Accrued]]*Tabla33[[#This Row],[Valor Nominal]]</f>
        <v>0</v>
      </c>
      <c r="AI40" s="444">
        <f>+IF(Tabla33[[#This Row],[Amortización k | cupón de intereses]]="Amortización de K",IF(Tabla33[[#This Row],[Precio Clean]]&gt;1,Tabla33[[#This Row],[Valor Nominal]]*(Tabla33[[#This Row],[Precio Clean]]-1),0),0)</f>
        <v>0</v>
      </c>
      <c r="AJ40" s="444">
        <f>+IF(Tabla33[[#This Row],[Amortización k | cupón de intereses]]="Amortización de K",IF(Tabla33[[#This Row],[Precio Clean]]&lt;1,Tabla33[[#This Row],[Valor Nominal]]*(Tabla33[[#This Row],[Precio Clean]]-1),0),0)</f>
        <v>0</v>
      </c>
      <c r="AM40" s="463"/>
      <c r="AO40" s="444"/>
      <c r="AP40" s="444"/>
    </row>
    <row r="41" spans="1:43">
      <c r="B41" s="437" t="str">
        <f t="shared" si="18"/>
        <v>Banco Basa SA</v>
      </c>
      <c r="C41" s="437" t="str">
        <f t="shared" si="15"/>
        <v>PYBAM01F0358</v>
      </c>
      <c r="D41" s="437" t="str">
        <f t="shared" si="15"/>
        <v>Bonos Financieros</v>
      </c>
      <c r="E41" s="437" t="str">
        <f t="shared" si="15"/>
        <v>AA-py</v>
      </c>
      <c r="F41" s="437" t="str">
        <f t="shared" si="16"/>
        <v>Financiero</v>
      </c>
      <c r="G41" s="437" t="str">
        <f t="shared" si="16"/>
        <v>Paraguay</v>
      </c>
      <c r="H41" s="437">
        <f t="shared" si="16"/>
        <v>150</v>
      </c>
      <c r="I41" s="492">
        <v>16.205479</v>
      </c>
      <c r="J41" s="451"/>
      <c r="L41" s="442"/>
      <c r="M41" s="493"/>
      <c r="N41" s="493"/>
      <c r="O41" s="494">
        <f t="shared" si="19"/>
        <v>6.6508695483207689E-2</v>
      </c>
      <c r="P41" s="494">
        <f t="shared" si="19"/>
        <v>6.4911470005821315E-2</v>
      </c>
      <c r="Q41" s="450">
        <f t="shared" si="19"/>
        <v>45819</v>
      </c>
      <c r="R41" s="450">
        <v>46504</v>
      </c>
      <c r="S41" s="509" t="s">
        <v>146</v>
      </c>
      <c r="T41" s="510">
        <f>Tabla33[[#This Row],[Cantidad]]*Tabla33[[#This Row],[Cortes]]</f>
        <v>2430.8218500000003</v>
      </c>
      <c r="U41" s="511">
        <f t="shared" si="1"/>
        <v>2232.2775149792465</v>
      </c>
      <c r="V41" s="511">
        <f t="shared" si="2"/>
        <v>2231.8837489749958</v>
      </c>
      <c r="W41" s="497">
        <f>IF(Tabla33[[#This Row],[Fecha de operación]]=$C$1,0,U41-V41)</f>
        <v>0.39376600425066499</v>
      </c>
      <c r="X41" s="512" t="str">
        <f t="shared" si="20"/>
        <v>Vigente</v>
      </c>
      <c r="Y41" s="498"/>
      <c r="Z41" s="469">
        <f t="shared" si="21"/>
        <v>483</v>
      </c>
      <c r="AA41" s="499">
        <f t="shared" si="17"/>
        <v>2.990845065767477</v>
      </c>
      <c r="AB41" s="499">
        <f t="shared" si="17"/>
        <v>2.9419297890598082</v>
      </c>
      <c r="AC41" s="469" t="s">
        <v>451</v>
      </c>
      <c r="AD41" s="469" t="s">
        <v>454</v>
      </c>
      <c r="AF41" s="444">
        <f>+IF(Tabla33[[#This Row],[Amortización k | cupón de intereses]]="Amortización de K",Tabla33[[#This Row],[Valor Nominal]],0)</f>
        <v>0</v>
      </c>
      <c r="AG41" s="444">
        <f>+IF(AND(Tabla33[[#This Row],[Amortización k | cupón de intereses]]="Cupón de interés",Tabla33[[#This Row],[Estado]]="Vigente"),Tabla33[[#This Row],[Valor Nominal]],0)</f>
        <v>2430.8218500000003</v>
      </c>
      <c r="AH41" s="444">
        <f>+IF(Tabla33[[#This Row],[Amortización k | cupón de intereses]]="Amortización de K",SUMIFS($AG$7:$AG$418,Tabla33[Código Emisión],Tabla33[[#This Row],[Código Emisión]],Tabla33[Fecha de operación],Tabla33[[#This Row],[Fecha de operación]]),0)-Tabla33[[#This Row],[Accrued]]*Tabla33[[#This Row],[Valor Nominal]]</f>
        <v>0</v>
      </c>
      <c r="AI41" s="444">
        <f>+IF(Tabla33[[#This Row],[Amortización k | cupón de intereses]]="Amortización de K",IF(Tabla33[[#This Row],[Precio Clean]]&gt;1,Tabla33[[#This Row],[Valor Nominal]]*(Tabla33[[#This Row],[Precio Clean]]-1),0),0)</f>
        <v>0</v>
      </c>
      <c r="AJ41" s="444">
        <f>+IF(Tabla33[[#This Row],[Amortización k | cupón de intereses]]="Amortización de K",IF(Tabla33[[#This Row],[Precio Clean]]&lt;1,Tabla33[[#This Row],[Valor Nominal]]*(Tabla33[[#This Row],[Precio Clean]]-1),0),0)</f>
        <v>0</v>
      </c>
      <c r="AN41" s="490" t="s">
        <v>481</v>
      </c>
      <c r="AO41" s="491">
        <f>+AO42+(AO43-AO44)</f>
        <v>1585254.2257142856</v>
      </c>
      <c r="AP41" s="444">
        <f>+SUMIFS(Tabla33[Valor Presente o Contable],Tabla33[Instrumento],AN41)</f>
        <v>1585254.0751067875</v>
      </c>
      <c r="AQ41" s="529">
        <f>+AO41-AP41</f>
        <v>0.15060749812982976</v>
      </c>
    </row>
    <row r="42" spans="1:43">
      <c r="B42" s="437" t="str">
        <f t="shared" si="18"/>
        <v>Banco Basa SA</v>
      </c>
      <c r="C42" s="437" t="str">
        <f t="shared" si="15"/>
        <v>PYBAM01F0358</v>
      </c>
      <c r="D42" s="437" t="str">
        <f t="shared" si="15"/>
        <v>Bonos Financieros</v>
      </c>
      <c r="E42" s="437" t="str">
        <f t="shared" si="15"/>
        <v>AA-py</v>
      </c>
      <c r="F42" s="437" t="str">
        <f t="shared" si="15"/>
        <v>Financiero</v>
      </c>
      <c r="G42" s="437" t="str">
        <f t="shared" si="15"/>
        <v>Paraguay</v>
      </c>
      <c r="H42" s="437">
        <f t="shared" si="15"/>
        <v>150</v>
      </c>
      <c r="I42" s="492">
        <v>16.205479</v>
      </c>
      <c r="J42" s="451"/>
      <c r="L42" s="442"/>
      <c r="M42" s="493"/>
      <c r="N42" s="493"/>
      <c r="O42" s="494">
        <f t="shared" si="19"/>
        <v>6.6508695483207689E-2</v>
      </c>
      <c r="P42" s="494">
        <f t="shared" si="19"/>
        <v>6.4911470005821315E-2</v>
      </c>
      <c r="Q42" s="450">
        <f t="shared" si="19"/>
        <v>45819</v>
      </c>
      <c r="R42" s="450">
        <v>46413</v>
      </c>
      <c r="S42" s="509" t="s">
        <v>146</v>
      </c>
      <c r="T42" s="510">
        <f>Tabla33[[#This Row],[Cantidad]]*Tabla33[[#This Row],[Cortes]]</f>
        <v>2430.8218500000003</v>
      </c>
      <c r="U42" s="511">
        <f t="shared" si="1"/>
        <v>2268.4025731039787</v>
      </c>
      <c r="V42" s="511">
        <f t="shared" si="2"/>
        <v>2268.0024347648837</v>
      </c>
      <c r="W42" s="497">
        <f>IF(Tabla33[[#This Row],[Fecha de operación]]=$C$1,0,U42-V42)</f>
        <v>0.40013833909506502</v>
      </c>
      <c r="X42" s="512" t="str">
        <f t="shared" si="20"/>
        <v>Vigente</v>
      </c>
      <c r="Y42" s="498"/>
      <c r="Z42" s="469">
        <f t="shared" si="21"/>
        <v>392</v>
      </c>
      <c r="AA42" s="499">
        <f t="shared" si="17"/>
        <v>2.990845065767477</v>
      </c>
      <c r="AB42" s="499">
        <f t="shared" si="17"/>
        <v>2.9419297890598082</v>
      </c>
      <c r="AC42" s="469" t="s">
        <v>451</v>
      </c>
      <c r="AD42" s="469" t="s">
        <v>454</v>
      </c>
      <c r="AF42" s="444">
        <f>+IF(Tabla33[[#This Row],[Amortización k | cupón de intereses]]="Amortización de K",Tabla33[[#This Row],[Valor Nominal]],0)</f>
        <v>0</v>
      </c>
      <c r="AG42" s="444">
        <f>+IF(AND(Tabla33[[#This Row],[Amortización k | cupón de intereses]]="Cupón de interés",Tabla33[[#This Row],[Estado]]="Vigente"),Tabla33[[#This Row],[Valor Nominal]],0)</f>
        <v>2430.8218500000003</v>
      </c>
      <c r="AH42" s="444">
        <f>+IF(Tabla33[[#This Row],[Amortización k | cupón de intereses]]="Amortización de K",SUMIFS($AG$7:$AG$418,Tabla33[Código Emisión],Tabla33[[#This Row],[Código Emisión]],Tabla33[Fecha de operación],Tabla33[[#This Row],[Fecha de operación]]),0)-Tabla33[[#This Row],[Accrued]]*Tabla33[[#This Row],[Valor Nominal]]</f>
        <v>0</v>
      </c>
      <c r="AI42" s="444">
        <f>+IF(Tabla33[[#This Row],[Amortización k | cupón de intereses]]="Amortización de K",IF(Tabla33[[#This Row],[Precio Clean]]&gt;1,Tabla33[[#This Row],[Valor Nominal]]*(Tabla33[[#This Row],[Precio Clean]]-1),0),0)</f>
        <v>0</v>
      </c>
      <c r="AJ42" s="444">
        <f>+IF(Tabla33[[#This Row],[Amortización k | cupón de intereses]]="Amortización de K",IF(Tabla33[[#This Row],[Precio Clean]]&lt;1,Tabla33[[#This Row],[Valor Nominal]]*(Tabla33[[#This Row],[Precio Clean]]-1),0),0)</f>
        <v>0</v>
      </c>
      <c r="AM42" s="463">
        <v>12010119004001</v>
      </c>
      <c r="AN42" s="437" t="s">
        <v>482</v>
      </c>
      <c r="AO42" s="444">
        <f>+SUMIF(Tabla33[Instrumento],$AN41,$AF$7:$AF$418)</f>
        <v>1584971.97</v>
      </c>
      <c r="AP42" s="444">
        <f>+AO42-AO43</f>
        <v>1582996.18</v>
      </c>
    </row>
    <row r="43" spans="1:43">
      <c r="B43" s="437" t="str">
        <f t="shared" si="18"/>
        <v>Banco Basa SA</v>
      </c>
      <c r="C43" s="437" t="str">
        <f t="shared" si="15"/>
        <v>PYBAM01F0358</v>
      </c>
      <c r="D43" s="437" t="str">
        <f t="shared" si="15"/>
        <v>Bonos Financieros</v>
      </c>
      <c r="E43" s="437" t="str">
        <f t="shared" si="15"/>
        <v>AA-py</v>
      </c>
      <c r="F43" s="437" t="str">
        <f t="shared" si="15"/>
        <v>Financiero</v>
      </c>
      <c r="G43" s="437" t="str">
        <f t="shared" si="15"/>
        <v>Paraguay</v>
      </c>
      <c r="H43" s="437">
        <f t="shared" si="15"/>
        <v>150</v>
      </c>
      <c r="I43" s="492">
        <v>16.205479</v>
      </c>
      <c r="J43" s="451"/>
      <c r="L43" s="442"/>
      <c r="M43" s="493"/>
      <c r="N43" s="493"/>
      <c r="O43" s="494">
        <f t="shared" si="19"/>
        <v>6.6508695483207689E-2</v>
      </c>
      <c r="P43" s="494">
        <f t="shared" si="19"/>
        <v>6.4911470005821315E-2</v>
      </c>
      <c r="Q43" s="450">
        <f t="shared" si="19"/>
        <v>45819</v>
      </c>
      <c r="R43" s="450">
        <v>46322</v>
      </c>
      <c r="S43" s="509" t="s">
        <v>146</v>
      </c>
      <c r="T43" s="510">
        <f>Tabla33[[#This Row],[Cantidad]]*Tabla33[[#This Row],[Cortes]]</f>
        <v>2430.8218500000003</v>
      </c>
      <c r="U43" s="511">
        <f t="shared" si="1"/>
        <v>2305.1122448422771</v>
      </c>
      <c r="V43" s="511">
        <f t="shared" si="2"/>
        <v>2304.7056310445255</v>
      </c>
      <c r="W43" s="497">
        <f>IF(Tabla33[[#This Row],[Fecha de operación]]=$C$1,0,U43-V43)</f>
        <v>0.40661379775156092</v>
      </c>
      <c r="X43" s="512" t="str">
        <f t="shared" si="20"/>
        <v>Vigente</v>
      </c>
      <c r="Y43" s="498"/>
      <c r="Z43" s="469">
        <f t="shared" si="21"/>
        <v>301</v>
      </c>
      <c r="AA43" s="499">
        <f t="shared" si="17"/>
        <v>2.990845065767477</v>
      </c>
      <c r="AB43" s="499">
        <f t="shared" si="17"/>
        <v>2.9419297890598082</v>
      </c>
      <c r="AC43" s="469" t="s">
        <v>451</v>
      </c>
      <c r="AD43" s="469" t="s">
        <v>454</v>
      </c>
      <c r="AF43" s="444">
        <f>+IF(Tabla33[[#This Row],[Amortización k | cupón de intereses]]="Amortización de K",Tabla33[[#This Row],[Valor Nominal]],0)</f>
        <v>0</v>
      </c>
      <c r="AG43" s="444">
        <f>+IF(AND(Tabla33[[#This Row],[Amortización k | cupón de intereses]]="Cupón de interés",Tabla33[[#This Row],[Estado]]="Vigente"),Tabla33[[#This Row],[Valor Nominal]],0)</f>
        <v>2430.8218500000003</v>
      </c>
      <c r="AH43" s="444">
        <f>+IF(Tabla33[[#This Row],[Amortización k | cupón de intereses]]="Amortización de K",SUMIFS($AG$7:$AG$418,Tabla33[Código Emisión],Tabla33[[#This Row],[Código Emisión]],Tabla33[Fecha de operación],Tabla33[[#This Row],[Fecha de operación]]),0)-Tabla33[[#This Row],[Accrued]]*Tabla33[[#This Row],[Valor Nominal]]</f>
        <v>0</v>
      </c>
      <c r="AI43" s="444">
        <f>+IF(Tabla33[[#This Row],[Amortización k | cupón de intereses]]="Amortización de K",IF(Tabla33[[#This Row],[Precio Clean]]&gt;1,Tabla33[[#This Row],[Valor Nominal]]*(Tabla33[[#This Row],[Precio Clean]]-1),0),0)</f>
        <v>0</v>
      </c>
      <c r="AJ43" s="444">
        <f>+IF(Tabla33[[#This Row],[Amortización k | cupón de intereses]]="Amortización de K",IF(Tabla33[[#This Row],[Precio Clean]]&lt;1,Tabla33[[#This Row],[Valor Nominal]]*(Tabla33[[#This Row],[Precio Clean]]-1),0),0)</f>
        <v>0</v>
      </c>
      <c r="AM43" s="463">
        <v>13080217007001</v>
      </c>
      <c r="AN43" s="437" t="s">
        <v>483</v>
      </c>
      <c r="AO43" s="444">
        <f>+SUMIF(Tabla33[Instrumento],$AN41,$AG$7:$AG$418)</f>
        <v>1975.79</v>
      </c>
      <c r="AP43" s="444"/>
      <c r="AQ43" s="444">
        <v>282.3</v>
      </c>
    </row>
    <row r="44" spans="1:43">
      <c r="B44" s="437" t="str">
        <f t="shared" si="18"/>
        <v>Banco Basa SA</v>
      </c>
      <c r="C44" s="437" t="str">
        <f t="shared" si="15"/>
        <v>PYBAM01F0358</v>
      </c>
      <c r="D44" s="437" t="str">
        <f t="shared" si="15"/>
        <v>Bonos Financieros</v>
      </c>
      <c r="E44" s="437" t="str">
        <f t="shared" si="15"/>
        <v>AA-py</v>
      </c>
      <c r="F44" s="437" t="str">
        <f t="shared" si="15"/>
        <v>Financiero</v>
      </c>
      <c r="G44" s="437" t="str">
        <f t="shared" si="15"/>
        <v>Paraguay</v>
      </c>
      <c r="H44" s="437">
        <f t="shared" si="15"/>
        <v>150</v>
      </c>
      <c r="I44" s="492">
        <v>16.205479</v>
      </c>
      <c r="J44" s="451"/>
      <c r="L44" s="442"/>
      <c r="M44" s="493"/>
      <c r="N44" s="493"/>
      <c r="O44" s="494">
        <f t="shared" si="19"/>
        <v>6.6508695483207689E-2</v>
      </c>
      <c r="P44" s="494">
        <f t="shared" si="19"/>
        <v>6.4911470005821315E-2</v>
      </c>
      <c r="Q44" s="450">
        <f t="shared" si="19"/>
        <v>45819</v>
      </c>
      <c r="R44" s="450">
        <v>46231</v>
      </c>
      <c r="S44" s="509" t="s">
        <v>146</v>
      </c>
      <c r="T44" s="510">
        <f>Tabla33[[#This Row],[Cantidad]]*Tabla33[[#This Row],[Cortes]]</f>
        <v>2430.8218500000003</v>
      </c>
      <c r="U44" s="511">
        <f t="shared" si="1"/>
        <v>2342.4159910253466</v>
      </c>
      <c r="V44" s="511">
        <f t="shared" si="2"/>
        <v>2342.0027969762691</v>
      </c>
      <c r="W44" s="497">
        <f>IF(Tabla33[[#This Row],[Fecha de operación]]=$C$1,0,U44-V44)</f>
        <v>0.41319404907744683</v>
      </c>
      <c r="X44" s="512" t="str">
        <f t="shared" si="20"/>
        <v>Vigente</v>
      </c>
      <c r="Y44" s="498"/>
      <c r="Z44" s="469">
        <f t="shared" si="21"/>
        <v>210</v>
      </c>
      <c r="AA44" s="499">
        <f t="shared" si="17"/>
        <v>2.990845065767477</v>
      </c>
      <c r="AB44" s="499">
        <f t="shared" si="17"/>
        <v>2.9419297890598082</v>
      </c>
      <c r="AC44" s="469" t="s">
        <v>451</v>
      </c>
      <c r="AD44" s="469" t="s">
        <v>454</v>
      </c>
      <c r="AF44" s="444">
        <f>+IF(Tabla33[[#This Row],[Amortización k | cupón de intereses]]="Amortización de K",Tabla33[[#This Row],[Valor Nominal]],0)</f>
        <v>0</v>
      </c>
      <c r="AG44" s="444">
        <f>+IF(AND(Tabla33[[#This Row],[Amortización k | cupón de intereses]]="Cupón de interés",Tabla33[[#This Row],[Estado]]="Vigente"),Tabla33[[#This Row],[Valor Nominal]],0)</f>
        <v>2430.8218500000003</v>
      </c>
      <c r="AH44" s="444">
        <f>+IF(Tabla33[[#This Row],[Amortización k | cupón de intereses]]="Amortización de K",SUMIFS($AG$7:$AG$418,Tabla33[Código Emisión],Tabla33[[#This Row],[Código Emisión]],Tabla33[Fecha de operación],Tabla33[[#This Row],[Fecha de operación]]),0)-Tabla33[[#This Row],[Accrued]]*Tabla33[[#This Row],[Valor Nominal]]</f>
        <v>0</v>
      </c>
      <c r="AI44" s="444">
        <f>+IF(Tabla33[[#This Row],[Amortización k | cupón de intereses]]="Amortización de K",IF(Tabla33[[#This Row],[Precio Clean]]&gt;1,Tabla33[[#This Row],[Valor Nominal]]*(Tabla33[[#This Row],[Precio Clean]]-1),0),0)</f>
        <v>0</v>
      </c>
      <c r="AJ44" s="444">
        <f>+IF(Tabla33[[#This Row],[Amortización k | cupón de intereses]]="Amortización de K",IF(Tabla33[[#This Row],[Precio Clean]]&lt;1,Tabla33[[#This Row],[Valor Nominal]]*(Tabla33[[#This Row],[Precio Clean]]-1),0),0)</f>
        <v>0</v>
      </c>
      <c r="AM44" s="463">
        <v>13080217907001</v>
      </c>
      <c r="AN44" s="437" t="s">
        <v>484</v>
      </c>
      <c r="AO44" s="444">
        <f>+SUMIF(Tabla33[Instrumento],$AN41,$AH$7:$AH$418)</f>
        <v>1693.5342857142859</v>
      </c>
      <c r="AP44" s="444"/>
    </row>
    <row r="45" spans="1:43">
      <c r="B45" s="437" t="str">
        <f t="shared" si="18"/>
        <v>Banco Basa SA</v>
      </c>
      <c r="C45" s="437" t="str">
        <f t="shared" si="15"/>
        <v>PYBAM01F0358</v>
      </c>
      <c r="D45" s="437" t="str">
        <f t="shared" si="15"/>
        <v>Bonos Financieros</v>
      </c>
      <c r="E45" s="437" t="str">
        <f t="shared" si="15"/>
        <v>AA-py</v>
      </c>
      <c r="F45" s="437" t="str">
        <f t="shared" si="15"/>
        <v>Financiero</v>
      </c>
      <c r="G45" s="437" t="str">
        <f t="shared" si="15"/>
        <v>Paraguay</v>
      </c>
      <c r="H45" s="437">
        <f t="shared" si="15"/>
        <v>150</v>
      </c>
      <c r="I45" s="492">
        <v>16.205479</v>
      </c>
      <c r="J45" s="451"/>
      <c r="L45" s="442"/>
      <c r="M45" s="493"/>
      <c r="N45" s="493"/>
      <c r="O45" s="494">
        <f t="shared" si="19"/>
        <v>6.6508695483207689E-2</v>
      </c>
      <c r="P45" s="494">
        <f t="shared" si="19"/>
        <v>6.4911470005821315E-2</v>
      </c>
      <c r="Q45" s="450">
        <f t="shared" si="19"/>
        <v>45819</v>
      </c>
      <c r="R45" s="450">
        <v>46140</v>
      </c>
      <c r="S45" s="509" t="s">
        <v>146</v>
      </c>
      <c r="T45" s="510">
        <f>Tabla33[[#This Row],[Cantidad]]*Tabla33[[#This Row],[Cortes]]</f>
        <v>2430.8218500000003</v>
      </c>
      <c r="U45" s="511">
        <f t="shared" si="1"/>
        <v>2380.3234255894936</v>
      </c>
      <c r="V45" s="511">
        <f t="shared" si="2"/>
        <v>2379.9035448005552</v>
      </c>
      <c r="W45" s="513">
        <f>IF(Tabla33[[#This Row],[Fecha de operación]]=$C$1,0,U45-V45)</f>
        <v>0.41988078893837155</v>
      </c>
      <c r="X45" s="512" t="str">
        <f t="shared" si="20"/>
        <v>Vigente</v>
      </c>
      <c r="Y45" s="498"/>
      <c r="Z45" s="469">
        <f t="shared" si="21"/>
        <v>119</v>
      </c>
      <c r="AA45" s="499">
        <f t="shared" si="17"/>
        <v>2.990845065767477</v>
      </c>
      <c r="AB45" s="499">
        <f t="shared" si="17"/>
        <v>2.9419297890598082</v>
      </c>
      <c r="AC45" s="469" t="s">
        <v>451</v>
      </c>
      <c r="AD45" s="469" t="s">
        <v>454</v>
      </c>
      <c r="AF45" s="444">
        <f>+IF(Tabla33[[#This Row],[Amortización k | cupón de intereses]]="Amortización de K",Tabla33[[#This Row],[Valor Nominal]],0)</f>
        <v>0</v>
      </c>
      <c r="AG45" s="444">
        <f>+IF(AND(Tabla33[[#This Row],[Amortización k | cupón de intereses]]="Cupón de interés",Tabla33[[#This Row],[Estado]]="Vigente"),Tabla33[[#This Row],[Valor Nominal]],0)</f>
        <v>2430.8218500000003</v>
      </c>
      <c r="AH45" s="444">
        <f>+IF(Tabla33[[#This Row],[Amortización k | cupón de intereses]]="Amortización de K",SUMIFS($AG$7:$AG$418,Tabla33[Código Emisión],Tabla33[[#This Row],[Código Emisión]],Tabla33[Fecha de operación],Tabla33[[#This Row],[Fecha de operación]]),0)-Tabla33[[#This Row],[Accrued]]*Tabla33[[#This Row],[Valor Nominal]]</f>
        <v>0</v>
      </c>
      <c r="AI45" s="444">
        <f>+IF(Tabla33[[#This Row],[Amortización k | cupón de intereses]]="Amortización de K",IF(Tabla33[[#This Row],[Precio Clean]]&gt;1,Tabla33[[#This Row],[Valor Nominal]]*(Tabla33[[#This Row],[Precio Clean]]-1),0),0)</f>
        <v>0</v>
      </c>
      <c r="AJ45" s="444">
        <f>+IF(Tabla33[[#This Row],[Amortización k | cupón de intereses]]="Amortización de K",IF(Tabla33[[#This Row],[Precio Clean]]&lt;1,Tabla33[[#This Row],[Valor Nominal]]*(Tabla33[[#This Row],[Precio Clean]]-1),0),0)</f>
        <v>0</v>
      </c>
      <c r="AP45" s="444"/>
    </row>
    <row r="46" spans="1:43">
      <c r="B46" s="437" t="str">
        <f t="shared" si="18"/>
        <v>Banco Basa SA</v>
      </c>
      <c r="C46" s="437" t="str">
        <f t="shared" si="15"/>
        <v>PYBAM01F0358</v>
      </c>
      <c r="D46" s="437" t="str">
        <f t="shared" si="15"/>
        <v>Bonos Financieros</v>
      </c>
      <c r="E46" s="437" t="str">
        <f t="shared" si="15"/>
        <v>AA-py</v>
      </c>
      <c r="F46" s="437" t="str">
        <f t="shared" si="15"/>
        <v>Financiero</v>
      </c>
      <c r="G46" s="437" t="str">
        <f t="shared" si="15"/>
        <v>Paraguay</v>
      </c>
      <c r="H46" s="437">
        <f t="shared" si="15"/>
        <v>150</v>
      </c>
      <c r="I46" s="492">
        <v>16.205479</v>
      </c>
      <c r="J46" s="451"/>
      <c r="L46" s="442"/>
      <c r="M46" s="493"/>
      <c r="N46" s="493"/>
      <c r="O46" s="494">
        <f t="shared" si="19"/>
        <v>6.6508695483207689E-2</v>
      </c>
      <c r="P46" s="494">
        <f t="shared" si="19"/>
        <v>6.4911470005821315E-2</v>
      </c>
      <c r="Q46" s="450">
        <f t="shared" si="19"/>
        <v>45819</v>
      </c>
      <c r="R46" s="450">
        <v>46049</v>
      </c>
      <c r="S46" s="509" t="s">
        <v>146</v>
      </c>
      <c r="T46" s="510">
        <f>Tabla33[[#This Row],[Cantidad]]*Tabla33[[#This Row],[Cortes]]</f>
        <v>2430.8218500000003</v>
      </c>
      <c r="U46" s="511">
        <f t="shared" si="1"/>
        <v>2418.8443180538347</v>
      </c>
      <c r="V46" s="511">
        <f t="shared" si="2"/>
        <v>2418.4176423131917</v>
      </c>
      <c r="W46" s="513">
        <f>IF(Tabla33[[#This Row],[Fecha de operación]]=$C$1,0,U46-V46)</f>
        <v>0.42667574064307701</v>
      </c>
      <c r="X46" s="512" t="str">
        <f t="shared" si="20"/>
        <v>Vigente</v>
      </c>
      <c r="Y46" s="498"/>
      <c r="Z46" s="469">
        <f t="shared" si="21"/>
        <v>28</v>
      </c>
      <c r="AA46" s="499">
        <f t="shared" si="17"/>
        <v>2.990845065767477</v>
      </c>
      <c r="AB46" s="499">
        <f t="shared" si="17"/>
        <v>2.9419297890598082</v>
      </c>
      <c r="AC46" s="469" t="s">
        <v>451</v>
      </c>
      <c r="AD46" s="469" t="s">
        <v>454</v>
      </c>
      <c r="AF46" s="444">
        <f>+IF(Tabla33[[#This Row],[Amortización k | cupón de intereses]]="Amortización de K",Tabla33[[#This Row],[Valor Nominal]],0)</f>
        <v>0</v>
      </c>
      <c r="AG46" s="444">
        <f>+IF(AND(Tabla33[[#This Row],[Amortización k | cupón de intereses]]="Cupón de interés",Tabla33[[#This Row],[Estado]]="Vigente"),Tabla33[[#This Row],[Valor Nominal]],0)</f>
        <v>2430.8218500000003</v>
      </c>
      <c r="AH46" s="444">
        <f>+IF(Tabla33[[#This Row],[Amortización k | cupón de intereses]]="Amortización de K",SUMIFS($AG$7:$AG$418,Tabla33[Código Emisión],Tabla33[[#This Row],[Código Emisión]],Tabla33[Fecha de operación],Tabla33[[#This Row],[Fecha de operación]]),0)-Tabla33[[#This Row],[Accrued]]*Tabla33[[#This Row],[Valor Nominal]]</f>
        <v>0</v>
      </c>
      <c r="AI46" s="444">
        <f>+IF(Tabla33[[#This Row],[Amortización k | cupón de intereses]]="Amortización de K",IF(Tabla33[[#This Row],[Precio Clean]]&gt;1,Tabla33[[#This Row],[Valor Nominal]]*(Tabla33[[#This Row],[Precio Clean]]-1),0),0)</f>
        <v>0</v>
      </c>
      <c r="AJ46" s="444">
        <f>+IF(Tabla33[[#This Row],[Amortización k | cupón de intereses]]="Amortización de K",IF(Tabla33[[#This Row],[Precio Clean]]&lt;1,Tabla33[[#This Row],[Valor Nominal]]*(Tabla33[[#This Row],[Precio Clean]]-1),0),0)</f>
        <v>0</v>
      </c>
      <c r="AO46" s="514">
        <f>+AO8+AO15+AO22+AO29+AO34+AO41</f>
        <v>13997380.101110138</v>
      </c>
      <c r="AP46" s="444"/>
    </row>
    <row r="47" spans="1:43">
      <c r="B47" s="437" t="str">
        <f t="shared" si="18"/>
        <v>Banco Basa SA</v>
      </c>
      <c r="C47" s="437" t="str">
        <f t="shared" si="15"/>
        <v>PYBAM01F0358</v>
      </c>
      <c r="D47" s="437" t="str">
        <f t="shared" si="15"/>
        <v>Bonos Financieros</v>
      </c>
      <c r="E47" s="437" t="str">
        <f t="shared" si="15"/>
        <v>AA-py</v>
      </c>
      <c r="F47" s="437" t="str">
        <f t="shared" si="15"/>
        <v>Financiero</v>
      </c>
      <c r="G47" s="437" t="str">
        <f t="shared" si="15"/>
        <v>Paraguay</v>
      </c>
      <c r="H47" s="437">
        <f t="shared" si="15"/>
        <v>150</v>
      </c>
      <c r="I47" s="492">
        <v>16.205479</v>
      </c>
      <c r="J47" s="451"/>
      <c r="L47" s="442"/>
      <c r="M47" s="493"/>
      <c r="N47" s="493"/>
      <c r="O47" s="494">
        <f t="shared" si="19"/>
        <v>6.6508695483207689E-2</v>
      </c>
      <c r="P47" s="494">
        <f t="shared" si="19"/>
        <v>6.4911470005821315E-2</v>
      </c>
      <c r="Q47" s="450">
        <f t="shared" si="19"/>
        <v>45819</v>
      </c>
      <c r="R47" s="450">
        <v>45958</v>
      </c>
      <c r="S47" s="509" t="s">
        <v>146</v>
      </c>
      <c r="T47" s="510">
        <f>Tabla33[[#This Row],[Cantidad]]*Tabla33[[#This Row],[Cortes]]</f>
        <v>2430.8218500000003</v>
      </c>
      <c r="U47" s="511" t="b">
        <f t="shared" si="1"/>
        <v>0</v>
      </c>
      <c r="V47" s="511" t="b">
        <f t="shared" si="2"/>
        <v>0</v>
      </c>
      <c r="W47" s="513">
        <f>IF(Tabla33[[#This Row],[Fecha de operación]]=$C$1,0,U47-V47)</f>
        <v>0</v>
      </c>
      <c r="X47" s="512" t="str">
        <f t="shared" si="20"/>
        <v>Vencido</v>
      </c>
      <c r="Y47" s="498"/>
      <c r="Z47" s="469">
        <f t="shared" si="21"/>
        <v>-63</v>
      </c>
      <c r="AA47" s="499">
        <f t="shared" si="17"/>
        <v>2.990845065767477</v>
      </c>
      <c r="AB47" s="499">
        <f t="shared" si="17"/>
        <v>2.9419297890598082</v>
      </c>
      <c r="AC47" s="469" t="s">
        <v>451</v>
      </c>
      <c r="AD47" s="469" t="s">
        <v>454</v>
      </c>
      <c r="AF47" s="444">
        <f>+IF(Tabla33[[#This Row],[Amortización k | cupón de intereses]]="Amortización de K",Tabla33[[#This Row],[Valor Nominal]],0)</f>
        <v>0</v>
      </c>
      <c r="AG47" s="444">
        <f>+IF(AND(Tabla33[[#This Row],[Amortización k | cupón de intereses]]="Cupón de interés",Tabla33[[#This Row],[Estado]]="Vigente"),Tabla33[[#This Row],[Valor Nominal]],0)</f>
        <v>0</v>
      </c>
      <c r="AH47" s="444">
        <f>+IF(Tabla33[[#This Row],[Amortización k | cupón de intereses]]="Amortización de K",SUMIFS($AG$7:$AG$418,Tabla33[Código Emisión],Tabla33[[#This Row],[Código Emisión]],Tabla33[Fecha de operación],Tabla33[[#This Row],[Fecha de operación]]),0)-Tabla33[[#This Row],[Accrued]]*Tabla33[[#This Row],[Valor Nominal]]</f>
        <v>0</v>
      </c>
      <c r="AI47" s="444">
        <f>+IF(Tabla33[[#This Row],[Amortización k | cupón de intereses]]="Amortización de K",IF(Tabla33[[#This Row],[Precio Clean]]&gt;1,Tabla33[[#This Row],[Valor Nominal]]*(Tabla33[[#This Row],[Precio Clean]]-1),0),0)</f>
        <v>0</v>
      </c>
      <c r="AJ47" s="444">
        <f>+IF(Tabla33[[#This Row],[Amortización k | cupón de intereses]]="Amortización de K",IF(Tabla33[[#This Row],[Precio Clean]]&lt;1,Tabla33[[#This Row],[Valor Nominal]]*(Tabla33[[#This Row],[Precio Clean]]-1),0),0)</f>
        <v>0</v>
      </c>
      <c r="AN47" s="450"/>
      <c r="AO47" s="458">
        <f>+AO46-AK5</f>
        <v>0</v>
      </c>
      <c r="AP47" s="444"/>
    </row>
    <row r="48" spans="1:43" ht="15">
      <c r="A48" s="500">
        <f>+A32+1</f>
        <v>4</v>
      </c>
      <c r="B48" s="475" t="s">
        <v>485</v>
      </c>
      <c r="C48" s="475" t="s">
        <v>486</v>
      </c>
      <c r="D48" s="475" t="s">
        <v>453</v>
      </c>
      <c r="E48" s="475" t="s">
        <v>487</v>
      </c>
      <c r="F48" s="475" t="s">
        <v>297</v>
      </c>
      <c r="G48" s="475" t="s">
        <v>298</v>
      </c>
      <c r="H48" s="475">
        <v>1</v>
      </c>
      <c r="I48" s="477">
        <v>200000</v>
      </c>
      <c r="J48" s="478">
        <v>6.4500000000000002E-2</v>
      </c>
      <c r="K48" s="479">
        <f>_xlfn.MAXIFS(R:R,C:C,C48,AD:AD,"Cupón de interés",X:X,"Vencido")</f>
        <v>45919</v>
      </c>
      <c r="L48" s="478">
        <f>+Tabla33[[#This Row],[Tasa de Interés]]*($U$5-Tabla33[[#This Row],[Last coupon]])/365</f>
        <v>1.8024657534246577E-2</v>
      </c>
      <c r="M48" s="480">
        <f>+Tabla33[[#This Row],[Precio Dirty]]-Tabla33[[#This Row],[Accrued]]</f>
        <v>1.0015493335884456</v>
      </c>
      <c r="N48" s="481">
        <f>SUMIFS(U:U,C:C,C48,Q:Q,Q48)/SUMIFS(T:T,C:C,C48,Q:Q,Q48,AD:AD,"Amortización de K")</f>
        <v>1.0195739911226922</v>
      </c>
      <c r="O48" s="482">
        <v>6.4464327692985532E-2</v>
      </c>
      <c r="P48" s="482">
        <v>6.3452567138383653E-2</v>
      </c>
      <c r="Q48" s="484">
        <v>45821</v>
      </c>
      <c r="R48" s="484">
        <v>46650</v>
      </c>
      <c r="S48" s="504" t="s">
        <v>146</v>
      </c>
      <c r="T48" s="505">
        <f>Tabla33[[#This Row],[Cantidad]]*Tabla33[[#This Row],[Cortes]]</f>
        <v>200000</v>
      </c>
      <c r="U48" s="506">
        <f t="shared" si="1"/>
        <v>179587.16098494749</v>
      </c>
      <c r="V48" s="506">
        <f t="shared" si="2"/>
        <v>179556.42631616781</v>
      </c>
      <c r="W48" s="487">
        <f>IF(Tabla33[[#This Row],[Fecha de operación]]=$C$1,0,U48-V48)</f>
        <v>30.73466877968167</v>
      </c>
      <c r="X48" s="507" t="str">
        <f t="shared" si="20"/>
        <v>Vigente</v>
      </c>
      <c r="Y48" s="489" t="s">
        <v>450</v>
      </c>
      <c r="Z48" s="488">
        <f t="shared" si="21"/>
        <v>629</v>
      </c>
      <c r="AA48" s="508">
        <f>IF(Y48="Mensual",DURATION($C$1,$C$1+Z48*12,J48/12,O48/12,1)/12,DURATION($C$1,R48,J48,O48,IF(Y48="Cupón cero",1,IF(Y48="Al vencimiento",1,IF(Y48="Anual",1,IF(Y48="Semestral",2,IF(Y48="Trimestral",4,"")))))))</f>
        <v>1.6410811360653559</v>
      </c>
      <c r="AB48" s="508">
        <f>IF(Y48="Mensual",MDURATION($C$1,$C$1+Z48*12,J48/12,O48/12,1)/12,MDURATION($C$1,R48,J48,O48,IF(Y48="Cupón cero",1,IF(Y48="Al vencimiento",1,IF(Y48="Anual",1,IF(Y48="Semestral",2,IF(Y48="Trimestral",4,"")))))))</f>
        <v>1.6150528126266945</v>
      </c>
      <c r="AC48" s="488" t="s">
        <v>451</v>
      </c>
      <c r="AD48" s="488" t="s">
        <v>452</v>
      </c>
      <c r="AF48" s="444">
        <f>+IF(Tabla33[[#This Row],[Amortización k | cupón de intereses]]="Amortización de K",Tabla33[[#This Row],[Valor Nominal]],0)</f>
        <v>200000</v>
      </c>
      <c r="AG48" s="444">
        <f>+IF(AND(Tabla33[[#This Row],[Amortización k | cupón de intereses]]="Cupón de interés",Tabla33[[#This Row],[Estado]]="Vigente"),Tabla33[[#This Row],[Valor Nominal]],0)</f>
        <v>0</v>
      </c>
      <c r="AH48" s="444">
        <f>+IF(Tabla33[[#This Row],[Amortización k | cupón de intereses]]="Amortización de K",SUMIFS($AG$7:$AG$418,Tabla33[Código Emisión],Tabla33[[#This Row],[Código Emisión]],Tabla33[Fecha de operación],Tabla33[[#This Row],[Fecha de operación]]),0)-Tabla33[[#This Row],[Accrued]]*Tabla33[[#This Row],[Valor Nominal]]</f>
        <v>22230.388493150684</v>
      </c>
      <c r="AI48" s="444">
        <f>+IF(Tabla33[[#This Row],[Amortización k | cupón de intereses]]="Amortización de K",IF(Tabla33[[#This Row],[Precio Clean]]&gt;1,Tabla33[[#This Row],[Valor Nominal]]*(Tabla33[[#This Row],[Precio Clean]]-1),0),0)</f>
        <v>309.86671768911123</v>
      </c>
      <c r="AJ48" s="444">
        <f>+IF(Tabla33[[#This Row],[Amortización k | cupón de intereses]]="Amortización de K",IF(Tabla33[[#This Row],[Precio Clean]]&lt;1,Tabla33[[#This Row],[Valor Nominal]]*(Tabla33[[#This Row],[Precio Clean]]-1),0),0)</f>
        <v>0</v>
      </c>
      <c r="AO48" s="444"/>
      <c r="AP48" s="444"/>
    </row>
    <row r="49" spans="1:42">
      <c r="A49" s="502"/>
      <c r="B49" s="437" t="str">
        <f t="shared" ref="B49:G53" si="22">+B48</f>
        <v>Banco Nacional de Fomento</v>
      </c>
      <c r="C49" s="437" t="str">
        <f t="shared" si="22"/>
        <v>BNF_6,45%_200927_BB1790-1794_200K</v>
      </c>
      <c r="D49" s="437" t="str">
        <f t="shared" si="22"/>
        <v>CDA</v>
      </c>
      <c r="E49" s="437" t="str">
        <f t="shared" si="22"/>
        <v>AA+py</v>
      </c>
      <c r="F49" s="437" t="str">
        <f>+F48</f>
        <v>Financiero</v>
      </c>
      <c r="G49" s="437" t="str">
        <f>+G48</f>
        <v>Paraguay</v>
      </c>
      <c r="H49" s="437">
        <f>+H48</f>
        <v>1</v>
      </c>
      <c r="I49" s="445">
        <v>6538.35</v>
      </c>
      <c r="J49" s="462"/>
      <c r="L49" s="442"/>
      <c r="M49" s="493"/>
      <c r="N49" s="493"/>
      <c r="O49" s="516">
        <f t="shared" ref="O49:Q53" si="23">+O48</f>
        <v>6.4464327692985532E-2</v>
      </c>
      <c r="P49" s="516">
        <f t="shared" si="23"/>
        <v>6.3452567138383653E-2</v>
      </c>
      <c r="Q49" s="450">
        <f t="shared" si="23"/>
        <v>45821</v>
      </c>
      <c r="R49" s="450">
        <v>46650</v>
      </c>
      <c r="S49" s="509" t="s">
        <v>146</v>
      </c>
      <c r="T49" s="510">
        <f>Tabla33[[#This Row],[Cantidad]]*Tabla33[[#This Row],[Cortes]]</f>
        <v>6538.35</v>
      </c>
      <c r="U49" s="511">
        <f t="shared" si="1"/>
        <v>5871.0185701296577</v>
      </c>
      <c r="V49" s="511">
        <f t="shared" si="2"/>
        <v>5870.0138000215793</v>
      </c>
      <c r="W49" s="497">
        <f>IF(Tabla33[[#This Row],[Fecha de operación]]=$C$1,0,U49-V49)</f>
        <v>1.0047701080784464</v>
      </c>
      <c r="X49" s="512" t="str">
        <f t="shared" si="20"/>
        <v>Vigente</v>
      </c>
      <c r="Y49" s="517"/>
      <c r="Z49" s="449">
        <f t="shared" si="21"/>
        <v>629</v>
      </c>
      <c r="AA49" s="518">
        <f t="shared" ref="AA49:AB53" si="24">AA48</f>
        <v>1.6410811360653559</v>
      </c>
      <c r="AB49" s="518">
        <f t="shared" si="24"/>
        <v>1.6150528126266945</v>
      </c>
      <c r="AC49" s="449" t="str">
        <f>+AC48</f>
        <v>Familiar CB</v>
      </c>
      <c r="AD49" s="449" t="s">
        <v>454</v>
      </c>
      <c r="AF49" s="444">
        <f>+IF(Tabla33[[#This Row],[Amortización k | cupón de intereses]]="Amortización de K",Tabla33[[#This Row],[Valor Nominal]],0)</f>
        <v>0</v>
      </c>
      <c r="AG49" s="444">
        <f>+IF(AND(Tabla33[[#This Row],[Amortización k | cupón de intereses]]="Cupón de interés",Tabla33[[#This Row],[Estado]]="Vigente"),Tabla33[[#This Row],[Valor Nominal]],0)</f>
        <v>6538.35</v>
      </c>
      <c r="AH49" s="444">
        <f>+IF(Tabla33[[#This Row],[Amortización k | cupón de intereses]]="Amortización de K",SUMIFS($AG$7:$AG$418,Tabla33[Código Emisión],Tabla33[[#This Row],[Código Emisión]],Tabla33[Fecha de operación],Tabla33[[#This Row],[Fecha de operación]]),0)-Tabla33[[#This Row],[Accrued]]*Tabla33[[#This Row],[Valor Nominal]]</f>
        <v>0</v>
      </c>
      <c r="AI49" s="444">
        <f>+IF(Tabla33[[#This Row],[Amortización k | cupón de intereses]]="Amortización de K",IF(Tabla33[[#This Row],[Precio Clean]]&gt;1,Tabla33[[#This Row],[Valor Nominal]]*(Tabla33[[#This Row],[Precio Clean]]-1),0),0)</f>
        <v>0</v>
      </c>
      <c r="AJ49" s="444">
        <f>+IF(Tabla33[[#This Row],[Amortización k | cupón de intereses]]="Amortización de K",IF(Tabla33[[#This Row],[Precio Clean]]&lt;1,Tabla33[[#This Row],[Valor Nominal]]*(Tabla33[[#This Row],[Precio Clean]]-1),0),0)</f>
        <v>0</v>
      </c>
      <c r="AO49" s="444"/>
      <c r="AP49" s="444"/>
    </row>
    <row r="50" spans="1:42">
      <c r="A50" s="502"/>
      <c r="B50" s="437" t="str">
        <f t="shared" si="22"/>
        <v>Banco Nacional de Fomento</v>
      </c>
      <c r="C50" s="437" t="str">
        <f t="shared" si="22"/>
        <v>BNF_6,45%_200927_BB1790-1794_200K</v>
      </c>
      <c r="D50" s="437" t="str">
        <f t="shared" si="22"/>
        <v>CDA</v>
      </c>
      <c r="E50" s="437" t="str">
        <f t="shared" si="22"/>
        <v>AA+py</v>
      </c>
      <c r="F50" s="437" t="str">
        <f t="shared" si="22"/>
        <v>Financiero</v>
      </c>
      <c r="G50" s="437" t="str">
        <f t="shared" si="22"/>
        <v>Paraguay</v>
      </c>
      <c r="H50" s="437">
        <f>+H49</f>
        <v>1</v>
      </c>
      <c r="I50" s="445">
        <v>6326.3</v>
      </c>
      <c r="J50" s="462"/>
      <c r="L50" s="442"/>
      <c r="M50" s="493"/>
      <c r="N50" s="493"/>
      <c r="O50" s="516">
        <f t="shared" si="23"/>
        <v>6.4464327692985532E-2</v>
      </c>
      <c r="P50" s="516">
        <f t="shared" si="23"/>
        <v>6.3452567138383653E-2</v>
      </c>
      <c r="Q50" s="450">
        <f t="shared" si="23"/>
        <v>45821</v>
      </c>
      <c r="R50" s="450">
        <v>46465</v>
      </c>
      <c r="S50" s="509" t="s">
        <v>146</v>
      </c>
      <c r="T50" s="510">
        <f>Tabla33[[#This Row],[Cantidad]]*Tabla33[[#This Row],[Cortes]]</f>
        <v>6326.3</v>
      </c>
      <c r="U50" s="511">
        <f t="shared" si="1"/>
        <v>5863.3586180459479</v>
      </c>
      <c r="V50" s="511">
        <f t="shared" si="2"/>
        <v>5862.3551588672753</v>
      </c>
      <c r="W50" s="497">
        <f>IF(Tabla33[[#This Row],[Fecha de operación]]=$C$1,0,U50-V50)</f>
        <v>1.0034591786725287</v>
      </c>
      <c r="X50" s="512" t="str">
        <f t="shared" si="20"/>
        <v>Vigente</v>
      </c>
      <c r="Y50" s="517"/>
      <c r="Z50" s="449">
        <f t="shared" si="21"/>
        <v>444</v>
      </c>
      <c r="AA50" s="518">
        <f t="shared" si="24"/>
        <v>1.6410811360653559</v>
      </c>
      <c r="AB50" s="518">
        <f t="shared" si="24"/>
        <v>1.6150528126266945</v>
      </c>
      <c r="AC50" s="449" t="str">
        <f t="shared" ref="AC50:AC53" si="25">+AC49</f>
        <v>Familiar CB</v>
      </c>
      <c r="AD50" s="449" t="s">
        <v>454</v>
      </c>
      <c r="AE50" s="444"/>
      <c r="AF50" s="444">
        <f>+IF(Tabla33[[#This Row],[Amortización k | cupón de intereses]]="Amortización de K",Tabla33[[#This Row],[Valor Nominal]],0)</f>
        <v>0</v>
      </c>
      <c r="AG50" s="444">
        <f>+IF(AND(Tabla33[[#This Row],[Amortización k | cupón de intereses]]="Cupón de interés",Tabla33[[#This Row],[Estado]]="Vigente"),Tabla33[[#This Row],[Valor Nominal]],0)</f>
        <v>6326.3</v>
      </c>
      <c r="AH50" s="444">
        <f>+IF(Tabla33[[#This Row],[Amortización k | cupón de intereses]]="Amortización de K",SUMIFS($AG$7:$AG$418,Tabla33[Código Emisión],Tabla33[[#This Row],[Código Emisión]],Tabla33[Fecha de operación],Tabla33[[#This Row],[Fecha de operación]]),0)-Tabla33[[#This Row],[Accrued]]*Tabla33[[#This Row],[Valor Nominal]]</f>
        <v>0</v>
      </c>
      <c r="AI50" s="444">
        <f>+IF(Tabla33[[#This Row],[Amortización k | cupón de intereses]]="Amortización de K",IF(Tabla33[[#This Row],[Precio Clean]]&gt;1,Tabla33[[#This Row],[Valor Nominal]]*(Tabla33[[#This Row],[Precio Clean]]-1),0),0)</f>
        <v>0</v>
      </c>
      <c r="AJ50" s="444">
        <f>+IF(Tabla33[[#This Row],[Amortización k | cupón de intereses]]="Amortización de K",IF(Tabla33[[#This Row],[Precio Clean]]&lt;1,Tabla33[[#This Row],[Valor Nominal]]*(Tabla33[[#This Row],[Precio Clean]]-1),0),0)</f>
        <v>0</v>
      </c>
      <c r="AO50" s="444"/>
    </row>
    <row r="51" spans="1:42">
      <c r="A51" s="502"/>
      <c r="B51" s="437" t="str">
        <f t="shared" si="22"/>
        <v>Banco Nacional de Fomento</v>
      </c>
      <c r="C51" s="437" t="str">
        <f t="shared" si="22"/>
        <v>BNF_6,45%_200927_BB1790-1794_200K</v>
      </c>
      <c r="D51" s="437" t="str">
        <f t="shared" si="22"/>
        <v>CDA</v>
      </c>
      <c r="E51" s="437" t="str">
        <f t="shared" si="22"/>
        <v>AA+py</v>
      </c>
      <c r="F51" s="437" t="str">
        <f t="shared" si="22"/>
        <v>Financiero</v>
      </c>
      <c r="G51" s="437" t="str">
        <f t="shared" si="22"/>
        <v>Paraguay</v>
      </c>
      <c r="H51" s="437">
        <f>+H50</f>
        <v>1</v>
      </c>
      <c r="I51" s="445">
        <v>6573.69</v>
      </c>
      <c r="J51" s="462"/>
      <c r="L51" s="442"/>
      <c r="M51" s="493"/>
      <c r="N51" s="493"/>
      <c r="O51" s="516">
        <f t="shared" si="23"/>
        <v>6.4464327692985532E-2</v>
      </c>
      <c r="P51" s="516">
        <f t="shared" si="23"/>
        <v>6.3452567138383653E-2</v>
      </c>
      <c r="Q51" s="450">
        <f t="shared" si="23"/>
        <v>45821</v>
      </c>
      <c r="R51" s="450">
        <v>46286</v>
      </c>
      <c r="S51" s="509" t="s">
        <v>146</v>
      </c>
      <c r="T51" s="510">
        <f>Tabla33[[#This Row],[Cantidad]]*Tabla33[[#This Row],[Cortes]]</f>
        <v>6573.69</v>
      </c>
      <c r="U51" s="511">
        <f t="shared" si="1"/>
        <v>6282.1932134453527</v>
      </c>
      <c r="V51" s="511">
        <f t="shared" si="2"/>
        <v>6281.1180746293812</v>
      </c>
      <c r="W51" s="497">
        <f>IF(Tabla33[[#This Row],[Fecha de operación]]=$C$1,0,U51-V51)</f>
        <v>1.0751388159715134</v>
      </c>
      <c r="X51" s="512" t="str">
        <f t="shared" si="20"/>
        <v>Vigente</v>
      </c>
      <c r="Y51" s="517"/>
      <c r="Z51" s="449">
        <f t="shared" si="21"/>
        <v>265</v>
      </c>
      <c r="AA51" s="518">
        <f t="shared" si="24"/>
        <v>1.6410811360653559</v>
      </c>
      <c r="AB51" s="518">
        <f t="shared" si="24"/>
        <v>1.6150528126266945</v>
      </c>
      <c r="AC51" s="449" t="str">
        <f t="shared" si="25"/>
        <v>Familiar CB</v>
      </c>
      <c r="AD51" s="449" t="s">
        <v>454</v>
      </c>
      <c r="AF51" s="444">
        <f>+IF(Tabla33[[#This Row],[Amortización k | cupón de intereses]]="Amortización de K",Tabla33[[#This Row],[Valor Nominal]],0)</f>
        <v>0</v>
      </c>
      <c r="AG51" s="444">
        <f>+IF(AND(Tabla33[[#This Row],[Amortización k | cupón de intereses]]="Cupón de interés",Tabla33[[#This Row],[Estado]]="Vigente"),Tabla33[[#This Row],[Valor Nominal]],0)</f>
        <v>6573.69</v>
      </c>
      <c r="AH51" s="444">
        <f>+IF(Tabla33[[#This Row],[Amortización k | cupón de intereses]]="Amortización de K",SUMIFS($AG$7:$AG$418,Tabla33[Código Emisión],Tabla33[[#This Row],[Código Emisión]],Tabla33[Fecha de operación],Tabla33[[#This Row],[Fecha de operación]]),0)-Tabla33[[#This Row],[Accrued]]*Tabla33[[#This Row],[Valor Nominal]]</f>
        <v>0</v>
      </c>
      <c r="AI51" s="444">
        <f>+IF(Tabla33[[#This Row],[Amortización k | cupón de intereses]]="Amortización de K",IF(Tabla33[[#This Row],[Precio Clean]]&gt;1,Tabla33[[#This Row],[Valor Nominal]]*(Tabla33[[#This Row],[Precio Clean]]-1),0),0)</f>
        <v>0</v>
      </c>
      <c r="AJ51" s="444">
        <f>+IF(Tabla33[[#This Row],[Amortización k | cupón de intereses]]="Amortización de K",IF(Tabla33[[#This Row],[Precio Clean]]&lt;1,Tabla33[[#This Row],[Valor Nominal]]*(Tabla33[[#This Row],[Precio Clean]]-1),0),0)</f>
        <v>0</v>
      </c>
    </row>
    <row r="52" spans="1:42">
      <c r="A52" s="502"/>
      <c r="B52" s="437" t="str">
        <f t="shared" si="22"/>
        <v>Banco Nacional de Fomento</v>
      </c>
      <c r="C52" s="437" t="str">
        <f t="shared" si="22"/>
        <v>BNF_6,45%_200927_BB1790-1794_200K</v>
      </c>
      <c r="D52" s="437" t="str">
        <f t="shared" si="22"/>
        <v>CDA</v>
      </c>
      <c r="E52" s="437" t="str">
        <f t="shared" si="22"/>
        <v>AA+py</v>
      </c>
      <c r="F52" s="437" t="str">
        <f t="shared" si="22"/>
        <v>Financiero</v>
      </c>
      <c r="G52" s="437" t="str">
        <f t="shared" si="22"/>
        <v>Paraguay</v>
      </c>
      <c r="H52" s="437">
        <f>+H51</f>
        <v>1</v>
      </c>
      <c r="I52" s="445">
        <v>6396.98</v>
      </c>
      <c r="J52" s="462"/>
      <c r="L52" s="442"/>
      <c r="M52" s="493"/>
      <c r="N52" s="493"/>
      <c r="O52" s="516">
        <f t="shared" si="23"/>
        <v>6.4464327692985532E-2</v>
      </c>
      <c r="P52" s="516">
        <f t="shared" si="23"/>
        <v>6.3452567138383653E-2</v>
      </c>
      <c r="Q52" s="450">
        <f t="shared" si="23"/>
        <v>45821</v>
      </c>
      <c r="R52" s="450">
        <v>46100</v>
      </c>
      <c r="S52" s="509" t="s">
        <v>146</v>
      </c>
      <c r="T52" s="510">
        <f>Tabla33[[#This Row],[Cantidad]]*Tabla33[[#This Row],[Cortes]]</f>
        <v>6396.98</v>
      </c>
      <c r="U52" s="511">
        <f t="shared" si="1"/>
        <v>6311.0668379699728</v>
      </c>
      <c r="V52" s="511">
        <f t="shared" si="2"/>
        <v>6309.9867577022769</v>
      </c>
      <c r="W52" s="497">
        <f>IF(Tabla33[[#This Row],[Fecha de operación]]=$C$1,0,U52-V52)</f>
        <v>1.0800802676958483</v>
      </c>
      <c r="X52" s="512" t="str">
        <f t="shared" si="20"/>
        <v>Vigente</v>
      </c>
      <c r="Y52" s="517"/>
      <c r="Z52" s="449">
        <f t="shared" si="21"/>
        <v>79</v>
      </c>
      <c r="AA52" s="518">
        <f t="shared" si="24"/>
        <v>1.6410811360653559</v>
      </c>
      <c r="AB52" s="518">
        <f t="shared" si="24"/>
        <v>1.6150528126266945</v>
      </c>
      <c r="AC52" s="449" t="str">
        <f t="shared" si="25"/>
        <v>Familiar CB</v>
      </c>
      <c r="AD52" s="449" t="s">
        <v>454</v>
      </c>
      <c r="AF52" s="444">
        <f>+IF(Tabla33[[#This Row],[Amortización k | cupón de intereses]]="Amortización de K",Tabla33[[#This Row],[Valor Nominal]],0)</f>
        <v>0</v>
      </c>
      <c r="AG52" s="444">
        <f>+IF(AND(Tabla33[[#This Row],[Amortización k | cupón de intereses]]="Cupón de interés",Tabla33[[#This Row],[Estado]]="Vigente"),Tabla33[[#This Row],[Valor Nominal]],0)</f>
        <v>6396.98</v>
      </c>
      <c r="AH52" s="444">
        <f>+IF(Tabla33[[#This Row],[Amortización k | cupón de intereses]]="Amortización de K",SUMIFS($AG$7:$AG$418,Tabla33[Código Emisión],Tabla33[[#This Row],[Código Emisión]],Tabla33[Fecha de operación],Tabla33[[#This Row],[Fecha de operación]]),0)-Tabla33[[#This Row],[Accrued]]*Tabla33[[#This Row],[Valor Nominal]]</f>
        <v>0</v>
      </c>
      <c r="AI52" s="444">
        <f>+IF(Tabla33[[#This Row],[Amortización k | cupón de intereses]]="Amortización de K",IF(Tabla33[[#This Row],[Precio Clean]]&gt;1,Tabla33[[#This Row],[Valor Nominal]]*(Tabla33[[#This Row],[Precio Clean]]-1),0),0)</f>
        <v>0</v>
      </c>
      <c r="AJ52" s="444">
        <f>+IF(Tabla33[[#This Row],[Amortización k | cupón de intereses]]="Amortización de K",IF(Tabla33[[#This Row],[Precio Clean]]&lt;1,Tabla33[[#This Row],[Valor Nominal]]*(Tabla33[[#This Row],[Precio Clean]]-1),0),0)</f>
        <v>0</v>
      </c>
    </row>
    <row r="53" spans="1:42">
      <c r="A53" s="502"/>
      <c r="B53" s="437" t="str">
        <f t="shared" si="22"/>
        <v>Banco Nacional de Fomento</v>
      </c>
      <c r="C53" s="437" t="str">
        <f t="shared" si="22"/>
        <v>BNF_6,45%_200927_BB1790-1794_200K</v>
      </c>
      <c r="D53" s="437" t="str">
        <f t="shared" si="22"/>
        <v>CDA</v>
      </c>
      <c r="E53" s="437" t="str">
        <f t="shared" si="22"/>
        <v>AA+py</v>
      </c>
      <c r="F53" s="437" t="str">
        <f t="shared" si="22"/>
        <v>Financiero</v>
      </c>
      <c r="G53" s="437" t="str">
        <f t="shared" si="22"/>
        <v>Paraguay</v>
      </c>
      <c r="H53" s="437">
        <f>+H52</f>
        <v>1</v>
      </c>
      <c r="I53" s="445">
        <v>6503.01</v>
      </c>
      <c r="J53" s="462"/>
      <c r="L53" s="442"/>
      <c r="M53" s="493"/>
      <c r="N53" s="493"/>
      <c r="O53" s="516">
        <f t="shared" si="23"/>
        <v>6.4464327692985532E-2</v>
      </c>
      <c r="P53" s="516">
        <f t="shared" si="23"/>
        <v>6.3452567138383653E-2</v>
      </c>
      <c r="Q53" s="450">
        <f t="shared" si="23"/>
        <v>45821</v>
      </c>
      <c r="R53" s="450">
        <v>45919</v>
      </c>
      <c r="S53" s="509" t="s">
        <v>146</v>
      </c>
      <c r="T53" s="510">
        <f>Tabla33[[#This Row],[Cantidad]]*Tabla33[[#This Row],[Cortes]]</f>
        <v>6503.01</v>
      </c>
      <c r="U53" s="511" t="b">
        <f t="shared" si="1"/>
        <v>0</v>
      </c>
      <c r="V53" s="511" t="b">
        <f t="shared" si="2"/>
        <v>0</v>
      </c>
      <c r="W53" s="497">
        <f>IF(Tabla33[[#This Row],[Fecha de operación]]=$C$1,0,U53-V53)</f>
        <v>0</v>
      </c>
      <c r="X53" s="512" t="str">
        <f t="shared" si="20"/>
        <v>Vencido</v>
      </c>
      <c r="Y53" s="517"/>
      <c r="Z53" s="449">
        <f t="shared" si="21"/>
        <v>-102</v>
      </c>
      <c r="AA53" s="518">
        <f t="shared" si="24"/>
        <v>1.6410811360653559</v>
      </c>
      <c r="AB53" s="518">
        <f t="shared" si="24"/>
        <v>1.6150528126266945</v>
      </c>
      <c r="AC53" s="449" t="str">
        <f t="shared" si="25"/>
        <v>Familiar CB</v>
      </c>
      <c r="AD53" s="449" t="s">
        <v>454</v>
      </c>
      <c r="AF53" s="444">
        <f>+IF(Tabla33[[#This Row],[Amortización k | cupón de intereses]]="Amortización de K",Tabla33[[#This Row],[Valor Nominal]],0)</f>
        <v>0</v>
      </c>
      <c r="AG53" s="444">
        <f>+IF(AND(Tabla33[[#This Row],[Amortización k | cupón de intereses]]="Cupón de interés",Tabla33[[#This Row],[Estado]]="Vigente"),Tabla33[[#This Row],[Valor Nominal]],0)</f>
        <v>0</v>
      </c>
      <c r="AH53" s="444">
        <f>+IF(Tabla33[[#This Row],[Amortización k | cupón de intereses]]="Amortización de K",SUMIFS($AG$7:$AG$418,Tabla33[Código Emisión],Tabla33[[#This Row],[Código Emisión]],Tabla33[Fecha de operación],Tabla33[[#This Row],[Fecha de operación]]),0)-Tabla33[[#This Row],[Accrued]]*Tabla33[[#This Row],[Valor Nominal]]</f>
        <v>0</v>
      </c>
      <c r="AI53" s="444">
        <f>+IF(Tabla33[[#This Row],[Amortización k | cupón de intereses]]="Amortización de K",IF(Tabla33[[#This Row],[Precio Clean]]&gt;1,Tabla33[[#This Row],[Valor Nominal]]*(Tabla33[[#This Row],[Precio Clean]]-1),0),0)</f>
        <v>0</v>
      </c>
      <c r="AJ53" s="444">
        <f>+IF(Tabla33[[#This Row],[Amortización k | cupón de intereses]]="Amortización de K",IF(Tabla33[[#This Row],[Precio Clean]]&lt;1,Tabla33[[#This Row],[Valor Nominal]]*(Tabla33[[#This Row],[Precio Clean]]-1),0),0)</f>
        <v>0</v>
      </c>
    </row>
    <row r="54" spans="1:42" ht="15">
      <c r="A54" s="500">
        <f>+A48+1</f>
        <v>5</v>
      </c>
      <c r="B54" s="475" t="s">
        <v>489</v>
      </c>
      <c r="C54" s="475" t="s">
        <v>490</v>
      </c>
      <c r="D54" s="475" t="s">
        <v>453</v>
      </c>
      <c r="E54" s="475" t="s">
        <v>491</v>
      </c>
      <c r="F54" s="475" t="s">
        <v>297</v>
      </c>
      <c r="G54" s="475" t="s">
        <v>298</v>
      </c>
      <c r="H54" s="475">
        <v>2</v>
      </c>
      <c r="I54" s="477">
        <v>25000</v>
      </c>
      <c r="J54" s="478">
        <v>6.5000000000000002E-2</v>
      </c>
      <c r="K54" s="479">
        <f>_xlfn.MAXIFS(R:R,C:C,C54,AD:AD,"Cupón de interés",X:X,"Vencido")</f>
        <v>45999</v>
      </c>
      <c r="L54" s="478">
        <f>+Tabla33[[#This Row],[Tasa de Interés]]*($U$5-Tabla33[[#This Row],[Last coupon]])/365</f>
        <v>3.9178082191780829E-3</v>
      </c>
      <c r="M54" s="480">
        <f>+Tabla33[[#This Row],[Precio Dirty]]-Tabla33[[#This Row],[Accrued]]</f>
        <v>1.0001989695249389</v>
      </c>
      <c r="N54" s="481">
        <f>SUMIFS(U:U,C:C,C54,Q:Q,Q54)/SUMIFS(T:T,C:C,C54,Q:Q,Q54,AD:AD,"Amortización de K")</f>
        <v>1.0041167777441169</v>
      </c>
      <c r="O54" s="482">
        <v>6.5910014510154727E-2</v>
      </c>
      <c r="P54" s="482">
        <v>6.3998964802078895E-2</v>
      </c>
      <c r="Q54" s="484">
        <v>45832</v>
      </c>
      <c r="R54" s="484">
        <v>46097</v>
      </c>
      <c r="S54" s="504" t="s">
        <v>146</v>
      </c>
      <c r="T54" s="505">
        <f>Tabla33[[#This Row],[Cantidad]]*Tabla33[[#This Row],[Cortes]]</f>
        <v>50000</v>
      </c>
      <c r="U54" s="506">
        <f t="shared" si="1"/>
        <v>49339.876233729876</v>
      </c>
      <c r="V54" s="506">
        <f t="shared" si="2"/>
        <v>49331.248740381045</v>
      </c>
      <c r="W54" s="487">
        <f>IF(Tabla33[[#This Row],[Fecha de operación]]=$C$1,0,U54-V54)</f>
        <v>8.6274933488311945</v>
      </c>
      <c r="X54" s="507" t="str">
        <f t="shared" si="20"/>
        <v>Vigente</v>
      </c>
      <c r="Y54" s="489" t="s">
        <v>492</v>
      </c>
      <c r="Z54" s="488">
        <f t="shared" si="21"/>
        <v>76</v>
      </c>
      <c r="AA54" s="508">
        <f>IF(Y54="Mensual",DURATION($C$1,$C$1+Z54*12,J54/12,O54/12,1)/12,DURATION($C$1,R54,J54,O54,IF(Y54="Cupón cero",1,IF(Y54="Al vencimiento",1,IF(Y54="Anual",1,IF(Y54="Semestral",2,IF(Y54="Trimestral",4,"")))))))</f>
        <v>0.20675723198459919</v>
      </c>
      <c r="AB54" s="508">
        <f>IF(Y54="Mensual",MDURATION($C$1,$C$1+Z54*12,J54/12,O54/12,1)/12,MDURATION($C$1,R54,J54,O54,IF(Y54="Cupón cero",1,IF(Y54="Al vencimiento",1,IF(Y54="Anual",1,IF(Y54="Semestral",2,IF(Y54="Trimestral",4,"")))))))</f>
        <v>0.20562782092950294</v>
      </c>
      <c r="AC54" s="488" t="s">
        <v>451</v>
      </c>
      <c r="AD54" s="488" t="s">
        <v>452</v>
      </c>
      <c r="AF54" s="444">
        <f>+IF(Tabla33[[#This Row],[Amortización k | cupón de intereses]]="Amortización de K",Tabla33[[#This Row],[Valor Nominal]],0)</f>
        <v>50000</v>
      </c>
      <c r="AG54" s="444">
        <f>+IF(AND(Tabla33[[#This Row],[Amortización k | cupón de intereses]]="Cupón de interés",Tabla33[[#This Row],[Estado]]="Vigente"),Tabla33[[#This Row],[Valor Nominal]],0)</f>
        <v>0</v>
      </c>
      <c r="AH54" s="444">
        <f>+IF(Tabla33[[#This Row],[Amortización k | cupón de intereses]]="Amortización de K",SUMIFS($AG$7:$AG$418,Tabla33[Código Emisión],Tabla33[[#This Row],[Código Emisión]],Tabla33[Fecha de operación],Tabla33[[#This Row],[Fecha de operación]]),0)-Tabla33[[#This Row],[Accrued]]*Tabla33[[#This Row],[Valor Nominal]]</f>
        <v>676.71232876712315</v>
      </c>
      <c r="AI54" s="444">
        <f>+IF(Tabla33[[#This Row],[Amortización k | cupón de intereses]]="Amortización de K",IF(Tabla33[[#This Row],[Precio Clean]]&gt;1,Tabla33[[#This Row],[Valor Nominal]]*(Tabla33[[#This Row],[Precio Clean]]-1),0),0)</f>
        <v>9.9484762469459476</v>
      </c>
      <c r="AJ54" s="444">
        <f>+IF(Tabla33[[#This Row],[Amortización k | cupón de intereses]]="Amortización de K",IF(Tabla33[[#This Row],[Precio Clean]]&lt;1,Tabla33[[#This Row],[Valor Nominal]]*(Tabla33[[#This Row],[Precio Clean]]-1),0),0)</f>
        <v>0</v>
      </c>
    </row>
    <row r="55" spans="1:42">
      <c r="A55" s="502"/>
      <c r="B55" s="437" t="str">
        <f t="shared" ref="B55:H61" si="26">+B54</f>
        <v>Financiera FIC SAECA</v>
      </c>
      <c r="C55" s="437" t="str">
        <f t="shared" si="26"/>
        <v>FIC_6,50%_16032026_AA1392-1393_25K</v>
      </c>
      <c r="D55" s="437" t="str">
        <f t="shared" si="26"/>
        <v>CDA</v>
      </c>
      <c r="E55" s="437" t="str">
        <f t="shared" si="26"/>
        <v>A-py</v>
      </c>
      <c r="F55" s="437" t="str">
        <f t="shared" si="26"/>
        <v>Financiero</v>
      </c>
      <c r="G55" s="437" t="str">
        <f t="shared" si="26"/>
        <v>Paraguay</v>
      </c>
      <c r="H55" s="437">
        <f>+H54</f>
        <v>2</v>
      </c>
      <c r="I55" s="445">
        <v>178.08219178082192</v>
      </c>
      <c r="J55" s="462"/>
      <c r="L55" s="442"/>
      <c r="M55" s="493"/>
      <c r="N55" s="493"/>
      <c r="O55" s="516">
        <f t="shared" ref="O55:Q61" si="27">+O54</f>
        <v>6.5910014510154727E-2</v>
      </c>
      <c r="P55" s="516">
        <f t="shared" si="27"/>
        <v>6.3998964802078895E-2</v>
      </c>
      <c r="Q55" s="450">
        <f t="shared" si="27"/>
        <v>45832</v>
      </c>
      <c r="R55" s="450">
        <v>46097</v>
      </c>
      <c r="S55" s="509" t="s">
        <v>146</v>
      </c>
      <c r="T55" s="510">
        <f>Tabla33[[#This Row],[Cantidad]]*Tabla33[[#This Row],[Cortes]]</f>
        <v>356.16438356164383</v>
      </c>
      <c r="U55" s="511">
        <f t="shared" si="1"/>
        <v>351.46213207588409</v>
      </c>
      <c r="V55" s="511">
        <f t="shared" si="2"/>
        <v>351.40067595887865</v>
      </c>
      <c r="W55" s="497">
        <f>IF(Tabla33[[#This Row],[Fecha de operación]]=$C$1,0,U55-V55)</f>
        <v>6.1456117005434407E-2</v>
      </c>
      <c r="X55" s="512" t="str">
        <f t="shared" si="20"/>
        <v>Vigente</v>
      </c>
      <c r="Y55" s="517"/>
      <c r="Z55" s="449">
        <f t="shared" si="21"/>
        <v>76</v>
      </c>
      <c r="AA55" s="518">
        <f t="shared" ref="AA55:AB61" si="28">AA54</f>
        <v>0.20675723198459919</v>
      </c>
      <c r="AB55" s="518">
        <f t="shared" si="28"/>
        <v>0.20562782092950294</v>
      </c>
      <c r="AC55" s="449" t="str">
        <f>+AC54</f>
        <v>Familiar CB</v>
      </c>
      <c r="AD55" s="449" t="s">
        <v>454</v>
      </c>
      <c r="AF55" s="444">
        <f>+IF(Tabla33[[#This Row],[Amortización k | cupón de intereses]]="Amortización de K",Tabla33[[#This Row],[Valor Nominal]],0)</f>
        <v>0</v>
      </c>
      <c r="AG55" s="444">
        <f>+IF(AND(Tabla33[[#This Row],[Amortización k | cupón de intereses]]="Cupón de interés",Tabla33[[#This Row],[Estado]]="Vigente"),Tabla33[[#This Row],[Valor Nominal]],0)</f>
        <v>356.16438356164383</v>
      </c>
      <c r="AH55" s="444">
        <f>+IF(Tabla33[[#This Row],[Amortización k | cupón de intereses]]="Amortización de K",SUMIFS($AG$7:$AG$418,Tabla33[Código Emisión],Tabla33[[#This Row],[Código Emisión]],Tabla33[Fecha de operación],Tabla33[[#This Row],[Fecha de operación]]),0)-Tabla33[[#This Row],[Accrued]]*Tabla33[[#This Row],[Valor Nominal]]</f>
        <v>0</v>
      </c>
      <c r="AI55" s="444">
        <f>+IF(Tabla33[[#This Row],[Amortización k | cupón de intereses]]="Amortización de K",IF(Tabla33[[#This Row],[Precio Clean]]&gt;1,Tabla33[[#This Row],[Valor Nominal]]*(Tabla33[[#This Row],[Precio Clean]]-1),0),0)</f>
        <v>0</v>
      </c>
      <c r="AJ55" s="444">
        <f>+IF(Tabla33[[#This Row],[Amortización k | cupón de intereses]]="Amortización de K",IF(Tabla33[[#This Row],[Precio Clean]]&lt;1,Tabla33[[#This Row],[Valor Nominal]]*(Tabla33[[#This Row],[Precio Clean]]-1),0),0)</f>
        <v>0</v>
      </c>
    </row>
    <row r="56" spans="1:42">
      <c r="A56" s="502"/>
      <c r="B56" s="437" t="str">
        <f t="shared" si="26"/>
        <v>Financiera FIC SAECA</v>
      </c>
      <c r="C56" s="437" t="str">
        <f t="shared" si="26"/>
        <v>FIC_6,50%_16032026_AA1392-1393_25K</v>
      </c>
      <c r="D56" s="437" t="str">
        <f t="shared" si="26"/>
        <v>CDA</v>
      </c>
      <c r="E56" s="437" t="str">
        <f t="shared" si="26"/>
        <v>A-py</v>
      </c>
      <c r="F56" s="437" t="str">
        <f t="shared" si="26"/>
        <v>Financiero</v>
      </c>
      <c r="G56" s="437" t="str">
        <f t="shared" si="26"/>
        <v>Paraguay</v>
      </c>
      <c r="H56" s="437">
        <f t="shared" si="26"/>
        <v>2</v>
      </c>
      <c r="I56" s="445">
        <v>133.56164383561642</v>
      </c>
      <c r="J56" s="462"/>
      <c r="L56" s="442"/>
      <c r="M56" s="493"/>
      <c r="N56" s="493"/>
      <c r="O56" s="516">
        <f t="shared" si="27"/>
        <v>6.5910014510154727E-2</v>
      </c>
      <c r="P56" s="516">
        <f t="shared" si="27"/>
        <v>6.3998964802078895E-2</v>
      </c>
      <c r="Q56" s="450">
        <f t="shared" si="27"/>
        <v>45832</v>
      </c>
      <c r="R56" s="450">
        <v>46057</v>
      </c>
      <c r="S56" s="509" t="s">
        <v>146</v>
      </c>
      <c r="T56" s="510">
        <f>Tabla33[[#This Row],[Cantidad]]*Tabla33[[#This Row],[Cortes]]</f>
        <v>267.12328767123284</v>
      </c>
      <c r="U56" s="511">
        <f t="shared" si="1"/>
        <v>265.44690764007385</v>
      </c>
      <c r="V56" s="511">
        <f t="shared" si="2"/>
        <v>265.40049201026392</v>
      </c>
      <c r="W56" s="497">
        <f>IF(Tabla33[[#This Row],[Fecha de operación]]=$C$1,0,U56-V56)</f>
        <v>4.6415629809928305E-2</v>
      </c>
      <c r="X56" s="512" t="str">
        <f t="shared" si="20"/>
        <v>Vigente</v>
      </c>
      <c r="Y56" s="517"/>
      <c r="Z56" s="449">
        <f t="shared" si="21"/>
        <v>36</v>
      </c>
      <c r="AA56" s="518">
        <f t="shared" si="28"/>
        <v>0.20675723198459919</v>
      </c>
      <c r="AB56" s="518">
        <f t="shared" si="28"/>
        <v>0.20562782092950294</v>
      </c>
      <c r="AC56" s="449" t="str">
        <f t="shared" ref="AC56:AC61" si="29">+AC55</f>
        <v>Familiar CB</v>
      </c>
      <c r="AD56" s="449" t="s">
        <v>454</v>
      </c>
      <c r="AF56" s="444">
        <f>+IF(Tabla33[[#This Row],[Amortización k | cupón de intereses]]="Amortización de K",Tabla33[[#This Row],[Valor Nominal]],0)</f>
        <v>0</v>
      </c>
      <c r="AG56" s="444">
        <f>+IF(AND(Tabla33[[#This Row],[Amortización k | cupón de intereses]]="Cupón de interés",Tabla33[[#This Row],[Estado]]="Vigente"),Tabla33[[#This Row],[Valor Nominal]],0)</f>
        <v>267.12328767123284</v>
      </c>
      <c r="AH56" s="444">
        <f>+IF(Tabla33[[#This Row],[Amortización k | cupón de intereses]]="Amortización de K",SUMIFS($AG$7:$AG$418,Tabla33[Código Emisión],Tabla33[[#This Row],[Código Emisión]],Tabla33[Fecha de operación],Tabla33[[#This Row],[Fecha de operación]]),0)-Tabla33[[#This Row],[Accrued]]*Tabla33[[#This Row],[Valor Nominal]]</f>
        <v>0</v>
      </c>
      <c r="AI56" s="444">
        <f>+IF(Tabla33[[#This Row],[Amortización k | cupón de intereses]]="Amortización de K",IF(Tabla33[[#This Row],[Precio Clean]]&gt;1,Tabla33[[#This Row],[Valor Nominal]]*(Tabla33[[#This Row],[Precio Clean]]-1),0),0)</f>
        <v>0</v>
      </c>
      <c r="AJ56" s="444">
        <f>+IF(Tabla33[[#This Row],[Amortización k | cupón de intereses]]="Amortización de K",IF(Tabla33[[#This Row],[Precio Clean]]&lt;1,Tabla33[[#This Row],[Valor Nominal]]*(Tabla33[[#This Row],[Precio Clean]]-1),0),0)</f>
        <v>0</v>
      </c>
    </row>
    <row r="57" spans="1:42">
      <c r="A57" s="502"/>
      <c r="B57" s="437" t="str">
        <f t="shared" si="26"/>
        <v>Financiera FIC SAECA</v>
      </c>
      <c r="C57" s="437" t="str">
        <f t="shared" si="26"/>
        <v>FIC_6,50%_16032026_AA1392-1393_25K</v>
      </c>
      <c r="D57" s="437" t="str">
        <f t="shared" si="26"/>
        <v>CDA</v>
      </c>
      <c r="E57" s="437" t="str">
        <f t="shared" si="26"/>
        <v>A-py</v>
      </c>
      <c r="F57" s="437" t="str">
        <f t="shared" si="26"/>
        <v>Financiero</v>
      </c>
      <c r="G57" s="437" t="str">
        <f t="shared" si="26"/>
        <v>Paraguay</v>
      </c>
      <c r="H57" s="437">
        <f t="shared" si="26"/>
        <v>2</v>
      </c>
      <c r="I57" s="445">
        <v>124.65753424657532</v>
      </c>
      <c r="J57" s="462"/>
      <c r="L57" s="442"/>
      <c r="M57" s="493"/>
      <c r="N57" s="493"/>
      <c r="O57" s="516">
        <f t="shared" si="27"/>
        <v>6.5910014510154727E-2</v>
      </c>
      <c r="P57" s="516">
        <f t="shared" si="27"/>
        <v>6.3998964802078895E-2</v>
      </c>
      <c r="Q57" s="450">
        <f t="shared" si="27"/>
        <v>45832</v>
      </c>
      <c r="R57" s="450">
        <v>46027</v>
      </c>
      <c r="S57" s="509" t="s">
        <v>146</v>
      </c>
      <c r="T57" s="510">
        <f>Tabla33[[#This Row],[Cantidad]]*Tabla33[[#This Row],[Cortes]]</f>
        <v>249.31506849315065</v>
      </c>
      <c r="U57" s="511">
        <f t="shared" si="1"/>
        <v>249.05361376002415</v>
      </c>
      <c r="V57" s="511">
        <f t="shared" si="2"/>
        <v>249.01006463586265</v>
      </c>
      <c r="W57" s="497">
        <f>IF(Tabla33[[#This Row],[Fecha de operación]]=$C$1,0,U57-V57)</f>
        <v>4.354912416150114E-2</v>
      </c>
      <c r="X57" s="512" t="str">
        <f t="shared" si="20"/>
        <v>Vigente</v>
      </c>
      <c r="Y57" s="517"/>
      <c r="Z57" s="449">
        <f t="shared" si="21"/>
        <v>6</v>
      </c>
      <c r="AA57" s="518">
        <f t="shared" si="28"/>
        <v>0.20675723198459919</v>
      </c>
      <c r="AB57" s="518">
        <f t="shared" si="28"/>
        <v>0.20562782092950294</v>
      </c>
      <c r="AC57" s="449" t="str">
        <f t="shared" si="29"/>
        <v>Familiar CB</v>
      </c>
      <c r="AD57" s="449" t="s">
        <v>454</v>
      </c>
      <c r="AF57" s="444">
        <f>+IF(Tabla33[[#This Row],[Amortización k | cupón de intereses]]="Amortización de K",Tabla33[[#This Row],[Valor Nominal]],0)</f>
        <v>0</v>
      </c>
      <c r="AG57" s="444">
        <f>+IF(AND(Tabla33[[#This Row],[Amortización k | cupón de intereses]]="Cupón de interés",Tabla33[[#This Row],[Estado]]="Vigente"),Tabla33[[#This Row],[Valor Nominal]],0)</f>
        <v>249.31506849315065</v>
      </c>
      <c r="AH57" s="444">
        <f>+IF(Tabla33[[#This Row],[Amortización k | cupón de intereses]]="Amortización de K",SUMIFS($AG$7:$AG$418,Tabla33[Código Emisión],Tabla33[[#This Row],[Código Emisión]],Tabla33[Fecha de operación],Tabla33[[#This Row],[Fecha de operación]]),0)-Tabla33[[#This Row],[Accrued]]*Tabla33[[#This Row],[Valor Nominal]]</f>
        <v>0</v>
      </c>
      <c r="AI57" s="444">
        <f>+IF(Tabla33[[#This Row],[Amortización k | cupón de intereses]]="Amortización de K",IF(Tabla33[[#This Row],[Precio Clean]]&gt;1,Tabla33[[#This Row],[Valor Nominal]]*(Tabla33[[#This Row],[Precio Clean]]-1),0),0)</f>
        <v>0</v>
      </c>
      <c r="AJ57" s="444">
        <f>+IF(Tabla33[[#This Row],[Amortización k | cupón de intereses]]="Amortización de K",IF(Tabla33[[#This Row],[Precio Clean]]&lt;1,Tabla33[[#This Row],[Valor Nominal]]*(Tabla33[[#This Row],[Precio Clean]]-1),0),0)</f>
        <v>0</v>
      </c>
    </row>
    <row r="58" spans="1:42">
      <c r="A58" s="502"/>
      <c r="B58" s="437" t="str">
        <f t="shared" si="26"/>
        <v>Financiera FIC SAECA</v>
      </c>
      <c r="C58" s="437" t="str">
        <f t="shared" si="26"/>
        <v>FIC_6,50%_16032026_AA1392-1393_25K</v>
      </c>
      <c r="D58" s="437" t="str">
        <f t="shared" si="26"/>
        <v>CDA</v>
      </c>
      <c r="E58" s="437" t="str">
        <f t="shared" si="26"/>
        <v>A-py</v>
      </c>
      <c r="F58" s="437" t="str">
        <f t="shared" si="26"/>
        <v>Financiero</v>
      </c>
      <c r="G58" s="437" t="str">
        <f t="shared" si="26"/>
        <v>Paraguay</v>
      </c>
      <c r="H58" s="437">
        <f t="shared" si="26"/>
        <v>2</v>
      </c>
      <c r="I58" s="445">
        <v>142.46575342465752</v>
      </c>
      <c r="J58" s="462"/>
      <c r="L58" s="442"/>
      <c r="M58" s="493"/>
      <c r="N58" s="493"/>
      <c r="O58" s="516">
        <f t="shared" si="27"/>
        <v>6.5910014510154727E-2</v>
      </c>
      <c r="P58" s="516">
        <f t="shared" si="27"/>
        <v>6.3998964802078895E-2</v>
      </c>
      <c r="Q58" s="450">
        <f t="shared" si="27"/>
        <v>45832</v>
      </c>
      <c r="R58" s="450">
        <v>45999</v>
      </c>
      <c r="S58" s="509" t="s">
        <v>146</v>
      </c>
      <c r="T58" s="510">
        <f>Tabla33[[#This Row],[Cantidad]]*Tabla33[[#This Row],[Cortes]]</f>
        <v>284.93150684931504</v>
      </c>
      <c r="U58" s="511" t="b">
        <f t="shared" si="1"/>
        <v>0</v>
      </c>
      <c r="V58" s="511" t="b">
        <f t="shared" si="2"/>
        <v>0</v>
      </c>
      <c r="W58" s="497">
        <f>IF(Tabla33[[#This Row],[Fecha de operación]]=$C$1,0,U58-V58)</f>
        <v>0</v>
      </c>
      <c r="X58" s="512" t="str">
        <f t="shared" si="20"/>
        <v>Vencido</v>
      </c>
      <c r="Y58" s="517"/>
      <c r="Z58" s="449">
        <f t="shared" si="21"/>
        <v>-22</v>
      </c>
      <c r="AA58" s="518">
        <f t="shared" si="28"/>
        <v>0.20675723198459919</v>
      </c>
      <c r="AB58" s="518">
        <f t="shared" si="28"/>
        <v>0.20562782092950294</v>
      </c>
      <c r="AC58" s="449" t="str">
        <f t="shared" si="29"/>
        <v>Familiar CB</v>
      </c>
      <c r="AD58" s="449" t="s">
        <v>454</v>
      </c>
      <c r="AF58" s="444">
        <f>+IF(Tabla33[[#This Row],[Amortización k | cupón de intereses]]="Amortización de K",Tabla33[[#This Row],[Valor Nominal]],0)</f>
        <v>0</v>
      </c>
      <c r="AG58" s="444">
        <f>+IF(AND(Tabla33[[#This Row],[Amortización k | cupón de intereses]]="Cupón de interés",Tabla33[[#This Row],[Estado]]="Vigente"),Tabla33[[#This Row],[Valor Nominal]],0)</f>
        <v>0</v>
      </c>
      <c r="AH58" s="444">
        <f>+IF(Tabla33[[#This Row],[Amortización k | cupón de intereses]]="Amortización de K",SUMIFS($AG$7:$AG$418,Tabla33[Código Emisión],Tabla33[[#This Row],[Código Emisión]],Tabla33[Fecha de operación],Tabla33[[#This Row],[Fecha de operación]]),0)-Tabla33[[#This Row],[Accrued]]*Tabla33[[#This Row],[Valor Nominal]]</f>
        <v>0</v>
      </c>
      <c r="AI58" s="444">
        <f>+IF(Tabla33[[#This Row],[Amortización k | cupón de intereses]]="Amortización de K",IF(Tabla33[[#This Row],[Precio Clean]]&gt;1,Tabla33[[#This Row],[Valor Nominal]]*(Tabla33[[#This Row],[Precio Clean]]-1),0),0)</f>
        <v>0</v>
      </c>
      <c r="AJ58" s="444">
        <f>+IF(Tabla33[[#This Row],[Amortización k | cupón de intereses]]="Amortización de K",IF(Tabla33[[#This Row],[Precio Clean]]&lt;1,Tabla33[[#This Row],[Valor Nominal]]*(Tabla33[[#This Row],[Precio Clean]]-1),0),0)</f>
        <v>0</v>
      </c>
    </row>
    <row r="59" spans="1:42">
      <c r="A59" s="502"/>
      <c r="B59" s="437" t="str">
        <f t="shared" si="26"/>
        <v>Financiera FIC SAECA</v>
      </c>
      <c r="C59" s="437" t="str">
        <f t="shared" si="26"/>
        <v>FIC_6,50%_16032026_AA1392-1393_25K</v>
      </c>
      <c r="D59" s="437" t="str">
        <f t="shared" si="26"/>
        <v>CDA</v>
      </c>
      <c r="E59" s="437" t="str">
        <f t="shared" si="26"/>
        <v>A-py</v>
      </c>
      <c r="F59" s="437" t="str">
        <f t="shared" si="26"/>
        <v>Financiero</v>
      </c>
      <c r="G59" s="437" t="str">
        <f t="shared" si="26"/>
        <v>Paraguay</v>
      </c>
      <c r="H59" s="437">
        <f t="shared" si="26"/>
        <v>2</v>
      </c>
      <c r="I59" s="445">
        <v>133.56164383561642</v>
      </c>
      <c r="J59" s="462"/>
      <c r="L59" s="442"/>
      <c r="M59" s="493"/>
      <c r="N59" s="493"/>
      <c r="O59" s="516">
        <f t="shared" si="27"/>
        <v>6.5910014510154727E-2</v>
      </c>
      <c r="P59" s="516">
        <f t="shared" si="27"/>
        <v>6.3998964802078895E-2</v>
      </c>
      <c r="Q59" s="450">
        <f t="shared" si="27"/>
        <v>45832</v>
      </c>
      <c r="R59" s="450">
        <v>45967</v>
      </c>
      <c r="S59" s="509" t="s">
        <v>146</v>
      </c>
      <c r="T59" s="510">
        <f>Tabla33[[#This Row],[Cantidad]]*Tabla33[[#This Row],[Cortes]]</f>
        <v>267.12328767123284</v>
      </c>
      <c r="U59" s="511" t="b">
        <f t="shared" si="1"/>
        <v>0</v>
      </c>
      <c r="V59" s="511" t="b">
        <f t="shared" si="2"/>
        <v>0</v>
      </c>
      <c r="W59" s="497">
        <f>IF(Tabla33[[#This Row],[Fecha de operación]]=$C$1,0,U59-V59)</f>
        <v>0</v>
      </c>
      <c r="X59" s="512" t="str">
        <f t="shared" si="20"/>
        <v>Vencido</v>
      </c>
      <c r="Y59" s="517"/>
      <c r="Z59" s="449">
        <f t="shared" si="21"/>
        <v>-54</v>
      </c>
      <c r="AA59" s="518">
        <f t="shared" si="28"/>
        <v>0.20675723198459919</v>
      </c>
      <c r="AB59" s="518">
        <f t="shared" si="28"/>
        <v>0.20562782092950294</v>
      </c>
      <c r="AC59" s="449" t="str">
        <f t="shared" si="29"/>
        <v>Familiar CB</v>
      </c>
      <c r="AD59" s="449" t="s">
        <v>454</v>
      </c>
      <c r="AF59" s="444">
        <f>+IF(Tabla33[[#This Row],[Amortización k | cupón de intereses]]="Amortización de K",Tabla33[[#This Row],[Valor Nominal]],0)</f>
        <v>0</v>
      </c>
      <c r="AG59" s="444">
        <f>+IF(AND(Tabla33[[#This Row],[Amortización k | cupón de intereses]]="Cupón de interés",Tabla33[[#This Row],[Estado]]="Vigente"),Tabla33[[#This Row],[Valor Nominal]],0)</f>
        <v>0</v>
      </c>
      <c r="AH59" s="444">
        <f>+IF(Tabla33[[#This Row],[Amortización k | cupón de intereses]]="Amortización de K",SUMIFS($AG$7:$AG$418,Tabla33[Código Emisión],Tabla33[[#This Row],[Código Emisión]],Tabla33[Fecha de operación],Tabla33[[#This Row],[Fecha de operación]]),0)-Tabla33[[#This Row],[Accrued]]*Tabla33[[#This Row],[Valor Nominal]]</f>
        <v>0</v>
      </c>
      <c r="AI59" s="444">
        <f>+IF(Tabla33[[#This Row],[Amortización k | cupón de intereses]]="Amortización de K",IF(Tabla33[[#This Row],[Precio Clean]]&gt;1,Tabla33[[#This Row],[Valor Nominal]]*(Tabla33[[#This Row],[Precio Clean]]-1),0),0)</f>
        <v>0</v>
      </c>
      <c r="AJ59" s="444">
        <f>+IF(Tabla33[[#This Row],[Amortización k | cupón de intereses]]="Amortización de K",IF(Tabla33[[#This Row],[Precio Clean]]&lt;1,Tabla33[[#This Row],[Valor Nominal]]*(Tabla33[[#This Row],[Precio Clean]]-1),0),0)</f>
        <v>0</v>
      </c>
    </row>
    <row r="60" spans="1:42">
      <c r="A60" s="502"/>
      <c r="B60" s="437" t="str">
        <f t="shared" si="26"/>
        <v>Financiera FIC SAECA</v>
      </c>
      <c r="C60" s="437" t="str">
        <f t="shared" si="26"/>
        <v>FIC_6,50%_16032026_AA1392-1393_25K</v>
      </c>
      <c r="D60" s="437" t="str">
        <f t="shared" si="26"/>
        <v>CDA</v>
      </c>
      <c r="E60" s="437" t="str">
        <f t="shared" si="26"/>
        <v>A-py</v>
      </c>
      <c r="F60" s="437" t="str">
        <f t="shared" si="26"/>
        <v>Financiero</v>
      </c>
      <c r="G60" s="437" t="str">
        <f t="shared" si="26"/>
        <v>Paraguay</v>
      </c>
      <c r="H60" s="437">
        <f t="shared" si="26"/>
        <v>2</v>
      </c>
      <c r="I60" s="445">
        <v>129.10958904109589</v>
      </c>
      <c r="J60" s="462"/>
      <c r="L60" s="442"/>
      <c r="M60" s="493"/>
      <c r="N60" s="493"/>
      <c r="O60" s="516">
        <f t="shared" si="27"/>
        <v>6.5910014510154727E-2</v>
      </c>
      <c r="P60" s="516">
        <f t="shared" si="27"/>
        <v>6.3998964802078895E-2</v>
      </c>
      <c r="Q60" s="450">
        <f t="shared" si="27"/>
        <v>45832</v>
      </c>
      <c r="R60" s="450">
        <v>45937</v>
      </c>
      <c r="S60" s="509" t="s">
        <v>146</v>
      </c>
      <c r="T60" s="510">
        <f>Tabla33[[#This Row],[Cantidad]]*Tabla33[[#This Row],[Cortes]]</f>
        <v>258.21917808219177</v>
      </c>
      <c r="U60" s="511" t="b">
        <f t="shared" si="1"/>
        <v>0</v>
      </c>
      <c r="V60" s="511" t="b">
        <f t="shared" si="2"/>
        <v>0</v>
      </c>
      <c r="W60" s="497">
        <f>IF(Tabla33[[#This Row],[Fecha de operación]]=$C$1,0,U60-V60)</f>
        <v>0</v>
      </c>
      <c r="X60" s="512" t="str">
        <f t="shared" si="20"/>
        <v>Vencido</v>
      </c>
      <c r="Y60" s="517"/>
      <c r="Z60" s="449">
        <f t="shared" si="21"/>
        <v>-84</v>
      </c>
      <c r="AA60" s="518">
        <f t="shared" si="28"/>
        <v>0.20675723198459919</v>
      </c>
      <c r="AB60" s="518">
        <f t="shared" si="28"/>
        <v>0.20562782092950294</v>
      </c>
      <c r="AC60" s="449" t="str">
        <f t="shared" si="29"/>
        <v>Familiar CB</v>
      </c>
      <c r="AD60" s="449" t="s">
        <v>454</v>
      </c>
      <c r="AF60" s="444">
        <f>+IF(Tabla33[[#This Row],[Amortización k | cupón de intereses]]="Amortización de K",Tabla33[[#This Row],[Valor Nominal]],0)</f>
        <v>0</v>
      </c>
      <c r="AG60" s="444">
        <f>+IF(AND(Tabla33[[#This Row],[Amortización k | cupón de intereses]]="Cupón de interés",Tabla33[[#This Row],[Estado]]="Vigente"),Tabla33[[#This Row],[Valor Nominal]],0)</f>
        <v>0</v>
      </c>
      <c r="AH60" s="444">
        <f>+IF(Tabla33[[#This Row],[Amortización k | cupón de intereses]]="Amortización de K",SUMIFS($AG$7:$AG$418,Tabla33[Código Emisión],Tabla33[[#This Row],[Código Emisión]],Tabla33[Fecha de operación],Tabla33[[#This Row],[Fecha de operación]]),0)-Tabla33[[#This Row],[Accrued]]*Tabla33[[#This Row],[Valor Nominal]]</f>
        <v>0</v>
      </c>
      <c r="AI60" s="444">
        <f>+IF(Tabla33[[#This Row],[Amortización k | cupón de intereses]]="Amortización de K",IF(Tabla33[[#This Row],[Precio Clean]]&gt;1,Tabla33[[#This Row],[Valor Nominal]]*(Tabla33[[#This Row],[Precio Clean]]-1),0),0)</f>
        <v>0</v>
      </c>
      <c r="AJ60" s="444">
        <f>+IF(Tabla33[[#This Row],[Amortización k | cupón de intereses]]="Amortización de K",IF(Tabla33[[#This Row],[Precio Clean]]&lt;1,Tabla33[[#This Row],[Valor Nominal]]*(Tabla33[[#This Row],[Precio Clean]]-1),0),0)</f>
        <v>0</v>
      </c>
    </row>
    <row r="61" spans="1:42">
      <c r="A61" s="502"/>
      <c r="B61" s="437" t="str">
        <f t="shared" si="26"/>
        <v>Financiera FIC SAECA</v>
      </c>
      <c r="C61" s="437" t="str">
        <f t="shared" si="26"/>
        <v>FIC_6,50%_16032026_AA1392-1393_25K</v>
      </c>
      <c r="D61" s="437" t="str">
        <f t="shared" si="26"/>
        <v>CDA</v>
      </c>
      <c r="E61" s="437" t="str">
        <f t="shared" si="26"/>
        <v>A-py</v>
      </c>
      <c r="F61" s="437" t="str">
        <f t="shared" si="26"/>
        <v>Financiero</v>
      </c>
      <c r="G61" s="437" t="str">
        <f t="shared" si="26"/>
        <v>Paraguay</v>
      </c>
      <c r="H61" s="437">
        <f t="shared" si="26"/>
        <v>2</v>
      </c>
      <c r="I61" s="445">
        <v>138.01369863013699</v>
      </c>
      <c r="J61" s="462"/>
      <c r="L61" s="442"/>
      <c r="M61" s="493"/>
      <c r="N61" s="493"/>
      <c r="O61" s="516">
        <f t="shared" si="27"/>
        <v>6.5910014510154727E-2</v>
      </c>
      <c r="P61" s="516">
        <f t="shared" si="27"/>
        <v>6.3998964802078895E-2</v>
      </c>
      <c r="Q61" s="450">
        <f t="shared" si="27"/>
        <v>45832</v>
      </c>
      <c r="R61" s="450">
        <v>45908</v>
      </c>
      <c r="S61" s="509" t="s">
        <v>146</v>
      </c>
      <c r="T61" s="510">
        <f>Tabla33[[#This Row],[Cantidad]]*Tabla33[[#This Row],[Cortes]]</f>
        <v>276.02739726027397</v>
      </c>
      <c r="U61" s="511" t="b">
        <f t="shared" si="1"/>
        <v>0</v>
      </c>
      <c r="V61" s="511" t="b">
        <f t="shared" si="2"/>
        <v>0</v>
      </c>
      <c r="W61" s="497">
        <f>IF(Tabla33[[#This Row],[Fecha de operación]]=$C$1,0,U61-V61)</f>
        <v>0</v>
      </c>
      <c r="X61" s="512" t="str">
        <f t="shared" si="20"/>
        <v>Vencido</v>
      </c>
      <c r="Y61" s="517"/>
      <c r="Z61" s="449">
        <f t="shared" si="21"/>
        <v>-113</v>
      </c>
      <c r="AA61" s="518">
        <f t="shared" si="28"/>
        <v>0.20675723198459919</v>
      </c>
      <c r="AB61" s="518">
        <f t="shared" si="28"/>
        <v>0.20562782092950294</v>
      </c>
      <c r="AC61" s="449" t="str">
        <f t="shared" si="29"/>
        <v>Familiar CB</v>
      </c>
      <c r="AD61" s="449" t="s">
        <v>454</v>
      </c>
      <c r="AF61" s="444">
        <f>+IF(Tabla33[[#This Row],[Amortización k | cupón de intereses]]="Amortización de K",Tabla33[[#This Row],[Valor Nominal]],0)</f>
        <v>0</v>
      </c>
      <c r="AG61" s="444">
        <f>+IF(AND(Tabla33[[#This Row],[Amortización k | cupón de intereses]]="Cupón de interés",Tabla33[[#This Row],[Estado]]="Vigente"),Tabla33[[#This Row],[Valor Nominal]],0)</f>
        <v>0</v>
      </c>
      <c r="AH61" s="444">
        <f>+IF(Tabla33[[#This Row],[Amortización k | cupón de intereses]]="Amortización de K",SUMIFS($AG$7:$AG$418,Tabla33[Código Emisión],Tabla33[[#This Row],[Código Emisión]],Tabla33[Fecha de operación],Tabla33[[#This Row],[Fecha de operación]]),0)-Tabla33[[#This Row],[Accrued]]*Tabla33[[#This Row],[Valor Nominal]]</f>
        <v>0</v>
      </c>
      <c r="AI61" s="444">
        <f>+IF(Tabla33[[#This Row],[Amortización k | cupón de intereses]]="Amortización de K",IF(Tabla33[[#This Row],[Precio Clean]]&gt;1,Tabla33[[#This Row],[Valor Nominal]]*(Tabla33[[#This Row],[Precio Clean]]-1),0),0)</f>
        <v>0</v>
      </c>
      <c r="AJ61" s="444">
        <f>+IF(Tabla33[[#This Row],[Amortización k | cupón de intereses]]="Amortización de K",IF(Tabla33[[#This Row],[Precio Clean]]&lt;1,Tabla33[[#This Row],[Valor Nominal]]*(Tabla33[[#This Row],[Precio Clean]]-1),0),0)</f>
        <v>0</v>
      </c>
    </row>
    <row r="62" spans="1:42" ht="15">
      <c r="A62" s="500">
        <f>+A54+1</f>
        <v>6</v>
      </c>
      <c r="B62" s="475" t="s">
        <v>489</v>
      </c>
      <c r="C62" s="475" t="s">
        <v>493</v>
      </c>
      <c r="D62" s="475" t="s">
        <v>453</v>
      </c>
      <c r="E62" s="475" t="s">
        <v>491</v>
      </c>
      <c r="F62" s="475" t="s">
        <v>297</v>
      </c>
      <c r="G62" s="475" t="s">
        <v>298</v>
      </c>
      <c r="H62" s="475">
        <v>1</v>
      </c>
      <c r="I62" s="477">
        <v>26000</v>
      </c>
      <c r="J62" s="478">
        <v>6.5000000000000002E-2</v>
      </c>
      <c r="K62" s="479">
        <f>_xlfn.MAXIFS(R:R,C:C,C62,AD:AD,"Cupón de interés",X:X,"Vencido")</f>
        <v>46001</v>
      </c>
      <c r="L62" s="478">
        <f>+Tabla33[[#This Row],[Tasa de Interés]]*($U$5-Tabla33[[#This Row],[Last coupon]])/365</f>
        <v>3.5616438356164386E-3</v>
      </c>
      <c r="M62" s="480">
        <f>+Tabla33[[#This Row],[Precio Dirty]]-Tabla33[[#This Row],[Accrued]]</f>
        <v>1.0002131890330048</v>
      </c>
      <c r="N62" s="481">
        <f>SUMIFS(U:U,C:C,C62,Q:Q,Q62)/SUMIFS(T:T,C:C,C62,Q:Q,Q62,AD:AD,"Amortización de K")</f>
        <v>1.0037748328686213</v>
      </c>
      <c r="O62" s="482">
        <v>6.590251624584198E-2</v>
      </c>
      <c r="P62" s="482">
        <v>6.3998964802078895E-2</v>
      </c>
      <c r="Q62" s="484">
        <v>45832</v>
      </c>
      <c r="R62" s="484">
        <v>46101</v>
      </c>
      <c r="S62" s="504" t="s">
        <v>146</v>
      </c>
      <c r="T62" s="505">
        <f>Tabla33[[#This Row],[Cantidad]]*Tabla33[[#This Row],[Cortes]]</f>
        <v>26000</v>
      </c>
      <c r="U62" s="506">
        <f t="shared" si="1"/>
        <v>25638.834692534889</v>
      </c>
      <c r="V62" s="506">
        <f t="shared" si="2"/>
        <v>25634.352020175698</v>
      </c>
      <c r="W62" s="487">
        <f>IF(Tabla33[[#This Row],[Fecha de operación]]=$C$1,0,U62-V62)</f>
        <v>4.4826723591904738</v>
      </c>
      <c r="X62" s="507" t="str">
        <f t="shared" si="20"/>
        <v>Vigente</v>
      </c>
      <c r="Y62" s="489" t="s">
        <v>492</v>
      </c>
      <c r="Z62" s="488">
        <f t="shared" si="21"/>
        <v>80</v>
      </c>
      <c r="AA62" s="508">
        <f>IF(Y62="Mensual",DURATION($C$1,$C$1+Z62*12,J62/12,O62/12,1)/12,DURATION($C$1,R62,J62,O62,IF(Y62="Cupón cero",1,IF(Y62="Al vencimiento",1,IF(Y62="Anual",1,IF(Y62="Semestral",2,IF(Y62="Trimestral",4,"")))))))</f>
        <v>0.2176368629944341</v>
      </c>
      <c r="AB62" s="508">
        <f>IF(Y62="Mensual",MDURATION($C$1,$C$1+Z62*12,J62/12,O62/12,1)/12,MDURATION($C$1,R62,J62,O62,IF(Y62="Cupón cero",1,IF(Y62="Al vencimiento",1,IF(Y62="Anual",1,IF(Y62="Semestral",2,IF(Y62="Trimestral",4,"")))))))</f>
        <v>0.21644815648202254</v>
      </c>
      <c r="AC62" s="488" t="s">
        <v>451</v>
      </c>
      <c r="AD62" s="488" t="s">
        <v>452</v>
      </c>
      <c r="AF62" s="444">
        <f>+IF(Tabla33[[#This Row],[Amortización k | cupón de intereses]]="Amortización de K",Tabla33[[#This Row],[Valor Nominal]],0)</f>
        <v>26000</v>
      </c>
      <c r="AG62" s="444">
        <f>+IF(AND(Tabla33[[#This Row],[Amortización k | cupón de intereses]]="Cupón de interés",Tabla33[[#This Row],[Estado]]="Vigente"),Tabla33[[#This Row],[Valor Nominal]],0)</f>
        <v>0</v>
      </c>
      <c r="AH62" s="444">
        <f>+IF(Tabla33[[#This Row],[Amortización k | cupón de intereses]]="Amortización de K",SUMIFS($AG$7:$AG$418,Tabla33[Código Emisión],Tabla33[[#This Row],[Código Emisión]],Tabla33[Fecha de operación],Tabla33[[#This Row],[Fecha de operación]]),0)-Tabla33[[#This Row],[Accrued]]*Tabla33[[#This Row],[Valor Nominal]]</f>
        <v>370.48561643835615</v>
      </c>
      <c r="AI62" s="444">
        <f>+IF(Tabla33[[#This Row],[Amortización k | cupón de intereses]]="Amortización de K",IF(Tabla33[[#This Row],[Precio Clean]]&gt;1,Tabla33[[#This Row],[Valor Nominal]]*(Tabla33[[#This Row],[Precio Clean]]-1),0),0)</f>
        <v>5.542914858125414</v>
      </c>
      <c r="AJ62" s="444">
        <f>+IF(Tabla33[[#This Row],[Amortización k | cupón de intereses]]="Amortización de K",IF(Tabla33[[#This Row],[Precio Clean]]&lt;1,Tabla33[[#This Row],[Valor Nominal]]*(Tabla33[[#This Row],[Precio Clean]]-1),0),0)</f>
        <v>0</v>
      </c>
    </row>
    <row r="63" spans="1:42">
      <c r="A63" s="502"/>
      <c r="B63" s="437" t="str">
        <f t="shared" ref="B63:H69" si="30">+B62</f>
        <v>Financiera FIC SAECA</v>
      </c>
      <c r="C63" s="437" t="str">
        <f t="shared" si="30"/>
        <v>FIC_6,50%_16032026_AA1399_26K</v>
      </c>
      <c r="D63" s="437" t="str">
        <f t="shared" si="30"/>
        <v>CDA</v>
      </c>
      <c r="E63" s="437" t="str">
        <f t="shared" si="30"/>
        <v>A-py</v>
      </c>
      <c r="F63" s="437" t="str">
        <f t="shared" si="30"/>
        <v>Financiero</v>
      </c>
      <c r="G63" s="437" t="str">
        <f t="shared" si="30"/>
        <v>Paraguay</v>
      </c>
      <c r="H63" s="437">
        <f>+H62</f>
        <v>1</v>
      </c>
      <c r="I63" s="445">
        <v>180.65</v>
      </c>
      <c r="J63" s="462"/>
      <c r="L63" s="442"/>
      <c r="M63" s="493"/>
      <c r="N63" s="493"/>
      <c r="O63" s="516">
        <f t="shared" ref="O63:Q69" si="31">+O62</f>
        <v>6.590251624584198E-2</v>
      </c>
      <c r="P63" s="516">
        <f t="shared" si="31"/>
        <v>6.3998964802078895E-2</v>
      </c>
      <c r="Q63" s="450">
        <f t="shared" si="31"/>
        <v>45832</v>
      </c>
      <c r="R63" s="450">
        <v>46101</v>
      </c>
      <c r="S63" s="509" t="s">
        <v>146</v>
      </c>
      <c r="T63" s="510">
        <f>Tabla33[[#This Row],[Cantidad]]*Tabla33[[#This Row],[Cortes]]</f>
        <v>180.65</v>
      </c>
      <c r="U63" s="511">
        <f t="shared" si="1"/>
        <v>178.14059566178568</v>
      </c>
      <c r="V63" s="511">
        <f t="shared" si="2"/>
        <v>178.10944970941307</v>
      </c>
      <c r="W63" s="497">
        <f>IF(Tabla33[[#This Row],[Fecha de operación]]=$C$1,0,U63-V63)</f>
        <v>3.1145952372611418E-2</v>
      </c>
      <c r="X63" s="512" t="str">
        <f t="shared" si="20"/>
        <v>Vigente</v>
      </c>
      <c r="Y63" s="517"/>
      <c r="Z63" s="449">
        <f t="shared" si="21"/>
        <v>80</v>
      </c>
      <c r="AA63" s="518">
        <f t="shared" ref="AA63:AB69" si="32">AA62</f>
        <v>0.2176368629944341</v>
      </c>
      <c r="AB63" s="518">
        <f t="shared" si="32"/>
        <v>0.21644815648202254</v>
      </c>
      <c r="AC63" s="449" t="str">
        <f>+AC62</f>
        <v>Familiar CB</v>
      </c>
      <c r="AD63" s="449" t="s">
        <v>454</v>
      </c>
      <c r="AF63" s="444">
        <f>+IF(Tabla33[[#This Row],[Amortización k | cupón de intereses]]="Amortización de K",Tabla33[[#This Row],[Valor Nominal]],0)</f>
        <v>0</v>
      </c>
      <c r="AG63" s="444">
        <f>+IF(AND(Tabla33[[#This Row],[Amortización k | cupón de intereses]]="Cupón de interés",Tabla33[[#This Row],[Estado]]="Vigente"),Tabla33[[#This Row],[Valor Nominal]],0)</f>
        <v>180.65</v>
      </c>
      <c r="AH63" s="444">
        <f>+IF(Tabla33[[#This Row],[Amortización k | cupón de intereses]]="Amortización de K",SUMIFS($AG$7:$AG$418,Tabla33[Código Emisión],Tabla33[[#This Row],[Código Emisión]],Tabla33[Fecha de operación],Tabla33[[#This Row],[Fecha de operación]]),0)-Tabla33[[#This Row],[Accrued]]*Tabla33[[#This Row],[Valor Nominal]]</f>
        <v>0</v>
      </c>
      <c r="AI63" s="444">
        <f>+IF(Tabla33[[#This Row],[Amortización k | cupón de intereses]]="Amortización de K",IF(Tabla33[[#This Row],[Precio Clean]]&gt;1,Tabla33[[#This Row],[Valor Nominal]]*(Tabla33[[#This Row],[Precio Clean]]-1),0),0)</f>
        <v>0</v>
      </c>
      <c r="AJ63" s="444">
        <f>+IF(Tabla33[[#This Row],[Amortización k | cupón de intereses]]="Amortización de K",IF(Tabla33[[#This Row],[Precio Clean]]&lt;1,Tabla33[[#This Row],[Valor Nominal]]*(Tabla33[[#This Row],[Precio Clean]]-1),0),0)</f>
        <v>0</v>
      </c>
    </row>
    <row r="64" spans="1:42">
      <c r="A64" s="502"/>
      <c r="B64" s="437" t="str">
        <f t="shared" si="30"/>
        <v>Financiera FIC SAECA</v>
      </c>
      <c r="C64" s="437" t="str">
        <f t="shared" si="30"/>
        <v>FIC_6,50%_16032026_AA1399_26K</v>
      </c>
      <c r="D64" s="437" t="str">
        <f t="shared" si="30"/>
        <v>CDA</v>
      </c>
      <c r="E64" s="437" t="str">
        <f t="shared" si="30"/>
        <v>A-py</v>
      </c>
      <c r="F64" s="437" t="str">
        <f t="shared" si="30"/>
        <v>Financiero</v>
      </c>
      <c r="G64" s="437" t="str">
        <f t="shared" si="30"/>
        <v>Paraguay</v>
      </c>
      <c r="H64" s="437">
        <f t="shared" si="30"/>
        <v>1</v>
      </c>
      <c r="I64" s="445">
        <v>143.53424657534245</v>
      </c>
      <c r="J64" s="462"/>
      <c r="L64" s="442"/>
      <c r="M64" s="493"/>
      <c r="N64" s="493"/>
      <c r="O64" s="516">
        <f t="shared" si="31"/>
        <v>6.590251624584198E-2</v>
      </c>
      <c r="P64" s="516">
        <f t="shared" si="31"/>
        <v>6.3998964802078895E-2</v>
      </c>
      <c r="Q64" s="450">
        <f t="shared" si="31"/>
        <v>45832</v>
      </c>
      <c r="R64" s="450">
        <v>46062</v>
      </c>
      <c r="S64" s="509" t="s">
        <v>146</v>
      </c>
      <c r="T64" s="510">
        <f>Tabla33[[#This Row],[Cantidad]]*Tabla33[[#This Row],[Cortes]]</f>
        <v>143.53424657534245</v>
      </c>
      <c r="U64" s="511">
        <f t="shared" si="1"/>
        <v>142.50892459246631</v>
      </c>
      <c r="V64" s="511">
        <f t="shared" si="2"/>
        <v>142.48400845158591</v>
      </c>
      <c r="W64" s="497">
        <f>IF(Tabla33[[#This Row],[Fecha de operación]]=$C$1,0,U64-V64)</f>
        <v>2.4916140880407056E-2</v>
      </c>
      <c r="X64" s="512" t="str">
        <f t="shared" si="20"/>
        <v>Vigente</v>
      </c>
      <c r="Y64" s="517"/>
      <c r="Z64" s="449">
        <f t="shared" si="21"/>
        <v>41</v>
      </c>
      <c r="AA64" s="518">
        <f t="shared" si="32"/>
        <v>0.2176368629944341</v>
      </c>
      <c r="AB64" s="518">
        <f t="shared" si="32"/>
        <v>0.21644815648202254</v>
      </c>
      <c r="AC64" s="449" t="str">
        <f t="shared" ref="AC64:AC69" si="33">+AC63</f>
        <v>Familiar CB</v>
      </c>
      <c r="AD64" s="449" t="s">
        <v>454</v>
      </c>
      <c r="AF64" s="444">
        <f>+IF(Tabla33[[#This Row],[Amortización k | cupón de intereses]]="Amortización de K",Tabla33[[#This Row],[Valor Nominal]],0)</f>
        <v>0</v>
      </c>
      <c r="AG64" s="444">
        <f>+IF(AND(Tabla33[[#This Row],[Amortización k | cupón de intereses]]="Cupón de interés",Tabla33[[#This Row],[Estado]]="Vigente"),Tabla33[[#This Row],[Valor Nominal]],0)</f>
        <v>143.53424657534245</v>
      </c>
      <c r="AH64" s="444">
        <f>+IF(Tabla33[[#This Row],[Amortización k | cupón de intereses]]="Amortización de K",SUMIFS($AG$7:$AG$418,Tabla33[Código Emisión],Tabla33[[#This Row],[Código Emisión]],Tabla33[Fecha de operación],Tabla33[[#This Row],[Fecha de operación]]),0)-Tabla33[[#This Row],[Accrued]]*Tabla33[[#This Row],[Valor Nominal]]</f>
        <v>0</v>
      </c>
      <c r="AI64" s="444">
        <f>+IF(Tabla33[[#This Row],[Amortización k | cupón de intereses]]="Amortización de K",IF(Tabla33[[#This Row],[Precio Clean]]&gt;1,Tabla33[[#This Row],[Valor Nominal]]*(Tabla33[[#This Row],[Precio Clean]]-1),0),0)</f>
        <v>0</v>
      </c>
      <c r="AJ64" s="444">
        <f>+IF(Tabla33[[#This Row],[Amortización k | cupón de intereses]]="Amortización de K",IF(Tabla33[[#This Row],[Precio Clean]]&lt;1,Tabla33[[#This Row],[Valor Nominal]]*(Tabla33[[#This Row],[Precio Clean]]-1),0),0)</f>
        <v>0</v>
      </c>
    </row>
    <row r="65" spans="1:36">
      <c r="A65" s="502"/>
      <c r="B65" s="437" t="str">
        <f t="shared" si="30"/>
        <v>Financiera FIC SAECA</v>
      </c>
      <c r="C65" s="437" t="str">
        <f t="shared" si="30"/>
        <v>FIC_6,50%_16032026_AA1399_26K</v>
      </c>
      <c r="D65" s="437" t="str">
        <f t="shared" si="30"/>
        <v>CDA</v>
      </c>
      <c r="E65" s="437" t="str">
        <f t="shared" si="30"/>
        <v>A-py</v>
      </c>
      <c r="F65" s="437" t="str">
        <f t="shared" si="30"/>
        <v>Financiero</v>
      </c>
      <c r="G65" s="437" t="str">
        <f t="shared" si="30"/>
        <v>Paraguay</v>
      </c>
      <c r="H65" s="437">
        <f t="shared" si="30"/>
        <v>1</v>
      </c>
      <c r="I65" s="445">
        <v>138.9041095890411</v>
      </c>
      <c r="J65" s="462"/>
      <c r="L65" s="442"/>
      <c r="M65" s="493"/>
      <c r="N65" s="493"/>
      <c r="O65" s="516">
        <f t="shared" si="31"/>
        <v>6.590251624584198E-2</v>
      </c>
      <c r="P65" s="516">
        <f t="shared" si="31"/>
        <v>6.3998964802078895E-2</v>
      </c>
      <c r="Q65" s="450">
        <f t="shared" si="31"/>
        <v>45832</v>
      </c>
      <c r="R65" s="450">
        <v>46031</v>
      </c>
      <c r="S65" s="509" t="s">
        <v>146</v>
      </c>
      <c r="T65" s="510">
        <f>Tabla33[[#This Row],[Cantidad]]*Tabla33[[#This Row],[Cortes]]</f>
        <v>138.9041095890411</v>
      </c>
      <c r="U65" s="511">
        <f t="shared" si="1"/>
        <v>138.66144179501785</v>
      </c>
      <c r="V65" s="511">
        <f t="shared" si="2"/>
        <v>138.63719834480358</v>
      </c>
      <c r="W65" s="497">
        <f>IF(Tabla33[[#This Row],[Fecha de operación]]=$C$1,0,U65-V65)</f>
        <v>2.4243450214271434E-2</v>
      </c>
      <c r="X65" s="512" t="str">
        <f t="shared" si="20"/>
        <v>Vigente</v>
      </c>
      <c r="Y65" s="517"/>
      <c r="Z65" s="449">
        <f t="shared" si="21"/>
        <v>10</v>
      </c>
      <c r="AA65" s="518">
        <f t="shared" si="32"/>
        <v>0.2176368629944341</v>
      </c>
      <c r="AB65" s="518">
        <f t="shared" si="32"/>
        <v>0.21644815648202254</v>
      </c>
      <c r="AC65" s="449" t="str">
        <f t="shared" si="33"/>
        <v>Familiar CB</v>
      </c>
      <c r="AD65" s="449" t="s">
        <v>454</v>
      </c>
      <c r="AF65" s="444">
        <f>+IF(Tabla33[[#This Row],[Amortización k | cupón de intereses]]="Amortización de K",Tabla33[[#This Row],[Valor Nominal]],0)</f>
        <v>0</v>
      </c>
      <c r="AG65" s="444">
        <f>+IF(AND(Tabla33[[#This Row],[Amortización k | cupón de intereses]]="Cupón de interés",Tabla33[[#This Row],[Estado]]="Vigente"),Tabla33[[#This Row],[Valor Nominal]],0)</f>
        <v>138.9041095890411</v>
      </c>
      <c r="AH65" s="444">
        <f>+IF(Tabla33[[#This Row],[Amortización k | cupón de intereses]]="Amortización de K",SUMIFS($AG$7:$AG$418,Tabla33[Código Emisión],Tabla33[[#This Row],[Código Emisión]],Tabla33[Fecha de operación],Tabla33[[#This Row],[Fecha de operación]]),0)-Tabla33[[#This Row],[Accrued]]*Tabla33[[#This Row],[Valor Nominal]]</f>
        <v>0</v>
      </c>
      <c r="AI65" s="444">
        <f>+IF(Tabla33[[#This Row],[Amortización k | cupón de intereses]]="Amortización de K",IF(Tabla33[[#This Row],[Precio Clean]]&gt;1,Tabla33[[#This Row],[Valor Nominal]]*(Tabla33[[#This Row],[Precio Clean]]-1),0),0)</f>
        <v>0</v>
      </c>
      <c r="AJ65" s="444">
        <f>+IF(Tabla33[[#This Row],[Amortización k | cupón de intereses]]="Amortización de K",IF(Tabla33[[#This Row],[Precio Clean]]&lt;1,Tabla33[[#This Row],[Valor Nominal]]*(Tabla33[[#This Row],[Precio Clean]]-1),0),0)</f>
        <v>0</v>
      </c>
    </row>
    <row r="66" spans="1:36">
      <c r="A66" s="502"/>
      <c r="B66" s="437" t="str">
        <f t="shared" si="30"/>
        <v>Financiera FIC SAECA</v>
      </c>
      <c r="C66" s="437" t="str">
        <f t="shared" si="30"/>
        <v>FIC_6,50%_16032026_AA1399_26K</v>
      </c>
      <c r="D66" s="437" t="str">
        <f t="shared" si="30"/>
        <v>CDA</v>
      </c>
      <c r="E66" s="437" t="str">
        <f t="shared" si="30"/>
        <v>A-py</v>
      </c>
      <c r="F66" s="437" t="str">
        <f t="shared" si="30"/>
        <v>Financiero</v>
      </c>
      <c r="G66" s="437" t="str">
        <f t="shared" si="30"/>
        <v>Paraguay</v>
      </c>
      <c r="H66" s="437">
        <f t="shared" si="30"/>
        <v>1</v>
      </c>
      <c r="I66" s="445">
        <v>138.9041095890411</v>
      </c>
      <c r="J66" s="462"/>
      <c r="L66" s="442"/>
      <c r="M66" s="493"/>
      <c r="N66" s="493"/>
      <c r="O66" s="516">
        <f t="shared" si="31"/>
        <v>6.590251624584198E-2</v>
      </c>
      <c r="P66" s="516">
        <f t="shared" si="31"/>
        <v>6.3998964802078895E-2</v>
      </c>
      <c r="Q66" s="450">
        <f t="shared" si="31"/>
        <v>45832</v>
      </c>
      <c r="R66" s="450">
        <v>46001</v>
      </c>
      <c r="S66" s="509" t="s">
        <v>146</v>
      </c>
      <c r="T66" s="510">
        <f>Tabla33[[#This Row],[Cantidad]]*Tabla33[[#This Row],[Cortes]]</f>
        <v>138.9041095890411</v>
      </c>
      <c r="U66" s="511" t="b">
        <f t="shared" si="1"/>
        <v>0</v>
      </c>
      <c r="V66" s="511" t="b">
        <f t="shared" si="2"/>
        <v>0</v>
      </c>
      <c r="W66" s="497">
        <f>IF(Tabla33[[#This Row],[Fecha de operación]]=$C$1,0,U66-V66)</f>
        <v>0</v>
      </c>
      <c r="X66" s="512" t="str">
        <f t="shared" si="20"/>
        <v>Vencido</v>
      </c>
      <c r="Y66" s="517"/>
      <c r="Z66" s="449">
        <f t="shared" si="21"/>
        <v>-20</v>
      </c>
      <c r="AA66" s="518">
        <f t="shared" si="32"/>
        <v>0.2176368629944341</v>
      </c>
      <c r="AB66" s="518">
        <f t="shared" si="32"/>
        <v>0.21644815648202254</v>
      </c>
      <c r="AC66" s="449" t="str">
        <f t="shared" si="33"/>
        <v>Familiar CB</v>
      </c>
      <c r="AD66" s="449" t="s">
        <v>454</v>
      </c>
      <c r="AF66" s="444">
        <f>+IF(Tabla33[[#This Row],[Amortización k | cupón de intereses]]="Amortización de K",Tabla33[[#This Row],[Valor Nominal]],0)</f>
        <v>0</v>
      </c>
      <c r="AG66" s="444">
        <f>+IF(AND(Tabla33[[#This Row],[Amortización k | cupón de intereses]]="Cupón de interés",Tabla33[[#This Row],[Estado]]="Vigente"),Tabla33[[#This Row],[Valor Nominal]],0)</f>
        <v>0</v>
      </c>
      <c r="AH66" s="444">
        <f>+IF(Tabla33[[#This Row],[Amortización k | cupón de intereses]]="Amortización de K",SUMIFS($AG$7:$AG$418,Tabla33[Código Emisión],Tabla33[[#This Row],[Código Emisión]],Tabla33[Fecha de operación],Tabla33[[#This Row],[Fecha de operación]]),0)-Tabla33[[#This Row],[Accrued]]*Tabla33[[#This Row],[Valor Nominal]]</f>
        <v>0</v>
      </c>
      <c r="AI66" s="444">
        <f>+IF(Tabla33[[#This Row],[Amortización k | cupón de intereses]]="Amortización de K",IF(Tabla33[[#This Row],[Precio Clean]]&gt;1,Tabla33[[#This Row],[Valor Nominal]]*(Tabla33[[#This Row],[Precio Clean]]-1),0),0)</f>
        <v>0</v>
      </c>
      <c r="AJ66" s="444">
        <f>+IF(Tabla33[[#This Row],[Amortización k | cupón de intereses]]="Amortización de K",IF(Tabla33[[#This Row],[Precio Clean]]&lt;1,Tabla33[[#This Row],[Valor Nominal]]*(Tabla33[[#This Row],[Precio Clean]]-1),0),0)</f>
        <v>0</v>
      </c>
    </row>
    <row r="67" spans="1:36">
      <c r="A67" s="502"/>
      <c r="B67" s="437" t="str">
        <f t="shared" si="30"/>
        <v>Financiera FIC SAECA</v>
      </c>
      <c r="C67" s="437" t="str">
        <f t="shared" si="30"/>
        <v>FIC_6,50%_16032026_AA1399_26K</v>
      </c>
      <c r="D67" s="437" t="str">
        <f t="shared" si="30"/>
        <v>CDA</v>
      </c>
      <c r="E67" s="437" t="str">
        <f t="shared" si="30"/>
        <v>A-py</v>
      </c>
      <c r="F67" s="437" t="str">
        <f t="shared" si="30"/>
        <v>Financiero</v>
      </c>
      <c r="G67" s="437" t="str">
        <f t="shared" si="30"/>
        <v>Paraguay</v>
      </c>
      <c r="H67" s="437">
        <f t="shared" si="30"/>
        <v>1</v>
      </c>
      <c r="I67" s="445">
        <v>129.64383561643837</v>
      </c>
      <c r="J67" s="462"/>
      <c r="L67" s="442"/>
      <c r="M67" s="493"/>
      <c r="N67" s="493"/>
      <c r="O67" s="516">
        <f t="shared" si="31"/>
        <v>6.590251624584198E-2</v>
      </c>
      <c r="P67" s="516">
        <f t="shared" si="31"/>
        <v>6.3998964802078895E-2</v>
      </c>
      <c r="Q67" s="450">
        <f t="shared" si="31"/>
        <v>45832</v>
      </c>
      <c r="R67" s="450">
        <v>45971</v>
      </c>
      <c r="S67" s="509" t="s">
        <v>146</v>
      </c>
      <c r="T67" s="510">
        <f>Tabla33[[#This Row],[Cantidad]]*Tabla33[[#This Row],[Cortes]]</f>
        <v>129.64383561643837</v>
      </c>
      <c r="U67" s="511" t="b">
        <f t="shared" si="1"/>
        <v>0</v>
      </c>
      <c r="V67" s="511" t="b">
        <f t="shared" si="2"/>
        <v>0</v>
      </c>
      <c r="W67" s="497">
        <f>IF(Tabla33[[#This Row],[Fecha de operación]]=$C$1,0,U67-V67)</f>
        <v>0</v>
      </c>
      <c r="X67" s="512" t="str">
        <f t="shared" si="20"/>
        <v>Vencido</v>
      </c>
      <c r="Y67" s="517"/>
      <c r="Z67" s="449">
        <f t="shared" si="21"/>
        <v>-50</v>
      </c>
      <c r="AA67" s="518">
        <f t="shared" si="32"/>
        <v>0.2176368629944341</v>
      </c>
      <c r="AB67" s="518">
        <f t="shared" si="32"/>
        <v>0.21644815648202254</v>
      </c>
      <c r="AC67" s="449" t="str">
        <f t="shared" si="33"/>
        <v>Familiar CB</v>
      </c>
      <c r="AD67" s="449" t="s">
        <v>454</v>
      </c>
      <c r="AF67" s="444">
        <f>+IF(Tabla33[[#This Row],[Amortización k | cupón de intereses]]="Amortización de K",Tabla33[[#This Row],[Valor Nominal]],0)</f>
        <v>0</v>
      </c>
      <c r="AG67" s="444">
        <f>+IF(AND(Tabla33[[#This Row],[Amortización k | cupón de intereses]]="Cupón de interés",Tabla33[[#This Row],[Estado]]="Vigente"),Tabla33[[#This Row],[Valor Nominal]],0)</f>
        <v>0</v>
      </c>
      <c r="AH67" s="444">
        <f>+IF(Tabla33[[#This Row],[Amortización k | cupón de intereses]]="Amortización de K",SUMIFS($AG$7:$AG$418,Tabla33[Código Emisión],Tabla33[[#This Row],[Código Emisión]],Tabla33[Fecha de operación],Tabla33[[#This Row],[Fecha de operación]]),0)-Tabla33[[#This Row],[Accrued]]*Tabla33[[#This Row],[Valor Nominal]]</f>
        <v>0</v>
      </c>
      <c r="AI67" s="444">
        <f>+IF(Tabla33[[#This Row],[Amortización k | cupón de intereses]]="Amortización de K",IF(Tabla33[[#This Row],[Precio Clean]]&gt;1,Tabla33[[#This Row],[Valor Nominal]]*(Tabla33[[#This Row],[Precio Clean]]-1),0),0)</f>
        <v>0</v>
      </c>
      <c r="AJ67" s="444">
        <f>+IF(Tabla33[[#This Row],[Amortización k | cupón de intereses]]="Amortización de K",IF(Tabla33[[#This Row],[Precio Clean]]&lt;1,Tabla33[[#This Row],[Valor Nominal]]*(Tabla33[[#This Row],[Precio Clean]]-1),0),0)</f>
        <v>0</v>
      </c>
    </row>
    <row r="68" spans="1:36">
      <c r="A68" s="502"/>
      <c r="B68" s="437" t="str">
        <f t="shared" si="30"/>
        <v>Financiera FIC SAECA</v>
      </c>
      <c r="C68" s="437" t="str">
        <f t="shared" si="30"/>
        <v>FIC_6,50%_16032026_AA1399_26K</v>
      </c>
      <c r="D68" s="437" t="str">
        <f t="shared" si="30"/>
        <v>CDA</v>
      </c>
      <c r="E68" s="437" t="str">
        <f t="shared" si="30"/>
        <v>A-py</v>
      </c>
      <c r="F68" s="437" t="str">
        <f t="shared" si="30"/>
        <v>Financiero</v>
      </c>
      <c r="G68" s="437" t="str">
        <f t="shared" si="30"/>
        <v>Paraguay</v>
      </c>
      <c r="H68" s="437">
        <f t="shared" si="30"/>
        <v>1</v>
      </c>
      <c r="I68" s="445">
        <v>148.16438356164383</v>
      </c>
      <c r="J68" s="462"/>
      <c r="L68" s="442"/>
      <c r="M68" s="493"/>
      <c r="N68" s="493"/>
      <c r="O68" s="516">
        <f t="shared" si="31"/>
        <v>6.590251624584198E-2</v>
      </c>
      <c r="P68" s="516">
        <f t="shared" si="31"/>
        <v>6.3998964802078895E-2</v>
      </c>
      <c r="Q68" s="450">
        <f t="shared" si="31"/>
        <v>45832</v>
      </c>
      <c r="R68" s="450">
        <v>45943</v>
      </c>
      <c r="S68" s="509" t="s">
        <v>146</v>
      </c>
      <c r="T68" s="510">
        <f>Tabla33[[#This Row],[Cantidad]]*Tabla33[[#This Row],[Cortes]]</f>
        <v>148.16438356164383</v>
      </c>
      <c r="U68" s="511" t="b">
        <f t="shared" si="1"/>
        <v>0</v>
      </c>
      <c r="V68" s="511" t="b">
        <f t="shared" si="2"/>
        <v>0</v>
      </c>
      <c r="W68" s="497">
        <f>IF(Tabla33[[#This Row],[Fecha de operación]]=$C$1,0,U68-V68)</f>
        <v>0</v>
      </c>
      <c r="X68" s="512" t="str">
        <f t="shared" si="20"/>
        <v>Vencido</v>
      </c>
      <c r="Y68" s="517"/>
      <c r="Z68" s="449">
        <f t="shared" si="21"/>
        <v>-78</v>
      </c>
      <c r="AA68" s="518">
        <f t="shared" si="32"/>
        <v>0.2176368629944341</v>
      </c>
      <c r="AB68" s="518">
        <f t="shared" si="32"/>
        <v>0.21644815648202254</v>
      </c>
      <c r="AC68" s="449" t="str">
        <f t="shared" si="33"/>
        <v>Familiar CB</v>
      </c>
      <c r="AD68" s="449" t="s">
        <v>454</v>
      </c>
      <c r="AF68" s="444">
        <f>+IF(Tabla33[[#This Row],[Amortización k | cupón de intereses]]="Amortización de K",Tabla33[[#This Row],[Valor Nominal]],0)</f>
        <v>0</v>
      </c>
      <c r="AG68" s="444">
        <f>+IF(AND(Tabla33[[#This Row],[Amortización k | cupón de intereses]]="Cupón de interés",Tabla33[[#This Row],[Estado]]="Vigente"),Tabla33[[#This Row],[Valor Nominal]],0)</f>
        <v>0</v>
      </c>
      <c r="AH68" s="444">
        <f>+IF(Tabla33[[#This Row],[Amortización k | cupón de intereses]]="Amortización de K",SUMIFS($AG$7:$AG$418,Tabla33[Código Emisión],Tabla33[[#This Row],[Código Emisión]],Tabla33[Fecha de operación],Tabla33[[#This Row],[Fecha de operación]]),0)-Tabla33[[#This Row],[Accrued]]*Tabla33[[#This Row],[Valor Nominal]]</f>
        <v>0</v>
      </c>
      <c r="AI68" s="444">
        <f>+IF(Tabla33[[#This Row],[Amortización k | cupón de intereses]]="Amortización de K",IF(Tabla33[[#This Row],[Precio Clean]]&gt;1,Tabla33[[#This Row],[Valor Nominal]]*(Tabla33[[#This Row],[Precio Clean]]-1),0),0)</f>
        <v>0</v>
      </c>
      <c r="AJ68" s="444">
        <f>+IF(Tabla33[[#This Row],[Amortización k | cupón de intereses]]="Amortización de K",IF(Tabla33[[#This Row],[Precio Clean]]&lt;1,Tabla33[[#This Row],[Valor Nominal]]*(Tabla33[[#This Row],[Precio Clean]]-1),0),0)</f>
        <v>0</v>
      </c>
    </row>
    <row r="69" spans="1:36">
      <c r="A69" s="502"/>
      <c r="B69" s="437" t="str">
        <f t="shared" si="30"/>
        <v>Financiera FIC SAECA</v>
      </c>
      <c r="C69" s="437" t="str">
        <f t="shared" si="30"/>
        <v>FIC_6,50%_16032026_AA1399_26K</v>
      </c>
      <c r="D69" s="437" t="str">
        <f t="shared" si="30"/>
        <v>CDA</v>
      </c>
      <c r="E69" s="437" t="str">
        <f t="shared" si="30"/>
        <v>A-py</v>
      </c>
      <c r="F69" s="437" t="str">
        <f t="shared" si="30"/>
        <v>Financiero</v>
      </c>
      <c r="G69" s="437" t="str">
        <f t="shared" si="30"/>
        <v>Paraguay</v>
      </c>
      <c r="H69" s="437">
        <f t="shared" si="30"/>
        <v>1</v>
      </c>
      <c r="I69" s="445">
        <v>138.9041095890411</v>
      </c>
      <c r="J69" s="462"/>
      <c r="L69" s="442"/>
      <c r="M69" s="493"/>
      <c r="N69" s="493"/>
      <c r="O69" s="516">
        <f t="shared" si="31"/>
        <v>6.590251624584198E-2</v>
      </c>
      <c r="P69" s="516">
        <f t="shared" si="31"/>
        <v>6.3998964802078895E-2</v>
      </c>
      <c r="Q69" s="450">
        <f t="shared" si="31"/>
        <v>45832</v>
      </c>
      <c r="R69" s="450">
        <v>45911</v>
      </c>
      <c r="S69" s="509" t="s">
        <v>146</v>
      </c>
      <c r="T69" s="510">
        <f>Tabla33[[#This Row],[Cantidad]]*Tabla33[[#This Row],[Cortes]]</f>
        <v>138.9041095890411</v>
      </c>
      <c r="U69" s="511" t="b">
        <f t="shared" si="1"/>
        <v>0</v>
      </c>
      <c r="V69" s="511" t="b">
        <f t="shared" si="2"/>
        <v>0</v>
      </c>
      <c r="W69" s="497">
        <f>IF(Tabla33[[#This Row],[Fecha de operación]]=$C$1,0,U69-V69)</f>
        <v>0</v>
      </c>
      <c r="X69" s="512" t="str">
        <f t="shared" si="20"/>
        <v>Vencido</v>
      </c>
      <c r="Y69" s="517"/>
      <c r="Z69" s="449">
        <f t="shared" si="21"/>
        <v>-110</v>
      </c>
      <c r="AA69" s="518">
        <f t="shared" si="32"/>
        <v>0.2176368629944341</v>
      </c>
      <c r="AB69" s="518">
        <f t="shared" si="32"/>
        <v>0.21644815648202254</v>
      </c>
      <c r="AC69" s="449" t="str">
        <f t="shared" si="33"/>
        <v>Familiar CB</v>
      </c>
      <c r="AD69" s="449" t="s">
        <v>454</v>
      </c>
      <c r="AF69" s="444">
        <f>+IF(Tabla33[[#This Row],[Amortización k | cupón de intereses]]="Amortización de K",Tabla33[[#This Row],[Valor Nominal]],0)</f>
        <v>0</v>
      </c>
      <c r="AG69" s="444">
        <f>+IF(AND(Tabla33[[#This Row],[Amortización k | cupón de intereses]]="Cupón de interés",Tabla33[[#This Row],[Estado]]="Vigente"),Tabla33[[#This Row],[Valor Nominal]],0)</f>
        <v>0</v>
      </c>
      <c r="AH69" s="444">
        <f>+IF(Tabla33[[#This Row],[Amortización k | cupón de intereses]]="Amortización de K",SUMIFS($AG$7:$AG$418,Tabla33[Código Emisión],Tabla33[[#This Row],[Código Emisión]],Tabla33[Fecha de operación],Tabla33[[#This Row],[Fecha de operación]]),0)-Tabla33[[#This Row],[Accrued]]*Tabla33[[#This Row],[Valor Nominal]]</f>
        <v>0</v>
      </c>
      <c r="AI69" s="444">
        <f>+IF(Tabla33[[#This Row],[Amortización k | cupón de intereses]]="Amortización de K",IF(Tabla33[[#This Row],[Precio Clean]]&gt;1,Tabla33[[#This Row],[Valor Nominal]]*(Tabla33[[#This Row],[Precio Clean]]-1),0),0)</f>
        <v>0</v>
      </c>
      <c r="AJ69" s="444">
        <f>+IF(Tabla33[[#This Row],[Amortización k | cupón de intereses]]="Amortización de K",IF(Tabla33[[#This Row],[Precio Clean]]&lt;1,Tabla33[[#This Row],[Valor Nominal]]*(Tabla33[[#This Row],[Precio Clean]]-1),0),0)</f>
        <v>0</v>
      </c>
    </row>
    <row r="70" spans="1:36" ht="15">
      <c r="A70" s="500">
        <f>+A62+1</f>
        <v>7</v>
      </c>
      <c r="B70" s="475" t="s">
        <v>494</v>
      </c>
      <c r="C70" s="475" t="s">
        <v>495</v>
      </c>
      <c r="D70" s="475" t="s">
        <v>453</v>
      </c>
      <c r="E70" s="475" t="s">
        <v>496</v>
      </c>
      <c r="F70" s="475" t="s">
        <v>297</v>
      </c>
      <c r="G70" s="475" t="s">
        <v>298</v>
      </c>
      <c r="H70" s="475">
        <v>3</v>
      </c>
      <c r="I70" s="477">
        <v>50000</v>
      </c>
      <c r="J70" s="478">
        <v>6.4000000000000001E-2</v>
      </c>
      <c r="K70" s="479">
        <f>_xlfn.MAXIFS(R:R,C:C,C70,AD:AD,"Cupón de interés",X:X,"Vencido")</f>
        <v>46013</v>
      </c>
      <c r="L70" s="478">
        <f>+Tabla33[[#This Row],[Tasa de Interés]]*($U$5-Tabla33[[#This Row],[Last coupon]])/365</f>
        <v>1.4027397260273973E-3</v>
      </c>
      <c r="M70" s="480">
        <f>+Tabla33[[#This Row],[Precio Dirty]]-Tabla33[[#This Row],[Accrued]]</f>
        <v>1.0004726134051705</v>
      </c>
      <c r="N70" s="481">
        <f>SUMIFS(U:U,C:C,C70,Q:Q,Q70)/SUMIFS(T:T,C:C,C70,Q:Q,Q70,AD:AD,"Amortización de K")</f>
        <v>1.0018753531311979</v>
      </c>
      <c r="O70" s="482">
        <v>6.50128752E-2</v>
      </c>
      <c r="P70" s="482">
        <f>+NOMINAL(Tabla33[[#This Row],[YTM]],4)</f>
        <v>6.3485420303006634E-2</v>
      </c>
      <c r="Q70" s="484">
        <v>45838</v>
      </c>
      <c r="R70" s="484">
        <v>46384</v>
      </c>
      <c r="S70" s="504" t="s">
        <v>146</v>
      </c>
      <c r="T70" s="505">
        <f>Tabla33[[#This Row],[Cantidad]]*Tabla33[[#This Row],[Cortes]]</f>
        <v>150000</v>
      </c>
      <c r="U70" s="506">
        <f t="shared" si="1"/>
        <v>140891.98588511505</v>
      </c>
      <c r="V70" s="506">
        <f t="shared" si="2"/>
        <v>140867.67470117685</v>
      </c>
      <c r="W70" s="487">
        <f>IF(Tabla33[[#This Row],[Fecha de operación]]=$C$1,0,U70-V70)</f>
        <v>24.311183938203612</v>
      </c>
      <c r="X70" s="507" t="str">
        <f t="shared" si="20"/>
        <v>Vigente</v>
      </c>
      <c r="Y70" s="489" t="s">
        <v>450</v>
      </c>
      <c r="Z70" s="488">
        <f t="shared" si="21"/>
        <v>363</v>
      </c>
      <c r="AA70" s="508">
        <f>IF(Y70="Mensual",DURATION($C$1,$C$1+Z70*12,J70/12,O70/12,1)/12,DURATION($C$1,R70,J70,O70,IF(Y70="Cupón cero",1,IF(Y70="Al vencimiento",1,IF(Y70="Anual",1,IF(Y70="Semestral",2,IF(Y70="Trimestral",4,"")))))))</f>
        <v>0.97105631906504464</v>
      </c>
      <c r="AB70" s="508">
        <f>IF(Y70="Mensual",MDURATION($C$1,$C$1+Z70*12,J70/12,O70/12,1)/12,MDURATION($C$1,R70,J70,O70,IF(Y70="Cupón cero",1,IF(Y70="Al vencimiento",1,IF(Y70="Anual",1,IF(Y70="Semestral",2,IF(Y70="Trimestral",4,"")))))))</f>
        <v>0.95552594678290492</v>
      </c>
      <c r="AC70" s="488" t="s">
        <v>451</v>
      </c>
      <c r="AD70" s="488" t="s">
        <v>452</v>
      </c>
      <c r="AF70" s="444">
        <f>+IF(Tabla33[[#This Row],[Amortización k | cupón de intereses]]="Amortización de K",Tabla33[[#This Row],[Valor Nominal]],0)</f>
        <v>150000</v>
      </c>
      <c r="AG70" s="444">
        <f>+IF(AND(Tabla33[[#This Row],[Amortización k | cupón de intereses]]="Cupón de interés",Tabla33[[#This Row],[Estado]]="Vigente"),Tabla33[[#This Row],[Valor Nominal]],0)</f>
        <v>0</v>
      </c>
      <c r="AH70" s="444">
        <f>+IF(Tabla33[[#This Row],[Amortización k | cupón de intereses]]="Amortización de K",SUMIFS($AG$7:$AG$418,Tabla33[Código Emisión],Tabla33[[#This Row],[Código Emisión]],Tabla33[Fecha de operación],Tabla33[[#This Row],[Fecha de operación]]),0)-Tabla33[[#This Row],[Accrued]]*Tabla33[[#This Row],[Valor Nominal]]</f>
        <v>9547.3890410958902</v>
      </c>
      <c r="AI70" s="444">
        <f>+IF(Tabla33[[#This Row],[Amortización k | cupón de intereses]]="Amortización de K",IF(Tabla33[[#This Row],[Precio Clean]]&gt;1,Tabla33[[#This Row],[Valor Nominal]]*(Tabla33[[#This Row],[Precio Clean]]-1),0),0)</f>
        <v>70.892010775569503</v>
      </c>
      <c r="AJ70" s="444">
        <f>+IF(Tabla33[[#This Row],[Amortización k | cupón de intereses]]="Amortización de K",IF(Tabla33[[#This Row],[Precio Clean]]&lt;1,Tabla33[[#This Row],[Valor Nominal]]*(Tabla33[[#This Row],[Precio Clean]]-1),0),0)</f>
        <v>0</v>
      </c>
    </row>
    <row r="71" spans="1:36">
      <c r="A71" s="502"/>
      <c r="B71" s="437" t="str">
        <f t="shared" ref="B71:H76" si="34">+B70</f>
        <v>Solar Banco SAECA</v>
      </c>
      <c r="C71" s="437" t="str">
        <f t="shared" si="34"/>
        <v>GSAF_6,40%_28122026_AA3247-56_50K</v>
      </c>
      <c r="D71" s="437" t="str">
        <f t="shared" si="34"/>
        <v>CDA</v>
      </c>
      <c r="E71" s="437" t="str">
        <f t="shared" si="34"/>
        <v>Apy</v>
      </c>
      <c r="F71" s="437" t="str">
        <f t="shared" si="34"/>
        <v>Financiero</v>
      </c>
      <c r="G71" s="437" t="str">
        <f t="shared" si="34"/>
        <v>Paraguay</v>
      </c>
      <c r="H71" s="437">
        <f>+H70</f>
        <v>3</v>
      </c>
      <c r="I71" s="445">
        <v>894.24</v>
      </c>
      <c r="J71" s="462"/>
      <c r="L71" s="442"/>
      <c r="M71" s="493"/>
      <c r="N71" s="493"/>
      <c r="O71" s="516">
        <f t="shared" ref="O71:Q76" si="35">+O70</f>
        <v>6.50128752E-2</v>
      </c>
      <c r="P71" s="516">
        <f t="shared" si="35"/>
        <v>6.3485420303006634E-2</v>
      </c>
      <c r="Q71" s="450">
        <f t="shared" si="35"/>
        <v>45838</v>
      </c>
      <c r="R71" s="450">
        <v>46384</v>
      </c>
      <c r="S71" s="509" t="s">
        <v>146</v>
      </c>
      <c r="T71" s="510">
        <f>Tabla33[[#This Row],[Cantidad]]*Tabla33[[#This Row],[Cortes]]</f>
        <v>2682.7200000000003</v>
      </c>
      <c r="U71" s="511">
        <f t="shared" ref="U71:U84" si="36">IF(X71="VIgente",(T71/(1+O71)^((R71-$U$5)/365)))</f>
        <v>2519.8249891581058</v>
      </c>
      <c r="V71" s="511">
        <f t="shared" ref="V71:V84" si="37">IF(X71="VIgente",(T71/(1+O71)^((R71-$V$5)/365)))</f>
        <v>2519.3901884956076</v>
      </c>
      <c r="W71" s="497">
        <f>IF(Tabla33[[#This Row],[Fecha de operación]]=$C$1,0,U71-V71)</f>
        <v>0.43480066249821903</v>
      </c>
      <c r="X71" s="512" t="str">
        <f t="shared" si="20"/>
        <v>Vigente</v>
      </c>
      <c r="Y71" s="517"/>
      <c r="Z71" s="449">
        <f t="shared" si="21"/>
        <v>363</v>
      </c>
      <c r="AA71" s="518">
        <f t="shared" ref="AA71:AB76" si="38">AA70</f>
        <v>0.97105631906504464</v>
      </c>
      <c r="AB71" s="518">
        <f t="shared" si="38"/>
        <v>0.95552594678290492</v>
      </c>
      <c r="AC71" s="449" t="str">
        <f>+AC70</f>
        <v>Familiar CB</v>
      </c>
      <c r="AD71" s="449" t="s">
        <v>454</v>
      </c>
      <c r="AF71" s="444">
        <f>+IF(Tabla33[[#This Row],[Amortización k | cupón de intereses]]="Amortización de K",Tabla33[[#This Row],[Valor Nominal]],0)</f>
        <v>0</v>
      </c>
      <c r="AG71" s="444">
        <f>+IF(AND(Tabla33[[#This Row],[Amortización k | cupón de intereses]]="Cupón de interés",Tabla33[[#This Row],[Estado]]="Vigente"),Tabla33[[#This Row],[Valor Nominal]],0)</f>
        <v>2682.7200000000003</v>
      </c>
      <c r="AH71" s="444">
        <f>+IF(Tabla33[[#This Row],[Amortización k | cupón de intereses]]="Amortización de K",SUMIFS($AG$7:$AG$418,Tabla33[Código Emisión],Tabla33[[#This Row],[Código Emisión]],Tabla33[Fecha de operación],Tabla33[[#This Row],[Fecha de operación]]),0)-Tabla33[[#This Row],[Accrued]]*Tabla33[[#This Row],[Valor Nominal]]</f>
        <v>0</v>
      </c>
      <c r="AI71" s="444">
        <f>+IF(Tabla33[[#This Row],[Amortización k | cupón de intereses]]="Amortización de K",IF(Tabla33[[#This Row],[Precio Clean]]&gt;1,Tabla33[[#This Row],[Valor Nominal]]*(Tabla33[[#This Row],[Precio Clean]]-1),0),0)</f>
        <v>0</v>
      </c>
      <c r="AJ71" s="444">
        <f>+IF(Tabla33[[#This Row],[Amortización k | cupón de intereses]]="Amortización de K",IF(Tabla33[[#This Row],[Precio Clean]]&lt;1,Tabla33[[#This Row],[Valor Nominal]]*(Tabla33[[#This Row],[Precio Clean]]-1),0),0)</f>
        <v>0</v>
      </c>
    </row>
    <row r="72" spans="1:36">
      <c r="A72" s="502"/>
      <c r="B72" s="437" t="str">
        <f t="shared" si="34"/>
        <v>Solar Banco SAECA</v>
      </c>
      <c r="C72" s="437" t="str">
        <f t="shared" si="34"/>
        <v>GSAF_6,40%_28122026_AA3247-56_50K</v>
      </c>
      <c r="D72" s="437" t="str">
        <f t="shared" si="34"/>
        <v>CDA</v>
      </c>
      <c r="E72" s="437" t="str">
        <f t="shared" si="34"/>
        <v>Apy</v>
      </c>
      <c r="F72" s="437" t="str">
        <f t="shared" si="34"/>
        <v>Financiero</v>
      </c>
      <c r="G72" s="437" t="str">
        <f t="shared" si="34"/>
        <v>Paraguay</v>
      </c>
      <c r="H72" s="437">
        <f t="shared" si="34"/>
        <v>3</v>
      </c>
      <c r="I72" s="445">
        <v>789.04</v>
      </c>
      <c r="J72" s="462"/>
      <c r="L72" s="442"/>
      <c r="M72" s="493"/>
      <c r="N72" s="493"/>
      <c r="O72" s="516">
        <f t="shared" si="35"/>
        <v>6.50128752E-2</v>
      </c>
      <c r="P72" s="516">
        <f t="shared" si="35"/>
        <v>6.3485420303006634E-2</v>
      </c>
      <c r="Q72" s="450">
        <f t="shared" si="35"/>
        <v>45838</v>
      </c>
      <c r="R72" s="450">
        <v>46282</v>
      </c>
      <c r="S72" s="509" t="s">
        <v>146</v>
      </c>
      <c r="T72" s="510">
        <f>Tabla33[[#This Row],[Cantidad]]*Tabla33[[#This Row],[Cortes]]</f>
        <v>2367.12</v>
      </c>
      <c r="U72" s="511">
        <f t="shared" si="36"/>
        <v>2262.8703796338154</v>
      </c>
      <c r="V72" s="511">
        <f t="shared" si="37"/>
        <v>2262.4799169848434</v>
      </c>
      <c r="W72" s="497">
        <f>IF(Tabla33[[#This Row],[Fecha de operación]]=$C$1,0,U72-V72)</f>
        <v>0.39046264897206129</v>
      </c>
      <c r="X72" s="512" t="str">
        <f t="shared" si="20"/>
        <v>Vigente</v>
      </c>
      <c r="Y72" s="517"/>
      <c r="Z72" s="449">
        <f t="shared" si="21"/>
        <v>261</v>
      </c>
      <c r="AA72" s="518">
        <f t="shared" si="38"/>
        <v>0.97105631906504464</v>
      </c>
      <c r="AB72" s="518">
        <f t="shared" si="38"/>
        <v>0.95552594678290492</v>
      </c>
      <c r="AC72" s="449" t="str">
        <f t="shared" ref="AC72:AC76" si="39">+AC71</f>
        <v>Familiar CB</v>
      </c>
      <c r="AD72" s="449" t="s">
        <v>454</v>
      </c>
      <c r="AF72" s="444">
        <f>+IF(Tabla33[[#This Row],[Amortización k | cupón de intereses]]="Amortización de K",Tabla33[[#This Row],[Valor Nominal]],0)</f>
        <v>0</v>
      </c>
      <c r="AG72" s="444">
        <f>+IF(AND(Tabla33[[#This Row],[Amortización k | cupón de intereses]]="Cupón de interés",Tabla33[[#This Row],[Estado]]="Vigente"),Tabla33[[#This Row],[Valor Nominal]],0)</f>
        <v>2367.12</v>
      </c>
      <c r="AH72" s="444">
        <f>+IF(Tabla33[[#This Row],[Amortización k | cupón de intereses]]="Amortización de K",SUMIFS($AG$7:$AG$418,Tabla33[Código Emisión],Tabla33[[#This Row],[Código Emisión]],Tabla33[Fecha de operación],Tabla33[[#This Row],[Fecha de operación]]),0)-Tabla33[[#This Row],[Accrued]]*Tabla33[[#This Row],[Valor Nominal]]</f>
        <v>0</v>
      </c>
      <c r="AI72" s="444">
        <f>+IF(Tabla33[[#This Row],[Amortización k | cupón de intereses]]="Amortización de K",IF(Tabla33[[#This Row],[Precio Clean]]&gt;1,Tabla33[[#This Row],[Valor Nominal]]*(Tabla33[[#This Row],[Precio Clean]]-1),0),0)</f>
        <v>0</v>
      </c>
      <c r="AJ72" s="444">
        <f>+IF(Tabla33[[#This Row],[Amortización k | cupón de intereses]]="Amortización de K",IF(Tabla33[[#This Row],[Precio Clean]]&lt;1,Tabla33[[#This Row],[Valor Nominal]]*(Tabla33[[#This Row],[Precio Clean]]-1),0),0)</f>
        <v>0</v>
      </c>
    </row>
    <row r="73" spans="1:36">
      <c r="A73" s="502"/>
      <c r="B73" s="437" t="str">
        <f t="shared" si="34"/>
        <v>Solar Banco SAECA</v>
      </c>
      <c r="C73" s="437" t="str">
        <f t="shared" si="34"/>
        <v>GSAF_6,40%_28122026_AA3247-56_50K</v>
      </c>
      <c r="D73" s="437" t="str">
        <f t="shared" si="34"/>
        <v>CDA</v>
      </c>
      <c r="E73" s="437" t="str">
        <f t="shared" si="34"/>
        <v>Apy</v>
      </c>
      <c r="F73" s="437" t="str">
        <f t="shared" si="34"/>
        <v>Financiero</v>
      </c>
      <c r="G73" s="437" t="str">
        <f t="shared" si="34"/>
        <v>Paraguay</v>
      </c>
      <c r="H73" s="437">
        <f t="shared" si="34"/>
        <v>3</v>
      </c>
      <c r="I73" s="445">
        <v>771.51</v>
      </c>
      <c r="J73" s="462"/>
      <c r="L73" s="442"/>
      <c r="M73" s="493"/>
      <c r="N73" s="493"/>
      <c r="O73" s="516">
        <f t="shared" si="35"/>
        <v>6.50128752E-2</v>
      </c>
      <c r="P73" s="516">
        <f t="shared" si="35"/>
        <v>6.3485420303006634E-2</v>
      </c>
      <c r="Q73" s="450">
        <f t="shared" si="35"/>
        <v>45838</v>
      </c>
      <c r="R73" s="450">
        <v>46192</v>
      </c>
      <c r="S73" s="509" t="s">
        <v>146</v>
      </c>
      <c r="T73" s="510">
        <f>Tabla33[[#This Row],[Cantidad]]*Tabla33[[#This Row],[Cortes]]</f>
        <v>2314.5299999999997</v>
      </c>
      <c r="U73" s="511">
        <f t="shared" si="36"/>
        <v>2247.2285857460352</v>
      </c>
      <c r="V73" s="511">
        <f t="shared" si="37"/>
        <v>2246.840822118771</v>
      </c>
      <c r="W73" s="497">
        <f>IF(Tabla33[[#This Row],[Fecha de operación]]=$C$1,0,U73-V73)</f>
        <v>0.38776362726412117</v>
      </c>
      <c r="X73" s="512" t="str">
        <f t="shared" si="20"/>
        <v>Vigente</v>
      </c>
      <c r="Y73" s="517"/>
      <c r="Z73" s="449">
        <f t="shared" si="21"/>
        <v>171</v>
      </c>
      <c r="AA73" s="518">
        <f t="shared" si="38"/>
        <v>0.97105631906504464</v>
      </c>
      <c r="AB73" s="518">
        <f t="shared" si="38"/>
        <v>0.95552594678290492</v>
      </c>
      <c r="AC73" s="449" t="str">
        <f t="shared" si="39"/>
        <v>Familiar CB</v>
      </c>
      <c r="AD73" s="449" t="s">
        <v>454</v>
      </c>
      <c r="AF73" s="444">
        <f>+IF(Tabla33[[#This Row],[Amortización k | cupón de intereses]]="Amortización de K",Tabla33[[#This Row],[Valor Nominal]],0)</f>
        <v>0</v>
      </c>
      <c r="AG73" s="444">
        <f>+IF(AND(Tabla33[[#This Row],[Amortización k | cupón de intereses]]="Cupón de interés",Tabla33[[#This Row],[Estado]]="Vigente"),Tabla33[[#This Row],[Valor Nominal]],0)</f>
        <v>2314.5299999999997</v>
      </c>
      <c r="AH73" s="444">
        <f>+IF(Tabla33[[#This Row],[Amortización k | cupón de intereses]]="Amortización de K",SUMIFS($AG$7:$AG$418,Tabla33[Código Emisión],Tabla33[[#This Row],[Código Emisión]],Tabla33[Fecha de operación],Tabla33[[#This Row],[Fecha de operación]]),0)-Tabla33[[#This Row],[Accrued]]*Tabla33[[#This Row],[Valor Nominal]]</f>
        <v>0</v>
      </c>
      <c r="AI73" s="444">
        <f>+IF(Tabla33[[#This Row],[Amortización k | cupón de intereses]]="Amortización de K",IF(Tabla33[[#This Row],[Precio Clean]]&gt;1,Tabla33[[#This Row],[Valor Nominal]]*(Tabla33[[#This Row],[Precio Clean]]-1),0),0)</f>
        <v>0</v>
      </c>
      <c r="AJ73" s="444">
        <f>+IF(Tabla33[[#This Row],[Amortización k | cupón de intereses]]="Amortización de K",IF(Tabla33[[#This Row],[Precio Clean]]&lt;1,Tabla33[[#This Row],[Valor Nominal]]*(Tabla33[[#This Row],[Precio Clean]]-1),0),0)</f>
        <v>0</v>
      </c>
    </row>
    <row r="74" spans="1:36">
      <c r="A74" s="502"/>
      <c r="B74" s="437" t="str">
        <f t="shared" si="34"/>
        <v>Solar Banco SAECA</v>
      </c>
      <c r="C74" s="437" t="str">
        <f t="shared" si="34"/>
        <v>GSAF_6,40%_28122026_AA3247-56_50K</v>
      </c>
      <c r="D74" s="437" t="str">
        <f t="shared" si="34"/>
        <v>CDA</v>
      </c>
      <c r="E74" s="437" t="str">
        <f t="shared" si="34"/>
        <v>Apy</v>
      </c>
      <c r="F74" s="437" t="str">
        <f t="shared" si="34"/>
        <v>Financiero</v>
      </c>
      <c r="G74" s="437" t="str">
        <f t="shared" si="34"/>
        <v>Paraguay</v>
      </c>
      <c r="H74" s="437">
        <f t="shared" si="34"/>
        <v>3</v>
      </c>
      <c r="I74" s="445">
        <v>797.81</v>
      </c>
      <c r="J74" s="462"/>
      <c r="L74" s="442"/>
      <c r="M74" s="493"/>
      <c r="N74" s="493"/>
      <c r="O74" s="516">
        <f t="shared" si="35"/>
        <v>6.50128752E-2</v>
      </c>
      <c r="P74" s="516">
        <f t="shared" si="35"/>
        <v>6.3485420303006634E-2</v>
      </c>
      <c r="Q74" s="450">
        <f t="shared" si="35"/>
        <v>45838</v>
      </c>
      <c r="R74" s="450">
        <v>46104</v>
      </c>
      <c r="S74" s="509" t="s">
        <v>146</v>
      </c>
      <c r="T74" s="510">
        <f>Tabla33[[#This Row],[Cantidad]]*Tabla33[[#This Row],[Cortes]]</f>
        <v>2393.4299999999998</v>
      </c>
      <c r="U74" s="511">
        <f t="shared" si="36"/>
        <v>2359.3931300266604</v>
      </c>
      <c r="V74" s="511">
        <f t="shared" si="37"/>
        <v>2358.9860121909205</v>
      </c>
      <c r="W74" s="497">
        <f>IF(Tabla33[[#This Row],[Fecha de operación]]=$C$1,0,U74-V74)</f>
        <v>0.40711783573988214</v>
      </c>
      <c r="X74" s="512" t="str">
        <f t="shared" si="20"/>
        <v>Vigente</v>
      </c>
      <c r="Y74" s="517"/>
      <c r="Z74" s="449">
        <f t="shared" si="21"/>
        <v>83</v>
      </c>
      <c r="AA74" s="518">
        <f t="shared" si="38"/>
        <v>0.97105631906504464</v>
      </c>
      <c r="AB74" s="518">
        <f t="shared" si="38"/>
        <v>0.95552594678290492</v>
      </c>
      <c r="AC74" s="449" t="str">
        <f t="shared" si="39"/>
        <v>Familiar CB</v>
      </c>
      <c r="AD74" s="449" t="s">
        <v>454</v>
      </c>
      <c r="AF74" s="444">
        <f>+IF(Tabla33[[#This Row],[Amortización k | cupón de intereses]]="Amortización de K",Tabla33[[#This Row],[Valor Nominal]],0)</f>
        <v>0</v>
      </c>
      <c r="AG74" s="444">
        <f>+IF(AND(Tabla33[[#This Row],[Amortización k | cupón de intereses]]="Cupón de interés",Tabla33[[#This Row],[Estado]]="Vigente"),Tabla33[[#This Row],[Valor Nominal]],0)</f>
        <v>2393.4299999999998</v>
      </c>
      <c r="AH74" s="444">
        <f>+IF(Tabla33[[#This Row],[Amortización k | cupón de intereses]]="Amortización de K",SUMIFS($AG$7:$AG$418,Tabla33[Código Emisión],Tabla33[[#This Row],[Código Emisión]],Tabla33[Fecha de operación],Tabla33[[#This Row],[Fecha de operación]]),0)-Tabla33[[#This Row],[Accrued]]*Tabla33[[#This Row],[Valor Nominal]]</f>
        <v>0</v>
      </c>
      <c r="AI74" s="444">
        <f>+IF(Tabla33[[#This Row],[Amortización k | cupón de intereses]]="Amortización de K",IF(Tabla33[[#This Row],[Precio Clean]]&gt;1,Tabla33[[#This Row],[Valor Nominal]]*(Tabla33[[#This Row],[Precio Clean]]-1),0),0)</f>
        <v>0</v>
      </c>
      <c r="AJ74" s="444">
        <f>+IF(Tabla33[[#This Row],[Amortización k | cupón de intereses]]="Amortización de K",IF(Tabla33[[#This Row],[Precio Clean]]&lt;1,Tabla33[[#This Row],[Valor Nominal]]*(Tabla33[[#This Row],[Precio Clean]]-1),0),0)</f>
        <v>0</v>
      </c>
    </row>
    <row r="75" spans="1:36">
      <c r="A75" s="502"/>
      <c r="B75" s="437" t="str">
        <f t="shared" si="34"/>
        <v>Solar Banco SAECA</v>
      </c>
      <c r="C75" s="437" t="str">
        <f t="shared" si="34"/>
        <v>GSAF_6,40%_28122026_AA3247-56_50K</v>
      </c>
      <c r="D75" s="437" t="str">
        <f t="shared" si="34"/>
        <v>CDA</v>
      </c>
      <c r="E75" s="437" t="str">
        <f t="shared" si="34"/>
        <v>Apy</v>
      </c>
      <c r="F75" s="437" t="str">
        <f t="shared" si="34"/>
        <v>Financiero</v>
      </c>
      <c r="G75" s="437" t="str">
        <f t="shared" si="34"/>
        <v>Paraguay</v>
      </c>
      <c r="H75" s="437">
        <f t="shared" si="34"/>
        <v>3</v>
      </c>
      <c r="I75" s="445">
        <v>797.81</v>
      </c>
      <c r="J75" s="462"/>
      <c r="L75" s="442"/>
      <c r="M75" s="493"/>
      <c r="N75" s="493"/>
      <c r="O75" s="516">
        <f t="shared" si="35"/>
        <v>6.50128752E-2</v>
      </c>
      <c r="P75" s="516">
        <f t="shared" si="35"/>
        <v>6.3485420303006634E-2</v>
      </c>
      <c r="Q75" s="450">
        <f t="shared" si="35"/>
        <v>45838</v>
      </c>
      <c r="R75" s="450">
        <v>46013</v>
      </c>
      <c r="S75" s="509" t="s">
        <v>146</v>
      </c>
      <c r="T75" s="510">
        <f>Tabla33[[#This Row],[Cantidad]]*Tabla33[[#This Row],[Cortes]]</f>
        <v>2393.4299999999998</v>
      </c>
      <c r="U75" s="511" t="b">
        <f t="shared" si="36"/>
        <v>0</v>
      </c>
      <c r="V75" s="511" t="b">
        <f t="shared" si="37"/>
        <v>0</v>
      </c>
      <c r="W75" s="497">
        <f>IF(Tabla33[[#This Row],[Fecha de operación]]=$C$1,0,U75-V75)</f>
        <v>0</v>
      </c>
      <c r="X75" s="512" t="str">
        <f t="shared" si="20"/>
        <v>Vencido</v>
      </c>
      <c r="Y75" s="517"/>
      <c r="Z75" s="449">
        <f t="shared" si="21"/>
        <v>-8</v>
      </c>
      <c r="AA75" s="518">
        <f t="shared" si="38"/>
        <v>0.97105631906504464</v>
      </c>
      <c r="AB75" s="518">
        <f t="shared" si="38"/>
        <v>0.95552594678290492</v>
      </c>
      <c r="AC75" s="449" t="str">
        <f t="shared" si="39"/>
        <v>Familiar CB</v>
      </c>
      <c r="AD75" s="449" t="s">
        <v>454</v>
      </c>
      <c r="AF75" s="444">
        <f>+IF(Tabla33[[#This Row],[Amortización k | cupón de intereses]]="Amortización de K",Tabla33[[#This Row],[Valor Nominal]],0)</f>
        <v>0</v>
      </c>
      <c r="AG75" s="444">
        <f>+IF(AND(Tabla33[[#This Row],[Amortización k | cupón de intereses]]="Cupón de interés",Tabla33[[#This Row],[Estado]]="Vigente"),Tabla33[[#This Row],[Valor Nominal]],0)</f>
        <v>0</v>
      </c>
      <c r="AH75" s="444">
        <f>+IF(Tabla33[[#This Row],[Amortización k | cupón de intereses]]="Amortización de K",SUMIFS($AG$7:$AG$418,Tabla33[Código Emisión],Tabla33[[#This Row],[Código Emisión]],Tabla33[Fecha de operación],Tabla33[[#This Row],[Fecha de operación]]),0)-Tabla33[[#This Row],[Accrued]]*Tabla33[[#This Row],[Valor Nominal]]</f>
        <v>0</v>
      </c>
      <c r="AI75" s="444">
        <f>+IF(Tabla33[[#This Row],[Amortización k | cupón de intereses]]="Amortización de K",IF(Tabla33[[#This Row],[Precio Clean]]&gt;1,Tabla33[[#This Row],[Valor Nominal]]*(Tabla33[[#This Row],[Precio Clean]]-1),0),0)</f>
        <v>0</v>
      </c>
      <c r="AJ75" s="444">
        <f>+IF(Tabla33[[#This Row],[Amortización k | cupón de intereses]]="Amortización de K",IF(Tabla33[[#This Row],[Precio Clean]]&lt;1,Tabla33[[#This Row],[Valor Nominal]]*(Tabla33[[#This Row],[Precio Clean]]-1),0),0)</f>
        <v>0</v>
      </c>
    </row>
    <row r="76" spans="1:36">
      <c r="A76" s="502"/>
      <c r="B76" s="437" t="str">
        <f t="shared" si="34"/>
        <v>Solar Banco SAECA</v>
      </c>
      <c r="C76" s="437" t="str">
        <f t="shared" si="34"/>
        <v>GSAF_6,40%_28122026_AA3247-56_50K</v>
      </c>
      <c r="D76" s="437" t="str">
        <f t="shared" si="34"/>
        <v>CDA</v>
      </c>
      <c r="E76" s="437" t="str">
        <f t="shared" si="34"/>
        <v>Apy</v>
      </c>
      <c r="F76" s="437" t="str">
        <f t="shared" si="34"/>
        <v>Financiero</v>
      </c>
      <c r="G76" s="437" t="str">
        <f t="shared" si="34"/>
        <v>Paraguay</v>
      </c>
      <c r="H76" s="437">
        <f t="shared" si="34"/>
        <v>3</v>
      </c>
      <c r="I76" s="445">
        <v>789.04</v>
      </c>
      <c r="J76" s="462"/>
      <c r="L76" s="442"/>
      <c r="M76" s="493"/>
      <c r="N76" s="493"/>
      <c r="O76" s="516">
        <f t="shared" si="35"/>
        <v>6.50128752E-2</v>
      </c>
      <c r="P76" s="516">
        <f t="shared" si="35"/>
        <v>6.3485420303006634E-2</v>
      </c>
      <c r="Q76" s="450">
        <f t="shared" si="35"/>
        <v>45838</v>
      </c>
      <c r="R76" s="450">
        <v>45922</v>
      </c>
      <c r="S76" s="509" t="s">
        <v>146</v>
      </c>
      <c r="T76" s="510">
        <f>Tabla33[[#This Row],[Cantidad]]*Tabla33[[#This Row],[Cortes]]</f>
        <v>2367.12</v>
      </c>
      <c r="U76" s="511" t="b">
        <f t="shared" si="36"/>
        <v>0</v>
      </c>
      <c r="V76" s="511" t="b">
        <f t="shared" si="37"/>
        <v>0</v>
      </c>
      <c r="W76" s="497">
        <f>IF(Tabla33[[#This Row],[Fecha de operación]]=$C$1,0,U76-V76)</f>
        <v>0</v>
      </c>
      <c r="X76" s="512" t="str">
        <f t="shared" si="20"/>
        <v>Vencido</v>
      </c>
      <c r="Y76" s="517"/>
      <c r="Z76" s="449">
        <f t="shared" si="21"/>
        <v>-99</v>
      </c>
      <c r="AA76" s="518">
        <f t="shared" si="38"/>
        <v>0.97105631906504464</v>
      </c>
      <c r="AB76" s="518">
        <f t="shared" si="38"/>
        <v>0.95552594678290492</v>
      </c>
      <c r="AC76" s="449" t="str">
        <f t="shared" si="39"/>
        <v>Familiar CB</v>
      </c>
      <c r="AD76" s="449" t="s">
        <v>454</v>
      </c>
      <c r="AF76" s="444">
        <f>+IF(Tabla33[[#This Row],[Amortización k | cupón de intereses]]="Amortización de K",Tabla33[[#This Row],[Valor Nominal]],0)</f>
        <v>0</v>
      </c>
      <c r="AG76" s="444">
        <f>+IF(AND(Tabla33[[#This Row],[Amortización k | cupón de intereses]]="Cupón de interés",Tabla33[[#This Row],[Estado]]="Vigente"),Tabla33[[#This Row],[Valor Nominal]],0)</f>
        <v>0</v>
      </c>
      <c r="AH76" s="444">
        <f>+IF(Tabla33[[#This Row],[Amortización k | cupón de intereses]]="Amortización de K",SUMIFS($AG$7:$AG$418,Tabla33[Código Emisión],Tabla33[[#This Row],[Código Emisión]],Tabla33[Fecha de operación],Tabla33[[#This Row],[Fecha de operación]]),0)-Tabla33[[#This Row],[Accrued]]*Tabla33[[#This Row],[Valor Nominal]]</f>
        <v>0</v>
      </c>
      <c r="AI76" s="444">
        <f>+IF(Tabla33[[#This Row],[Amortización k | cupón de intereses]]="Amortización de K",IF(Tabla33[[#This Row],[Precio Clean]]&gt;1,Tabla33[[#This Row],[Valor Nominal]]*(Tabla33[[#This Row],[Precio Clean]]-1),0),0)</f>
        <v>0</v>
      </c>
      <c r="AJ76" s="444">
        <f>+IF(Tabla33[[#This Row],[Amortización k | cupón de intereses]]="Amortización de K",IF(Tabla33[[#This Row],[Precio Clean]]&lt;1,Tabla33[[#This Row],[Valor Nominal]]*(Tabla33[[#This Row],[Precio Clean]]-1),0),0)</f>
        <v>0</v>
      </c>
    </row>
    <row r="77" spans="1:36" ht="15">
      <c r="A77" s="500">
        <f>+A70+1</f>
        <v>8</v>
      </c>
      <c r="B77" s="475" t="s">
        <v>489</v>
      </c>
      <c r="C77" s="475" t="s">
        <v>497</v>
      </c>
      <c r="D77" s="475" t="s">
        <v>453</v>
      </c>
      <c r="E77" s="475" t="s">
        <v>491</v>
      </c>
      <c r="F77" s="475" t="s">
        <v>297</v>
      </c>
      <c r="G77" s="475" t="s">
        <v>298</v>
      </c>
      <c r="H77" s="475">
        <v>1</v>
      </c>
      <c r="I77" s="477">
        <v>380000</v>
      </c>
      <c r="J77" s="478">
        <v>6.5500000000000003E-2</v>
      </c>
      <c r="K77" s="479">
        <v>45695</v>
      </c>
      <c r="L77" s="478">
        <f>+Tabla33[[#This Row],[Tasa de Interés]]*($U$5-Tabla33[[#This Row],[Last coupon]])/365</f>
        <v>5.85013698630137E-2</v>
      </c>
      <c r="M77" s="480">
        <f>+Tabla33[[#This Row],[Precio Dirty]]-Tabla33[[#This Row],[Accrued]]</f>
        <v>0.99793957474154538</v>
      </c>
      <c r="N77" s="481">
        <f>SUMIFS(U:U,C:C,C77,Q:Q,Q77)/SUMIFS(T:T,C:C,C77,Q:Q,Q77,AD:AD,"Amortización de K")</f>
        <v>1.0564409446045591</v>
      </c>
      <c r="O77" s="482">
        <v>6.5995201468467699E-2</v>
      </c>
      <c r="P77" s="482">
        <v>6.6000000000000003E-2</v>
      </c>
      <c r="Q77" s="484">
        <v>45845</v>
      </c>
      <c r="R77" s="484">
        <v>46245</v>
      </c>
      <c r="S77" s="504" t="s">
        <v>146</v>
      </c>
      <c r="T77" s="505">
        <f>Tabla33[[#This Row],[Cantidad]]*Tabla33[[#This Row],[Cortes]]</f>
        <v>380000</v>
      </c>
      <c r="U77" s="506">
        <f t="shared" si="36"/>
        <v>365384.59902585787</v>
      </c>
      <c r="V77" s="506">
        <f t="shared" si="37"/>
        <v>365320.62846164277</v>
      </c>
      <c r="W77" s="487">
        <f>IF(Tabla33[[#This Row],[Fecha de operación]]=$C$1,0,U77-V77)</f>
        <v>63.970564215094782</v>
      </c>
      <c r="X77" s="507" t="str">
        <f t="shared" si="20"/>
        <v>Vigente</v>
      </c>
      <c r="Y77" s="489" t="s">
        <v>498</v>
      </c>
      <c r="Z77" s="488">
        <f t="shared" si="21"/>
        <v>224</v>
      </c>
      <c r="AA77" s="508">
        <f>IF(Y77="Mensual",DURATION($C$1,$C$1+Z77*12,J77/12,O77/12,1)/12,DURATION($C$1,R77,J77,O77,IF(Y77="Cupón cero",1,IF(Y77="Al vencimiento",1,IF(Y77="Anual",1,IF(Y77="Semestral",2,IF(Y77="Trimestral",4,"")))))))</f>
        <v>0.61388888888888893</v>
      </c>
      <c r="AB77" s="508">
        <f>IF(Y77="Mensual",MDURATION($C$1,$C$1+Z77*12,J77/12,O77/12,1)/12,MDURATION($C$1,R77,J77,O77,IF(Y77="Cupón cero",1,IF(Y77="Al vencimiento",1,IF(Y77="Anual",1,IF(Y77="Semestral",2,IF(Y77="Trimestral",4,"")))))))</f>
        <v>0.57588335111004518</v>
      </c>
      <c r="AC77" s="488" t="s">
        <v>451</v>
      </c>
      <c r="AD77" s="488" t="s">
        <v>452</v>
      </c>
      <c r="AF77" s="444">
        <f>+IF(Tabla33[[#This Row],[Amortización k | cupón de intereses]]="Amortización de K",Tabla33[[#This Row],[Valor Nominal]],0)</f>
        <v>380000</v>
      </c>
      <c r="AG77" s="444">
        <f>+IF(AND(Tabla33[[#This Row],[Amortización k | cupón de intereses]]="Cupón de interés",Tabla33[[#This Row],[Estado]]="Vigente"),Tabla33[[#This Row],[Valor Nominal]],0)</f>
        <v>0</v>
      </c>
      <c r="AH77" s="444">
        <f>+IF(Tabla33[[#This Row],[Amortización k | cupón de intereses]]="Amortización de K",SUMIFS($AG$7:$AG$418,Tabla33[Código Emisión],Tabla33[[#This Row],[Código Emisión]],Tabla33[Fecha de operación],Tabla33[[#This Row],[Fecha de operación]]),0)-Tabla33[[#This Row],[Accrued]]*Tabla33[[#This Row],[Valor Nominal]]</f>
        <v>15274.959452054798</v>
      </c>
      <c r="AI77" s="444">
        <f>+IF(Tabla33[[#This Row],[Amortización k | cupón de intereses]]="Amortización de K",IF(Tabla33[[#This Row],[Precio Clean]]&gt;1,Tabla33[[#This Row],[Valor Nominal]]*(Tabla33[[#This Row],[Precio Clean]]-1),0),0)</f>
        <v>0</v>
      </c>
      <c r="AJ77" s="444">
        <f>+IF(Tabla33[[#This Row],[Amortización k | cupón de intereses]]="Amortización de K",IF(Tabla33[[#This Row],[Precio Clean]]&lt;1,Tabla33[[#This Row],[Valor Nominal]]*(Tabla33[[#This Row],[Precio Clean]]-1),0),0)</f>
        <v>-782.96159821275694</v>
      </c>
    </row>
    <row r="78" spans="1:36">
      <c r="A78" s="502"/>
      <c r="B78" s="437" t="str">
        <f t="shared" ref="B78:G78" si="40">+B77</f>
        <v>Financiera FIC SAECA</v>
      </c>
      <c r="C78" s="437" t="str">
        <f t="shared" si="40"/>
        <v>FIC_6,55%_11082026_AA1538_380K</v>
      </c>
      <c r="D78" s="437" t="str">
        <f t="shared" si="40"/>
        <v>CDA</v>
      </c>
      <c r="E78" s="437" t="str">
        <f t="shared" si="40"/>
        <v>A-py</v>
      </c>
      <c r="F78" s="437" t="str">
        <f t="shared" si="40"/>
        <v>Financiero</v>
      </c>
      <c r="G78" s="437" t="str">
        <f t="shared" si="40"/>
        <v>Paraguay</v>
      </c>
      <c r="H78" s="437">
        <f>+H77</f>
        <v>1</v>
      </c>
      <c r="I78" s="445">
        <v>37505.480000000003</v>
      </c>
      <c r="J78" s="462"/>
      <c r="L78" s="442"/>
      <c r="M78" s="493"/>
      <c r="N78" s="493"/>
      <c r="O78" s="516">
        <f t="shared" ref="O78:Q78" si="41">+O77</f>
        <v>6.5995201468467699E-2</v>
      </c>
      <c r="P78" s="516">
        <f t="shared" si="41"/>
        <v>6.6000000000000003E-2</v>
      </c>
      <c r="Q78" s="450">
        <f t="shared" si="41"/>
        <v>45845</v>
      </c>
      <c r="R78" s="450">
        <v>46245</v>
      </c>
      <c r="S78" s="509" t="s">
        <v>146</v>
      </c>
      <c r="T78" s="510">
        <f>Tabla33[[#This Row],[Cantidad]]*Tabla33[[#This Row],[Cortes]]</f>
        <v>37505.480000000003</v>
      </c>
      <c r="U78" s="511">
        <f t="shared" si="36"/>
        <v>36062.959923874558</v>
      </c>
      <c r="V78" s="511">
        <f t="shared" si="37"/>
        <v>36056.646116725198</v>
      </c>
      <c r="W78" s="497">
        <f>IF(Tabla33[[#This Row],[Fecha de operación]]=$C$1,0,U78-V78)</f>
        <v>6.3138071493594907</v>
      </c>
      <c r="X78" s="512" t="str">
        <f t="shared" si="20"/>
        <v>Vigente</v>
      </c>
      <c r="Y78" s="517"/>
      <c r="Z78" s="449">
        <f t="shared" si="21"/>
        <v>224</v>
      </c>
      <c r="AA78" s="518">
        <f t="shared" ref="AA78:AB78" si="42">AA77</f>
        <v>0.61388888888888893</v>
      </c>
      <c r="AB78" s="518">
        <f t="shared" si="42"/>
        <v>0.57588335111004518</v>
      </c>
      <c r="AC78" s="449" t="str">
        <f>+AC77</f>
        <v>Familiar CB</v>
      </c>
      <c r="AD78" s="449" t="s">
        <v>454</v>
      </c>
      <c r="AF78" s="444">
        <f>+IF(Tabla33[[#This Row],[Amortización k | cupón de intereses]]="Amortización de K",Tabla33[[#This Row],[Valor Nominal]],0)</f>
        <v>0</v>
      </c>
      <c r="AG78" s="444">
        <f>+IF(AND(Tabla33[[#This Row],[Amortización k | cupón de intereses]]="Cupón de interés",Tabla33[[#This Row],[Estado]]="Vigente"),Tabla33[[#This Row],[Valor Nominal]],0)</f>
        <v>37505.480000000003</v>
      </c>
      <c r="AH78" s="444">
        <f>+IF(Tabla33[[#This Row],[Amortización k | cupón de intereses]]="Amortización de K",SUMIFS($AG$7:$AG$418,Tabla33[Código Emisión],Tabla33[[#This Row],[Código Emisión]],Tabla33[Fecha de operación],Tabla33[[#This Row],[Fecha de operación]]),0)-Tabla33[[#This Row],[Accrued]]*Tabla33[[#This Row],[Valor Nominal]]</f>
        <v>0</v>
      </c>
      <c r="AI78" s="444">
        <f>+IF(Tabla33[[#This Row],[Amortización k | cupón de intereses]]="Amortización de K",IF(Tabla33[[#This Row],[Precio Clean]]&gt;1,Tabla33[[#This Row],[Valor Nominal]]*(Tabla33[[#This Row],[Precio Clean]]-1),0),0)</f>
        <v>0</v>
      </c>
      <c r="AJ78" s="444">
        <f>+IF(Tabla33[[#This Row],[Amortización k | cupón de intereses]]="Amortización de K",IF(Tabla33[[#This Row],[Precio Clean]]&lt;1,Tabla33[[#This Row],[Valor Nominal]]*(Tabla33[[#This Row],[Precio Clean]]-1),0),0)</f>
        <v>0</v>
      </c>
    </row>
    <row r="79" spans="1:36" ht="15">
      <c r="A79" s="500">
        <f>+A77+1</f>
        <v>9</v>
      </c>
      <c r="B79" s="475" t="s">
        <v>485</v>
      </c>
      <c r="C79" s="475" t="s">
        <v>486</v>
      </c>
      <c r="D79" s="475" t="s">
        <v>453</v>
      </c>
      <c r="E79" s="475" t="s">
        <v>487</v>
      </c>
      <c r="F79" s="475" t="s">
        <v>297</v>
      </c>
      <c r="G79" s="475" t="s">
        <v>298</v>
      </c>
      <c r="H79" s="475">
        <v>1</v>
      </c>
      <c r="I79" s="477">
        <v>200000</v>
      </c>
      <c r="J79" s="478">
        <v>6.4500000000000002E-2</v>
      </c>
      <c r="K79" s="479">
        <f>_xlfn.MAXIFS(R:R,C:C,C79,AD:AD,"Cupón de interés",X:X,"Vencido")</f>
        <v>45919</v>
      </c>
      <c r="L79" s="478">
        <f>+Tabla33[[#This Row],[Tasa de Interés]]*($U$5-Tabla33[[#This Row],[Last coupon]])/365</f>
        <v>1.8024657534246577E-2</v>
      </c>
      <c r="M79" s="480">
        <f>+Tabla33[[#This Row],[Precio Dirty]]-Tabla33[[#This Row],[Accrued]]</f>
        <v>1.0015497061311469</v>
      </c>
      <c r="N79" s="481">
        <f>SUMIFS(U:U,C:C,C79,Q:Q,Q79)/SUMIFS(T:T,C:C,C79,Q:Q,Q79,AD:AD,"Amortización de K")</f>
        <v>1.0195743636653936</v>
      </c>
      <c r="O79" s="478">
        <v>6.446408927440643E-2</v>
      </c>
      <c r="P79" s="482">
        <v>6.3457801253336221E-2</v>
      </c>
      <c r="Q79" s="484">
        <v>45847</v>
      </c>
      <c r="R79" s="484">
        <v>46650</v>
      </c>
      <c r="S79" s="504" t="s">
        <v>146</v>
      </c>
      <c r="T79" s="505">
        <f>Tabla33[[#This Row],[Cantidad]]*Tabla33[[#This Row],[Cortes]]</f>
        <v>200000</v>
      </c>
      <c r="U79" s="506">
        <f t="shared" si="36"/>
        <v>179587.23030233427</v>
      </c>
      <c r="V79" s="506">
        <f t="shared" si="37"/>
        <v>179556.49573187527</v>
      </c>
      <c r="W79" s="506">
        <f>IF(Tabla33[[#This Row],[Fecha de operación]]=$C$1,0,U79-V79)</f>
        <v>30.734570458997041</v>
      </c>
      <c r="X79" s="507" t="str">
        <f t="shared" si="20"/>
        <v>Vigente</v>
      </c>
      <c r="Y79" s="489" t="s">
        <v>450</v>
      </c>
      <c r="Z79" s="488">
        <f t="shared" si="21"/>
        <v>629</v>
      </c>
      <c r="AA79" s="508">
        <f t="shared" ref="AA79" si="43">IF(Y79="Mensual",DURATION($C$1,$C$1+Z79*12,J79/12,O79/12,1)/12,DURATION($C$1,R79,J79,O79,IF(Y79="Cupón cero",1,IF(Y79="Al vencimiento",1,IF(Y79="Anual",1,IF(Y79="Semestral",2,IF(Y79="Trimestral",4,"")))))))</f>
        <v>1.6410811553137243</v>
      </c>
      <c r="AB79" s="508">
        <f t="shared" ref="AB79" si="44">IF(Y79="Mensual",MDURATION($C$1,$C$1+Z79*12,J79/12,O79/12,1)/12,MDURATION($C$1,R79,J79,O79,IF(Y79="Cupón cero",1,IF(Y79="Al vencimiento",1,IF(Y79="Anual",1,IF(Y79="Semestral",2,IF(Y79="Trimestral",4,"")))))))</f>
        <v>1.6150529263076276</v>
      </c>
      <c r="AC79" s="488" t="s">
        <v>451</v>
      </c>
      <c r="AD79" s="488" t="s">
        <v>452</v>
      </c>
      <c r="AF79" s="444">
        <f>+IF(Tabla33[[#This Row],[Amortización k | cupón de intereses]]="Amortización de K",Tabla33[[#This Row],[Valor Nominal]],0)</f>
        <v>200000</v>
      </c>
      <c r="AG79" s="444">
        <f>+IF(AND(Tabla33[[#This Row],[Amortización k | cupón de intereses]]="Cupón de interés",Tabla33[[#This Row],[Estado]]="Vigente"),Tabla33[[#This Row],[Valor Nominal]],0)</f>
        <v>0</v>
      </c>
      <c r="AH79" s="444">
        <f>+IF(Tabla33[[#This Row],[Amortización k | cupón de intereses]]="Amortización de K",SUMIFS($AG$7:$AG$418,Tabla33[Código Emisión],Tabla33[[#This Row],[Código Emisión]],Tabla33[Fecha de operación],Tabla33[[#This Row],[Fecha de operación]]),0)-Tabla33[[#This Row],[Accrued]]*Tabla33[[#This Row],[Valor Nominal]]</f>
        <v>22230.388493150684</v>
      </c>
      <c r="AI79" s="444">
        <f>+IF(Tabla33[[#This Row],[Amortización k | cupón de intereses]]="Amortización de K",IF(Tabla33[[#This Row],[Precio Clean]]&gt;1,Tabla33[[#This Row],[Valor Nominal]]*(Tabla33[[#This Row],[Precio Clean]]-1),0),0)</f>
        <v>309.94122622938215</v>
      </c>
      <c r="AJ79" s="444">
        <f>+IF(Tabla33[[#This Row],[Amortización k | cupón de intereses]]="Amortización de K",IF(Tabla33[[#This Row],[Precio Clean]]&lt;1,Tabla33[[#This Row],[Valor Nominal]]*(Tabla33[[#This Row],[Precio Clean]]-1),0),0)</f>
        <v>0</v>
      </c>
    </row>
    <row r="80" spans="1:36">
      <c r="A80" s="502"/>
      <c r="B80" s="437" t="s">
        <v>485</v>
      </c>
      <c r="C80" s="437" t="str">
        <f>+C79</f>
        <v>BNF_6,45%_200927_BB1790-1794_200K</v>
      </c>
      <c r="D80" s="437" t="s">
        <v>453</v>
      </c>
      <c r="E80" s="437" t="str">
        <f>+E79</f>
        <v>AA+py</v>
      </c>
      <c r="F80" s="437" t="s">
        <v>297</v>
      </c>
      <c r="G80" s="437" t="s">
        <v>298</v>
      </c>
      <c r="H80" s="437">
        <v>1</v>
      </c>
      <c r="I80" s="492">
        <v>6538.35</v>
      </c>
      <c r="J80" s="451"/>
      <c r="K80" s="450"/>
      <c r="L80" s="451"/>
      <c r="M80" s="493"/>
      <c r="N80" s="493"/>
      <c r="O80" s="451">
        <f t="shared" ref="O80:Q84" si="45">+O79</f>
        <v>6.446408927440643E-2</v>
      </c>
      <c r="P80" s="451">
        <f t="shared" si="45"/>
        <v>6.3457801253336221E-2</v>
      </c>
      <c r="Q80" s="450">
        <f t="shared" si="45"/>
        <v>45847</v>
      </c>
      <c r="R80" s="450">
        <v>46650</v>
      </c>
      <c r="S80" s="437" t="s">
        <v>146</v>
      </c>
      <c r="T80" s="510">
        <f>Tabla33[[#This Row],[Cantidad]]*Tabla33[[#This Row],[Cortes]]</f>
        <v>6538.35</v>
      </c>
      <c r="U80" s="511">
        <f t="shared" si="36"/>
        <v>5871.0208362363373</v>
      </c>
      <c r="V80" s="511">
        <f t="shared" si="37"/>
        <v>5870.0160693425341</v>
      </c>
      <c r="W80" s="511">
        <f>IF(Tabla33[[#This Row],[Fecha de operación]]=$C$1,0,U80-V80)</f>
        <v>1.0047668938032075</v>
      </c>
      <c r="X80" s="469" t="str">
        <f t="shared" si="20"/>
        <v>Vigente</v>
      </c>
      <c r="Y80" s="469" t="s">
        <v>450</v>
      </c>
      <c r="Z80" s="469">
        <f t="shared" si="21"/>
        <v>629</v>
      </c>
      <c r="AA80" s="492">
        <f>+AA79</f>
        <v>1.6410811553137243</v>
      </c>
      <c r="AB80" s="492">
        <f>+AB79</f>
        <v>1.6150529263076276</v>
      </c>
      <c r="AC80" s="469" t="s">
        <v>451</v>
      </c>
      <c r="AD80" s="469" t="s">
        <v>454</v>
      </c>
      <c r="AF80" s="444">
        <f>+IF(Tabla33[[#This Row],[Amortización k | cupón de intereses]]="Amortización de K",Tabla33[[#This Row],[Valor Nominal]],0)</f>
        <v>0</v>
      </c>
      <c r="AG80" s="444">
        <f>+IF(AND(Tabla33[[#This Row],[Amortización k | cupón de intereses]]="Cupón de interés",Tabla33[[#This Row],[Estado]]="Vigente"),Tabla33[[#This Row],[Valor Nominal]],0)</f>
        <v>6538.35</v>
      </c>
      <c r="AH80" s="444">
        <f>+IF(Tabla33[[#This Row],[Amortización k | cupón de intereses]]="Amortización de K",SUMIFS($AG$7:$AG$418,Tabla33[Código Emisión],Tabla33[[#This Row],[Código Emisión]],Tabla33[Fecha de operación],Tabla33[[#This Row],[Fecha de operación]]),0)-Tabla33[[#This Row],[Accrued]]*Tabla33[[#This Row],[Valor Nominal]]</f>
        <v>0</v>
      </c>
      <c r="AI80" s="444">
        <f>+IF(Tabla33[[#This Row],[Amortización k | cupón de intereses]]="Amortización de K",IF(Tabla33[[#This Row],[Precio Clean]]&gt;1,Tabla33[[#This Row],[Valor Nominal]]*(Tabla33[[#This Row],[Precio Clean]]-1),0),0)</f>
        <v>0</v>
      </c>
      <c r="AJ80" s="444">
        <f>+IF(Tabla33[[#This Row],[Amortización k | cupón de intereses]]="Amortización de K",IF(Tabla33[[#This Row],[Precio Clean]]&lt;1,Tabla33[[#This Row],[Valor Nominal]]*(Tabla33[[#This Row],[Precio Clean]]-1),0),0)</f>
        <v>0</v>
      </c>
    </row>
    <row r="81" spans="1:43">
      <c r="A81" s="502"/>
      <c r="B81" s="437" t="s">
        <v>485</v>
      </c>
      <c r="C81" s="437" t="str">
        <f>+C80</f>
        <v>BNF_6,45%_200927_BB1790-1794_200K</v>
      </c>
      <c r="D81" s="437" t="s">
        <v>453</v>
      </c>
      <c r="E81" s="437" t="str">
        <f>+E80</f>
        <v>AA+py</v>
      </c>
      <c r="F81" s="437" t="s">
        <v>297</v>
      </c>
      <c r="G81" s="437" t="s">
        <v>298</v>
      </c>
      <c r="H81" s="437">
        <v>1</v>
      </c>
      <c r="I81" s="492">
        <v>6326.3</v>
      </c>
      <c r="J81" s="451"/>
      <c r="K81" s="450"/>
      <c r="L81" s="451"/>
      <c r="M81" s="493"/>
      <c r="N81" s="493"/>
      <c r="O81" s="451">
        <f t="shared" si="45"/>
        <v>6.446408927440643E-2</v>
      </c>
      <c r="P81" s="451">
        <f t="shared" si="45"/>
        <v>6.3457801253336221E-2</v>
      </c>
      <c r="Q81" s="450">
        <f t="shared" si="45"/>
        <v>45847</v>
      </c>
      <c r="R81" s="450">
        <v>46465</v>
      </c>
      <c r="S81" s="437" t="s">
        <v>146</v>
      </c>
      <c r="T81" s="510">
        <f>Tabla33[[#This Row],[Cantidad]]*Tabla33[[#This Row],[Cortes]]</f>
        <v>6326.3</v>
      </c>
      <c r="U81" s="511">
        <f t="shared" si="36"/>
        <v>5863.360215563559</v>
      </c>
      <c r="V81" s="511">
        <f t="shared" si="37"/>
        <v>5862.3567597088841</v>
      </c>
      <c r="W81" s="511">
        <f>IF(Tabla33[[#This Row],[Fecha de operación]]=$C$1,0,U81-V81)</f>
        <v>1.0034558546749395</v>
      </c>
      <c r="X81" s="469" t="str">
        <f t="shared" si="20"/>
        <v>Vigente</v>
      </c>
      <c r="Y81" s="469" t="s">
        <v>450</v>
      </c>
      <c r="Z81" s="469">
        <f t="shared" si="21"/>
        <v>444</v>
      </c>
      <c r="AA81" s="492">
        <f t="shared" ref="AA81:AA84" si="46">+AA80</f>
        <v>1.6410811553137243</v>
      </c>
      <c r="AB81" s="492">
        <f>+AB80</f>
        <v>1.6150529263076276</v>
      </c>
      <c r="AC81" s="469" t="s">
        <v>451</v>
      </c>
      <c r="AD81" s="469" t="s">
        <v>454</v>
      </c>
      <c r="AF81" s="444">
        <f>+IF(Tabla33[[#This Row],[Amortización k | cupón de intereses]]="Amortización de K",Tabla33[[#This Row],[Valor Nominal]],0)</f>
        <v>0</v>
      </c>
      <c r="AG81" s="444">
        <f>+IF(AND(Tabla33[[#This Row],[Amortización k | cupón de intereses]]="Cupón de interés",Tabla33[[#This Row],[Estado]]="Vigente"),Tabla33[[#This Row],[Valor Nominal]],0)</f>
        <v>6326.3</v>
      </c>
      <c r="AH81" s="444">
        <f>+IF(Tabla33[[#This Row],[Amortización k | cupón de intereses]]="Amortización de K",SUMIFS($AG$7:$AG$418,Tabla33[Código Emisión],Tabla33[[#This Row],[Código Emisión]],Tabla33[Fecha de operación],Tabla33[[#This Row],[Fecha de operación]]),0)-Tabla33[[#This Row],[Accrued]]*Tabla33[[#This Row],[Valor Nominal]]</f>
        <v>0</v>
      </c>
      <c r="AI81" s="444">
        <f>+IF(Tabla33[[#This Row],[Amortización k | cupón de intereses]]="Amortización de K",IF(Tabla33[[#This Row],[Precio Clean]]&gt;1,Tabla33[[#This Row],[Valor Nominal]]*(Tabla33[[#This Row],[Precio Clean]]-1),0),0)</f>
        <v>0</v>
      </c>
      <c r="AJ81" s="444">
        <f>+IF(Tabla33[[#This Row],[Amortización k | cupón de intereses]]="Amortización de K",IF(Tabla33[[#This Row],[Precio Clean]]&lt;1,Tabla33[[#This Row],[Valor Nominal]]*(Tabla33[[#This Row],[Precio Clean]]-1),0),0)</f>
        <v>0</v>
      </c>
    </row>
    <row r="82" spans="1:43">
      <c r="A82" s="502"/>
      <c r="B82" s="437" t="s">
        <v>485</v>
      </c>
      <c r="C82" s="437" t="str">
        <f>+C81</f>
        <v>BNF_6,45%_200927_BB1790-1794_200K</v>
      </c>
      <c r="D82" s="437" t="s">
        <v>453</v>
      </c>
      <c r="E82" s="437" t="str">
        <f>+E81</f>
        <v>AA+py</v>
      </c>
      <c r="F82" s="437" t="s">
        <v>297</v>
      </c>
      <c r="G82" s="437" t="s">
        <v>298</v>
      </c>
      <c r="H82" s="437">
        <v>1</v>
      </c>
      <c r="I82" s="492">
        <v>6573.69</v>
      </c>
      <c r="J82" s="451"/>
      <c r="K82" s="450"/>
      <c r="L82" s="451"/>
      <c r="M82" s="493"/>
      <c r="N82" s="493"/>
      <c r="O82" s="451">
        <f t="shared" si="45"/>
        <v>6.446408927440643E-2</v>
      </c>
      <c r="P82" s="451">
        <f t="shared" si="45"/>
        <v>6.3457801253336221E-2</v>
      </c>
      <c r="Q82" s="450">
        <f t="shared" si="45"/>
        <v>45847</v>
      </c>
      <c r="R82" s="450">
        <v>46286</v>
      </c>
      <c r="S82" s="437" t="s">
        <v>146</v>
      </c>
      <c r="T82" s="510">
        <f>Tabla33[[#This Row],[Cantidad]]*Tabla33[[#This Row],[Cortes]]</f>
        <v>6573.69</v>
      </c>
      <c r="U82" s="511">
        <f t="shared" si="36"/>
        <v>6282.1942350276695</v>
      </c>
      <c r="V82" s="511">
        <f t="shared" si="37"/>
        <v>6281.1190998912298</v>
      </c>
      <c r="W82" s="511">
        <f>IF(Tabla33[[#This Row],[Fecha de operación]]=$C$1,0,U82-V82)</f>
        <v>1.0751351364397124</v>
      </c>
      <c r="X82" s="469" t="str">
        <f t="shared" si="20"/>
        <v>Vigente</v>
      </c>
      <c r="Y82" s="469" t="s">
        <v>450</v>
      </c>
      <c r="Z82" s="469">
        <f t="shared" si="21"/>
        <v>265</v>
      </c>
      <c r="AA82" s="492">
        <f t="shared" si="46"/>
        <v>1.6410811553137243</v>
      </c>
      <c r="AB82" s="492">
        <f>+AB81</f>
        <v>1.6150529263076276</v>
      </c>
      <c r="AC82" s="469" t="s">
        <v>451</v>
      </c>
      <c r="AD82" s="469" t="s">
        <v>454</v>
      </c>
      <c r="AF82" s="444">
        <f>+IF(Tabla33[[#This Row],[Amortización k | cupón de intereses]]="Amortización de K",Tabla33[[#This Row],[Valor Nominal]],0)</f>
        <v>0</v>
      </c>
      <c r="AG82" s="444">
        <f>+IF(AND(Tabla33[[#This Row],[Amortización k | cupón de intereses]]="Cupón de interés",Tabla33[[#This Row],[Estado]]="Vigente"),Tabla33[[#This Row],[Valor Nominal]],0)</f>
        <v>6573.69</v>
      </c>
      <c r="AH82" s="444">
        <f>+IF(Tabla33[[#This Row],[Amortización k | cupón de intereses]]="Amortización de K",SUMIFS($AG$7:$AG$418,Tabla33[Código Emisión],Tabla33[[#This Row],[Código Emisión]],Tabla33[Fecha de operación],Tabla33[[#This Row],[Fecha de operación]]),0)-Tabla33[[#This Row],[Accrued]]*Tabla33[[#This Row],[Valor Nominal]]</f>
        <v>0</v>
      </c>
      <c r="AI82" s="444">
        <f>+IF(Tabla33[[#This Row],[Amortización k | cupón de intereses]]="Amortización de K",IF(Tabla33[[#This Row],[Precio Clean]]&gt;1,Tabla33[[#This Row],[Valor Nominal]]*(Tabla33[[#This Row],[Precio Clean]]-1),0),0)</f>
        <v>0</v>
      </c>
      <c r="AJ82" s="444">
        <f>+IF(Tabla33[[#This Row],[Amortización k | cupón de intereses]]="Amortización de K",IF(Tabla33[[#This Row],[Precio Clean]]&lt;1,Tabla33[[#This Row],[Valor Nominal]]*(Tabla33[[#This Row],[Precio Clean]]-1),0),0)</f>
        <v>0</v>
      </c>
    </row>
    <row r="83" spans="1:43">
      <c r="A83" s="502"/>
      <c r="B83" s="437" t="s">
        <v>485</v>
      </c>
      <c r="C83" s="437" t="str">
        <f>+C82</f>
        <v>BNF_6,45%_200927_BB1790-1794_200K</v>
      </c>
      <c r="D83" s="437" t="s">
        <v>453</v>
      </c>
      <c r="E83" s="437" t="str">
        <f>+E82</f>
        <v>AA+py</v>
      </c>
      <c r="F83" s="437" t="s">
        <v>297</v>
      </c>
      <c r="G83" s="437" t="s">
        <v>298</v>
      </c>
      <c r="H83" s="437">
        <v>1</v>
      </c>
      <c r="I83" s="492">
        <v>6396.98</v>
      </c>
      <c r="J83" s="451"/>
      <c r="K83" s="450"/>
      <c r="L83" s="451"/>
      <c r="M83" s="493"/>
      <c r="N83" s="493"/>
      <c r="O83" s="451">
        <f t="shared" si="45"/>
        <v>6.446408927440643E-2</v>
      </c>
      <c r="P83" s="451">
        <f t="shared" si="45"/>
        <v>6.3457801253336221E-2</v>
      </c>
      <c r="Q83" s="450">
        <f t="shared" si="45"/>
        <v>45847</v>
      </c>
      <c r="R83" s="450">
        <v>46100</v>
      </c>
      <c r="S83" s="437" t="s">
        <v>146</v>
      </c>
      <c r="T83" s="510">
        <f>Tabla33[[#This Row],[Cantidad]]*Tabla33[[#This Row],[Cortes]]</f>
        <v>6396.98</v>
      </c>
      <c r="U83" s="511">
        <f t="shared" si="36"/>
        <v>6311.0671439168664</v>
      </c>
      <c r="V83" s="511">
        <f t="shared" si="37"/>
        <v>6309.9870674688946</v>
      </c>
      <c r="W83" s="511">
        <f>IF(Tabla33[[#This Row],[Fecha de operación]]=$C$1,0,U83-V83)</f>
        <v>1.0800764479718055</v>
      </c>
      <c r="X83" s="469" t="str">
        <f t="shared" si="20"/>
        <v>Vigente</v>
      </c>
      <c r="Y83" s="469" t="s">
        <v>450</v>
      </c>
      <c r="Z83" s="469">
        <f t="shared" si="21"/>
        <v>79</v>
      </c>
      <c r="AA83" s="492">
        <f t="shared" si="46"/>
        <v>1.6410811553137243</v>
      </c>
      <c r="AB83" s="492">
        <f>+AB82</f>
        <v>1.6150529263076276</v>
      </c>
      <c r="AC83" s="469" t="s">
        <v>451</v>
      </c>
      <c r="AD83" s="469" t="s">
        <v>454</v>
      </c>
      <c r="AF83" s="444">
        <f>+IF(Tabla33[[#This Row],[Amortización k | cupón de intereses]]="Amortización de K",Tabla33[[#This Row],[Valor Nominal]],0)</f>
        <v>0</v>
      </c>
      <c r="AG83" s="444">
        <f>+IF(AND(Tabla33[[#This Row],[Amortización k | cupón de intereses]]="Cupón de interés",Tabla33[[#This Row],[Estado]]="Vigente"),Tabla33[[#This Row],[Valor Nominal]],0)</f>
        <v>6396.98</v>
      </c>
      <c r="AH83" s="444">
        <f>+IF(Tabla33[[#This Row],[Amortización k | cupón de intereses]]="Amortización de K",SUMIFS($AG$7:$AG$418,Tabla33[Código Emisión],Tabla33[[#This Row],[Código Emisión]],Tabla33[Fecha de operación],Tabla33[[#This Row],[Fecha de operación]]),0)-Tabla33[[#This Row],[Accrued]]*Tabla33[[#This Row],[Valor Nominal]]</f>
        <v>0</v>
      </c>
      <c r="AI83" s="444">
        <f>+IF(Tabla33[[#This Row],[Amortización k | cupón de intereses]]="Amortización de K",IF(Tabla33[[#This Row],[Precio Clean]]&gt;1,Tabla33[[#This Row],[Valor Nominal]]*(Tabla33[[#This Row],[Precio Clean]]-1),0),0)</f>
        <v>0</v>
      </c>
      <c r="AJ83" s="444">
        <f>+IF(Tabla33[[#This Row],[Amortización k | cupón de intereses]]="Amortización de K",IF(Tabla33[[#This Row],[Precio Clean]]&lt;1,Tabla33[[#This Row],[Valor Nominal]]*(Tabla33[[#This Row],[Precio Clean]]-1),0),0)</f>
        <v>0</v>
      </c>
    </row>
    <row r="84" spans="1:43">
      <c r="A84" s="519"/>
      <c r="B84" s="520" t="s">
        <v>485</v>
      </c>
      <c r="C84" s="437" t="str">
        <f>+C83</f>
        <v>BNF_6,45%_200927_BB1790-1794_200K</v>
      </c>
      <c r="D84" s="520" t="s">
        <v>453</v>
      </c>
      <c r="E84" s="437" t="str">
        <f>+E83</f>
        <v>AA+py</v>
      </c>
      <c r="F84" s="520" t="s">
        <v>297</v>
      </c>
      <c r="G84" s="520" t="s">
        <v>298</v>
      </c>
      <c r="H84" s="520">
        <v>1</v>
      </c>
      <c r="I84" s="521">
        <v>6503.01</v>
      </c>
      <c r="J84" s="522"/>
      <c r="K84" s="524"/>
      <c r="L84" s="522"/>
      <c r="M84" s="523"/>
      <c r="N84" s="523"/>
      <c r="O84" s="522">
        <f t="shared" si="45"/>
        <v>6.446408927440643E-2</v>
      </c>
      <c r="P84" s="522">
        <f t="shared" si="45"/>
        <v>6.3457801253336221E-2</v>
      </c>
      <c r="Q84" s="524">
        <f t="shared" si="45"/>
        <v>45847</v>
      </c>
      <c r="R84" s="524">
        <v>45919</v>
      </c>
      <c r="S84" s="520" t="s">
        <v>146</v>
      </c>
      <c r="T84" s="525">
        <f>Tabla33[[#This Row],[Cantidad]]*Tabla33[[#This Row],[Cortes]]</f>
        <v>6503.01</v>
      </c>
      <c r="U84" s="526" t="b">
        <f t="shared" si="36"/>
        <v>0</v>
      </c>
      <c r="V84" s="526" t="b">
        <f t="shared" si="37"/>
        <v>0</v>
      </c>
      <c r="W84" s="526">
        <f>IF(Tabla33[[#This Row],[Fecha de operación]]=$C$1,0,U84-V84)</f>
        <v>0</v>
      </c>
      <c r="X84" s="528" t="str">
        <f t="shared" si="20"/>
        <v>Vencido</v>
      </c>
      <c r="Y84" s="528" t="s">
        <v>450</v>
      </c>
      <c r="Z84" s="528">
        <f t="shared" si="21"/>
        <v>-102</v>
      </c>
      <c r="AA84" s="492">
        <f t="shared" si="46"/>
        <v>1.6410811553137243</v>
      </c>
      <c r="AB84" s="445">
        <f>+AB83</f>
        <v>1.6150529263076276</v>
      </c>
      <c r="AC84" s="528" t="s">
        <v>451</v>
      </c>
      <c r="AD84" s="528" t="s">
        <v>454</v>
      </c>
      <c r="AF84" s="444">
        <f>+IF(Tabla33[[#This Row],[Amortización k | cupón de intereses]]="Amortización de K",Tabla33[[#This Row],[Valor Nominal]],0)</f>
        <v>0</v>
      </c>
      <c r="AG84" s="444">
        <f>+IF(AND(Tabla33[[#This Row],[Amortización k | cupón de intereses]]="Cupón de interés",Tabla33[[#This Row],[Estado]]="Vigente"),Tabla33[[#This Row],[Valor Nominal]],0)</f>
        <v>0</v>
      </c>
      <c r="AH84" s="444">
        <f>+IF(Tabla33[[#This Row],[Amortización k | cupón de intereses]]="Amortización de K",SUMIFS($AG$7:$AG$418,Tabla33[Código Emisión],Tabla33[[#This Row],[Código Emisión]],Tabla33[Fecha de operación],Tabla33[[#This Row],[Fecha de operación]]),0)-Tabla33[[#This Row],[Accrued]]*Tabla33[[#This Row],[Valor Nominal]]</f>
        <v>0</v>
      </c>
      <c r="AI84" s="444">
        <f>+IF(Tabla33[[#This Row],[Amortización k | cupón de intereses]]="Amortización de K",IF(Tabla33[[#This Row],[Precio Clean]]&gt;1,Tabla33[[#This Row],[Valor Nominal]]*(Tabla33[[#This Row],[Precio Clean]]-1),0),0)</f>
        <v>0</v>
      </c>
      <c r="AJ84" s="444">
        <f>+IF(Tabla33[[#This Row],[Amortización k | cupón de intereses]]="Amortización de K",IF(Tabla33[[#This Row],[Precio Clean]]&lt;1,Tabla33[[#This Row],[Valor Nominal]]*(Tabla33[[#This Row],[Precio Clean]]-1),0),0)</f>
        <v>0</v>
      </c>
    </row>
    <row r="85" spans="1:43" ht="15">
      <c r="A85" s="554">
        <f>+A79+1</f>
        <v>10</v>
      </c>
      <c r="B85" s="555" t="s">
        <v>500</v>
      </c>
      <c r="C85" s="555" t="s">
        <v>501</v>
      </c>
      <c r="D85" s="555" t="s">
        <v>466</v>
      </c>
      <c r="E85" s="555" t="s">
        <v>561</v>
      </c>
      <c r="F85" s="555" t="s">
        <v>502</v>
      </c>
      <c r="G85" s="555" t="s">
        <v>401</v>
      </c>
      <c r="H85" s="555">
        <v>250</v>
      </c>
      <c r="I85" s="556">
        <v>1000</v>
      </c>
      <c r="J85" s="593">
        <v>5.1249999999999997E-2</v>
      </c>
      <c r="K85" s="479">
        <f>_xlfn.MAXIFS(R:R,C:C,C85,AD:AD,"Cupón de interés",X:X,"Vencido")</f>
        <v>45930</v>
      </c>
      <c r="L85" s="478">
        <f>+Tabla33[[#This Row],[Tasa de Interés]]*($U$5-Tabla33[[#This Row],[Last coupon]])/360</f>
        <v>1.295486111111111E-2</v>
      </c>
      <c r="M85" s="480">
        <f>+Tabla33[[#This Row],[Precio Dirty]]-Tabla33[[#This Row],[Accrued]]</f>
        <v>0.98231138481516889</v>
      </c>
      <c r="N85" s="481">
        <f>SUMIFS(U:U,C:C,C85,Q:Q,Q85)/SUMIFS(T:T,C:C,C85,Q:Q,Q85,AD:AD,"Amortización de K")</f>
        <v>0.99526624592627999</v>
      </c>
      <c r="O85" s="557">
        <v>6.7143157124519362E-2</v>
      </c>
      <c r="P85" s="557">
        <v>6.6052426367268602E-2</v>
      </c>
      <c r="Q85" s="558">
        <v>45854</v>
      </c>
      <c r="R85" s="558">
        <v>46477</v>
      </c>
      <c r="S85" s="559" t="s">
        <v>146</v>
      </c>
      <c r="T85" s="560">
        <f>Tabla33[[#This Row],[Cantidad]]*Tabla33[[#This Row],[Cortes]]</f>
        <v>250000</v>
      </c>
      <c r="U85" s="561">
        <f>IF(X85="VIgente",(T85/(1+O85)^((R85-$U$5)/365)))</f>
        <v>230505.33655018097</v>
      </c>
      <c r="V85" s="561">
        <f>IF(X85="VIgente",(T85/(1+O85)^((R85-$V$5)/365)))</f>
        <v>230464.30069774931</v>
      </c>
      <c r="W85" s="562">
        <f>IF(Tabla33[[#This Row],[Fecha de operación]]=$C$1,0,U85-V85)</f>
        <v>41.0358524316689</v>
      </c>
      <c r="X85" s="563" t="str">
        <f t="shared" si="20"/>
        <v>Vigente</v>
      </c>
      <c r="Y85" s="564" t="s">
        <v>488</v>
      </c>
      <c r="Z85" s="564">
        <f t="shared" si="21"/>
        <v>456</v>
      </c>
      <c r="AA85" s="556">
        <f>IF(Y85="Mensual",DURATION($C$1,$C$1+Z85*12,J85/12,O85/12,1)/12,DURATION($C$1,R85,J85,O85,IF(Y85="Cupón cero",1,IF(Y85="Al vencimiento",1,IF(Y85="Anual",1,IF(Y85="Semestral",2,IF(Y85="Trimestral",4,"")))))))</f>
        <v>1.2123736583859175</v>
      </c>
      <c r="AB85" s="556">
        <f>IF(Y85="Mensual",MDURATION($C$1,$C$1+Z85*12,J85/12,O85/12,1)/12,MDURATION($C$1,R85,J85,O85,IF(Y85="Cupón cero",1,IF(Y85="Al vencimiento",1,IF(Y85="Anual",1,IF(Y85="Semestral",2,IF(Y85="Trimestral",4,"")))))))</f>
        <v>1.1729943852291089</v>
      </c>
      <c r="AC85" s="564" t="s">
        <v>451</v>
      </c>
      <c r="AD85" s="564" t="s">
        <v>452</v>
      </c>
      <c r="AF85" s="444">
        <f>+IF(Tabla33[[#This Row],[Amortización k | cupón de intereses]]="Amortización de K",Tabla33[[#This Row],[Valor Nominal]],0)</f>
        <v>250000</v>
      </c>
      <c r="AG85" s="444">
        <f>+IF(AND(Tabla33[[#This Row],[Amortización k | cupón de intereses]]="Cupón de interés",Tabla33[[#This Row],[Estado]]="Vigente"),Tabla33[[#This Row],[Valor Nominal]],0)</f>
        <v>0</v>
      </c>
      <c r="AH85" s="444">
        <f>+IF(Tabla33[[#This Row],[Amortización k | cupón de intereses]]="Amortización de K",SUMIFS($AG$7:$AG$418,Tabla33[Código Emisión],Tabla33[[#This Row],[Código Emisión]],Tabla33[Fecha de operación],Tabla33[[#This Row],[Fecha de operación]]),0)-Tabla33[[#This Row],[Accrued]]*Tabla33[[#This Row],[Valor Nominal]]</f>
        <v>15980.034722222223</v>
      </c>
      <c r="AI85" s="444">
        <f>+IF(Tabla33[[#This Row],[Amortización k | cupón de intereses]]="Amortización de K",IF(Tabla33[[#This Row],[Precio Clean]]&gt;1,Tabla33[[#This Row],[Valor Nominal]]*(Tabla33[[#This Row],[Precio Clean]]-1),0),0)</f>
        <v>0</v>
      </c>
      <c r="AJ85" s="444">
        <f>+IF(Tabla33[[#This Row],[Amortización k | cupón de intereses]]="Amortización de K",IF(Tabla33[[#This Row],[Precio Clean]]&lt;1,Tabla33[[#This Row],[Valor Nominal]]*(Tabla33[[#This Row],[Precio Clean]]-1),0),0)</f>
        <v>-4422.1537962077782</v>
      </c>
    </row>
    <row r="86" spans="1:43">
      <c r="A86" s="565"/>
      <c r="B86" s="566" t="str">
        <f t="shared" ref="B86:H89" si="47">+B85</f>
        <v>Globo Comunicacao e Participacoes S.A.</v>
      </c>
      <c r="C86" s="566" t="str">
        <f t="shared" si="47"/>
        <v>USP47777AA86</v>
      </c>
      <c r="D86" s="566" t="str">
        <f t="shared" si="47"/>
        <v>Bonos en el exterior</v>
      </c>
      <c r="E86" s="566" t="str">
        <f t="shared" si="47"/>
        <v>BB+ Internacional</v>
      </c>
      <c r="F86" s="566" t="str">
        <f t="shared" si="47"/>
        <v>Medios y telecomunicaciones</v>
      </c>
      <c r="G86" s="566" t="str">
        <f t="shared" si="47"/>
        <v>Brasil</v>
      </c>
      <c r="H86" s="566">
        <f>+H85</f>
        <v>250</v>
      </c>
      <c r="I86" s="567">
        <f>2.5625*10</f>
        <v>25.625</v>
      </c>
      <c r="J86" s="568"/>
      <c r="K86" s="566"/>
      <c r="L86" s="569"/>
      <c r="M86" s="570"/>
      <c r="N86" s="570"/>
      <c r="O86" s="568">
        <f t="shared" ref="O86:Q89" si="48">+O85</f>
        <v>6.7143157124519362E-2</v>
      </c>
      <c r="P86" s="568">
        <f t="shared" si="48"/>
        <v>6.6052426367268602E-2</v>
      </c>
      <c r="Q86" s="571">
        <f t="shared" si="48"/>
        <v>45854</v>
      </c>
      <c r="R86" s="571">
        <v>46477</v>
      </c>
      <c r="S86" s="572" t="s">
        <v>146</v>
      </c>
      <c r="T86" s="560">
        <f>Tabla33[[#This Row],[Cantidad]]*Tabla33[[#This Row],[Cortes]]</f>
        <v>6406.25</v>
      </c>
      <c r="U86" s="561">
        <f>IF(X86="VIgente",(T86/(1+O86)^((R86-$U$5)/365)))</f>
        <v>5906.6992490983876</v>
      </c>
      <c r="V86" s="561">
        <f>IF(X86="VIgente",(T86/(1+O86)^((R86-$V$5)/365)))</f>
        <v>5905.6477053798253</v>
      </c>
      <c r="W86" s="562">
        <f>IF(Tabla33[[#This Row],[Fecha de operación]]=$C$1,0,U86-V86)</f>
        <v>1.0515437185622432</v>
      </c>
      <c r="X86" s="573" t="str">
        <f t="shared" si="20"/>
        <v>Vigente</v>
      </c>
      <c r="Y86" s="574"/>
      <c r="Z86" s="574">
        <f t="shared" si="21"/>
        <v>456</v>
      </c>
      <c r="AA86" s="567">
        <f t="shared" ref="AA86:AB89" si="49">AA85</f>
        <v>1.2123736583859175</v>
      </c>
      <c r="AB86" s="567">
        <f t="shared" si="49"/>
        <v>1.1729943852291089</v>
      </c>
      <c r="AC86" s="574" t="str">
        <f t="shared" ref="AC86:AC96" si="50">+AC85</f>
        <v>Familiar CB</v>
      </c>
      <c r="AD86" s="574" t="s">
        <v>454</v>
      </c>
      <c r="AF86" s="444">
        <f>+IF(Tabla33[[#This Row],[Amortización k | cupón de intereses]]="Amortización de K",Tabla33[[#This Row],[Valor Nominal]],0)</f>
        <v>0</v>
      </c>
      <c r="AG86" s="444">
        <f>+IF(AND(Tabla33[[#This Row],[Amortización k | cupón de intereses]]="Cupón de interés",Tabla33[[#This Row],[Estado]]="Vigente"),Tabla33[[#This Row],[Valor Nominal]],0)</f>
        <v>6406.25</v>
      </c>
      <c r="AH86" s="444">
        <f>+IF(Tabla33[[#This Row],[Amortización k | cupón de intereses]]="Amortización de K",SUMIFS($AG$7:$AG$418,Tabla33[Código Emisión],Tabla33[[#This Row],[Código Emisión]],Tabla33[Fecha de operación],Tabla33[[#This Row],[Fecha de operación]]),0)-Tabla33[[#This Row],[Accrued]]*Tabla33[[#This Row],[Valor Nominal]]</f>
        <v>0</v>
      </c>
      <c r="AI86" s="444">
        <f>+IF(Tabla33[[#This Row],[Amortización k | cupón de intereses]]="Amortización de K",IF(Tabla33[[#This Row],[Precio Clean]]&gt;1,Tabla33[[#This Row],[Valor Nominal]]*(Tabla33[[#This Row],[Precio Clean]]-1),0),0)</f>
        <v>0</v>
      </c>
      <c r="AJ86" s="444">
        <f>+IF(Tabla33[[#This Row],[Amortización k | cupón de intereses]]="Amortización de K",IF(Tabla33[[#This Row],[Precio Clean]]&lt;1,Tabla33[[#This Row],[Valor Nominal]]*(Tabla33[[#This Row],[Precio Clean]]-1),0),0)</f>
        <v>0</v>
      </c>
    </row>
    <row r="87" spans="1:43">
      <c r="A87" s="565"/>
      <c r="B87" s="566" t="str">
        <f t="shared" si="47"/>
        <v>Globo Comunicacao e Participacoes S.A.</v>
      </c>
      <c r="C87" s="566" t="str">
        <f t="shared" si="47"/>
        <v>USP47777AA86</v>
      </c>
      <c r="D87" s="566" t="str">
        <f t="shared" si="47"/>
        <v>Bonos en el exterior</v>
      </c>
      <c r="E87" s="566" t="str">
        <f t="shared" si="47"/>
        <v>BB+ Internacional</v>
      </c>
      <c r="F87" s="566" t="str">
        <f t="shared" si="47"/>
        <v>Medios y telecomunicaciones</v>
      </c>
      <c r="G87" s="566" t="str">
        <f t="shared" si="47"/>
        <v>Brasil</v>
      </c>
      <c r="H87" s="566">
        <f t="shared" si="47"/>
        <v>250</v>
      </c>
      <c r="I87" s="567">
        <f t="shared" ref="I87:I89" si="51">2.5625*10</f>
        <v>25.625</v>
      </c>
      <c r="J87" s="568"/>
      <c r="K87" s="566"/>
      <c r="L87" s="569"/>
      <c r="M87" s="570"/>
      <c r="N87" s="570"/>
      <c r="O87" s="568">
        <f t="shared" si="48"/>
        <v>6.7143157124519362E-2</v>
      </c>
      <c r="P87" s="568">
        <f t="shared" si="48"/>
        <v>6.6052426367268602E-2</v>
      </c>
      <c r="Q87" s="571">
        <f t="shared" si="48"/>
        <v>45854</v>
      </c>
      <c r="R87" s="571">
        <v>46295</v>
      </c>
      <c r="S87" s="572" t="s">
        <v>146</v>
      </c>
      <c r="T87" s="560">
        <f>Tabla33[[#This Row],[Cantidad]]*Tabla33[[#This Row],[Cortes]]</f>
        <v>6406.25</v>
      </c>
      <c r="U87" s="561">
        <f>IF(X87="VIgente",(T87/(1+O87)^((R87-$U$5)/365)))</f>
        <v>6101.2319974227457</v>
      </c>
      <c r="V87" s="561">
        <f>IF(X87="VIgente",(T87/(1+O87)^((R87-$V$5)/365)))</f>
        <v>6100.1458218936023</v>
      </c>
      <c r="W87" s="562">
        <f>IF(Tabla33[[#This Row],[Fecha de operación]]=$C$1,0,U87-V87)</f>
        <v>1.0861755291434747</v>
      </c>
      <c r="X87" s="573" t="str">
        <f t="shared" si="20"/>
        <v>Vigente</v>
      </c>
      <c r="Y87" s="574"/>
      <c r="Z87" s="574">
        <f t="shared" si="21"/>
        <v>274</v>
      </c>
      <c r="AA87" s="567">
        <f t="shared" si="49"/>
        <v>1.2123736583859175</v>
      </c>
      <c r="AB87" s="567">
        <f t="shared" si="49"/>
        <v>1.1729943852291089</v>
      </c>
      <c r="AC87" s="574" t="str">
        <f t="shared" si="50"/>
        <v>Familiar CB</v>
      </c>
      <c r="AD87" s="574" t="s">
        <v>454</v>
      </c>
      <c r="AF87" s="444">
        <f>+IF(Tabla33[[#This Row],[Amortización k | cupón de intereses]]="Amortización de K",Tabla33[[#This Row],[Valor Nominal]],0)</f>
        <v>0</v>
      </c>
      <c r="AG87" s="444">
        <f>+IF(AND(Tabla33[[#This Row],[Amortización k | cupón de intereses]]="Cupón de interés",Tabla33[[#This Row],[Estado]]="Vigente"),Tabla33[[#This Row],[Valor Nominal]],0)</f>
        <v>6406.25</v>
      </c>
      <c r="AH87" s="444">
        <f>+IF(Tabla33[[#This Row],[Amortización k | cupón de intereses]]="Amortización de K",SUMIFS($AG$7:$AG$418,Tabla33[Código Emisión],Tabla33[[#This Row],[Código Emisión]],Tabla33[Fecha de operación],Tabla33[[#This Row],[Fecha de operación]]),0)-Tabla33[[#This Row],[Accrued]]*Tabla33[[#This Row],[Valor Nominal]]</f>
        <v>0</v>
      </c>
      <c r="AI87" s="444">
        <f>+IF(Tabla33[[#This Row],[Amortización k | cupón de intereses]]="Amortización de K",IF(Tabla33[[#This Row],[Precio Clean]]&gt;1,Tabla33[[#This Row],[Valor Nominal]]*(Tabla33[[#This Row],[Precio Clean]]-1),0),0)</f>
        <v>0</v>
      </c>
      <c r="AJ87" s="444">
        <f>+IF(Tabla33[[#This Row],[Amortización k | cupón de intereses]]="Amortización de K",IF(Tabla33[[#This Row],[Precio Clean]]&lt;1,Tabla33[[#This Row],[Valor Nominal]]*(Tabla33[[#This Row],[Precio Clean]]-1),0),0)</f>
        <v>0</v>
      </c>
    </row>
    <row r="88" spans="1:43">
      <c r="A88" s="565"/>
      <c r="B88" s="566" t="str">
        <f t="shared" si="47"/>
        <v>Globo Comunicacao e Participacoes S.A.</v>
      </c>
      <c r="C88" s="566" t="str">
        <f t="shared" si="47"/>
        <v>USP47777AA86</v>
      </c>
      <c r="D88" s="566" t="str">
        <f t="shared" si="47"/>
        <v>Bonos en el exterior</v>
      </c>
      <c r="E88" s="566" t="str">
        <f t="shared" si="47"/>
        <v>BB+ Internacional</v>
      </c>
      <c r="F88" s="566" t="str">
        <f t="shared" si="47"/>
        <v>Medios y telecomunicaciones</v>
      </c>
      <c r="G88" s="566" t="str">
        <f t="shared" si="47"/>
        <v>Brasil</v>
      </c>
      <c r="H88" s="566">
        <f t="shared" si="47"/>
        <v>250</v>
      </c>
      <c r="I88" s="567">
        <f t="shared" si="51"/>
        <v>25.625</v>
      </c>
      <c r="J88" s="568"/>
      <c r="K88" s="566"/>
      <c r="L88" s="569"/>
      <c r="M88" s="570"/>
      <c r="N88" s="570"/>
      <c r="O88" s="568">
        <f t="shared" si="48"/>
        <v>6.7143157124519362E-2</v>
      </c>
      <c r="P88" s="568">
        <f t="shared" si="48"/>
        <v>6.6052426367268602E-2</v>
      </c>
      <c r="Q88" s="571">
        <f t="shared" si="48"/>
        <v>45854</v>
      </c>
      <c r="R88" s="571">
        <v>46112</v>
      </c>
      <c r="S88" s="572" t="s">
        <v>146</v>
      </c>
      <c r="T88" s="560">
        <f>Tabla33[[#This Row],[Cantidad]]*Tabla33[[#This Row],[Cortes]]</f>
        <v>6406.25</v>
      </c>
      <c r="U88" s="561">
        <f>IF(X88="VIgente",(T88/(1+O88)^((R88-$U$5)/365)))</f>
        <v>6303.2936848678801</v>
      </c>
      <c r="V88" s="561">
        <f>IF(X88="VIgente",(T88/(1+O88)^((R88-$V$5)/365)))</f>
        <v>6302.1715371842001</v>
      </c>
      <c r="W88" s="562">
        <f>IF(Tabla33[[#This Row],[Fecha de operación]]=$C$1,0,U88-V88)</f>
        <v>1.1221476836799411</v>
      </c>
      <c r="X88" s="573" t="str">
        <f t="shared" si="20"/>
        <v>Vigente</v>
      </c>
      <c r="Y88" s="574"/>
      <c r="Z88" s="574">
        <f t="shared" si="21"/>
        <v>91</v>
      </c>
      <c r="AA88" s="567">
        <f t="shared" si="49"/>
        <v>1.2123736583859175</v>
      </c>
      <c r="AB88" s="567">
        <f t="shared" si="49"/>
        <v>1.1729943852291089</v>
      </c>
      <c r="AC88" s="574" t="str">
        <f t="shared" si="50"/>
        <v>Familiar CB</v>
      </c>
      <c r="AD88" s="574" t="s">
        <v>454</v>
      </c>
      <c r="AF88" s="444">
        <f>+IF(Tabla33[[#This Row],[Amortización k | cupón de intereses]]="Amortización de K",Tabla33[[#This Row],[Valor Nominal]],0)</f>
        <v>0</v>
      </c>
      <c r="AG88" s="444">
        <f>+IF(AND(Tabla33[[#This Row],[Amortización k | cupón de intereses]]="Cupón de interés",Tabla33[[#This Row],[Estado]]="Vigente"),Tabla33[[#This Row],[Valor Nominal]],0)</f>
        <v>6406.25</v>
      </c>
      <c r="AH88" s="444">
        <f>+IF(Tabla33[[#This Row],[Amortización k | cupón de intereses]]="Amortización de K",SUMIFS($AG$7:$AG$418,Tabla33[Código Emisión],Tabla33[[#This Row],[Código Emisión]],Tabla33[Fecha de operación],Tabla33[[#This Row],[Fecha de operación]]),0)-Tabla33[[#This Row],[Accrued]]*Tabla33[[#This Row],[Valor Nominal]]</f>
        <v>0</v>
      </c>
      <c r="AI88" s="444">
        <f>+IF(Tabla33[[#This Row],[Amortización k | cupón de intereses]]="Amortización de K",IF(Tabla33[[#This Row],[Precio Clean]]&gt;1,Tabla33[[#This Row],[Valor Nominal]]*(Tabla33[[#This Row],[Precio Clean]]-1),0),0)</f>
        <v>0</v>
      </c>
      <c r="AJ88" s="444">
        <f>+IF(Tabla33[[#This Row],[Amortización k | cupón de intereses]]="Amortización de K",IF(Tabla33[[#This Row],[Precio Clean]]&lt;1,Tabla33[[#This Row],[Valor Nominal]]*(Tabla33[[#This Row],[Precio Clean]]-1),0),0)</f>
        <v>0</v>
      </c>
    </row>
    <row r="89" spans="1:43">
      <c r="A89" s="565"/>
      <c r="B89" s="566" t="str">
        <f t="shared" si="47"/>
        <v>Globo Comunicacao e Participacoes S.A.</v>
      </c>
      <c r="C89" s="566" t="str">
        <f t="shared" si="47"/>
        <v>USP47777AA86</v>
      </c>
      <c r="D89" s="566" t="str">
        <f t="shared" si="47"/>
        <v>Bonos en el exterior</v>
      </c>
      <c r="E89" s="566" t="str">
        <f t="shared" si="47"/>
        <v>BB+ Internacional</v>
      </c>
      <c r="F89" s="566" t="str">
        <f t="shared" si="47"/>
        <v>Medios y telecomunicaciones</v>
      </c>
      <c r="G89" s="566" t="str">
        <f t="shared" si="47"/>
        <v>Brasil</v>
      </c>
      <c r="H89" s="566">
        <f t="shared" si="47"/>
        <v>250</v>
      </c>
      <c r="I89" s="567">
        <f t="shared" si="51"/>
        <v>25.625</v>
      </c>
      <c r="J89" s="568"/>
      <c r="K89" s="566"/>
      <c r="L89" s="569"/>
      <c r="M89" s="570"/>
      <c r="N89" s="570"/>
      <c r="O89" s="568">
        <f t="shared" si="48"/>
        <v>6.7143157124519362E-2</v>
      </c>
      <c r="P89" s="568">
        <f t="shared" si="48"/>
        <v>6.6052426367268602E-2</v>
      </c>
      <c r="Q89" s="571">
        <f t="shared" si="48"/>
        <v>45854</v>
      </c>
      <c r="R89" s="571">
        <v>45930</v>
      </c>
      <c r="S89" s="572" t="s">
        <v>146</v>
      </c>
      <c r="T89" s="560">
        <f>Tabla33[[#This Row],[Cantidad]]*Tabla33[[#This Row],[Cortes]]</f>
        <v>6406.25</v>
      </c>
      <c r="U89" s="561" t="b">
        <f>IF(X89="VIgente",(T89/(1+O89)^((R89-$U$5)/365)))</f>
        <v>0</v>
      </c>
      <c r="V89" s="561" t="b">
        <f>IF(X89="VIgente",(T89/(1+O89)^((R89-$V$5)/365)))</f>
        <v>0</v>
      </c>
      <c r="W89" s="562">
        <f>IF(Tabla33[[#This Row],[Fecha de operación]]=$C$1,0,U89-V89)</f>
        <v>0</v>
      </c>
      <c r="X89" s="573" t="str">
        <f t="shared" si="20"/>
        <v>Vencido</v>
      </c>
      <c r="Y89" s="574"/>
      <c r="Z89" s="574">
        <f t="shared" si="21"/>
        <v>-91</v>
      </c>
      <c r="AA89" s="567">
        <f t="shared" si="49"/>
        <v>1.2123736583859175</v>
      </c>
      <c r="AB89" s="567">
        <f t="shared" si="49"/>
        <v>1.1729943852291089</v>
      </c>
      <c r="AC89" s="574" t="str">
        <f t="shared" si="50"/>
        <v>Familiar CB</v>
      </c>
      <c r="AD89" s="574" t="s">
        <v>454</v>
      </c>
      <c r="AF89" s="444">
        <f>+IF(Tabla33[[#This Row],[Amortización k | cupón de intereses]]="Amortización de K",Tabla33[[#This Row],[Valor Nominal]],0)</f>
        <v>0</v>
      </c>
      <c r="AG89" s="444">
        <f>+IF(AND(Tabla33[[#This Row],[Amortización k | cupón de intereses]]="Cupón de interés",Tabla33[[#This Row],[Estado]]="Vigente"),Tabla33[[#This Row],[Valor Nominal]],0)</f>
        <v>0</v>
      </c>
      <c r="AH89" s="444">
        <f>+IF(Tabla33[[#This Row],[Amortización k | cupón de intereses]]="Amortización de K",SUMIFS($AG$7:$AG$418,Tabla33[Código Emisión],Tabla33[[#This Row],[Código Emisión]],Tabla33[Fecha de operación],Tabla33[[#This Row],[Fecha de operación]]),0)-Tabla33[[#This Row],[Accrued]]*Tabla33[[#This Row],[Valor Nominal]]</f>
        <v>0</v>
      </c>
      <c r="AI89" s="444">
        <f>+IF(Tabla33[[#This Row],[Amortización k | cupón de intereses]]="Amortización de K",IF(Tabla33[[#This Row],[Precio Clean]]&gt;1,Tabla33[[#This Row],[Valor Nominal]]*(Tabla33[[#This Row],[Precio Clean]]-1),0),0)</f>
        <v>0</v>
      </c>
      <c r="AJ89" s="444">
        <f>+IF(Tabla33[[#This Row],[Amortización k | cupón de intereses]]="Amortización de K",IF(Tabla33[[#This Row],[Precio Clean]]&lt;1,Tabla33[[#This Row],[Valor Nominal]]*(Tabla33[[#This Row],[Precio Clean]]-1),0),0)</f>
        <v>0</v>
      </c>
      <c r="AP89" s="520"/>
      <c r="AQ89" s="594"/>
    </row>
    <row r="90" spans="1:43" s="520" customFormat="1" ht="15">
      <c r="A90" s="500">
        <f>+A85+1</f>
        <v>11</v>
      </c>
      <c r="B90" s="475" t="s">
        <v>494</v>
      </c>
      <c r="C90" s="475" t="s">
        <v>499</v>
      </c>
      <c r="D90" s="475" t="s">
        <v>453</v>
      </c>
      <c r="E90" s="475" t="s">
        <v>496</v>
      </c>
      <c r="F90" s="475" t="s">
        <v>297</v>
      </c>
      <c r="G90" s="475" t="s">
        <v>298</v>
      </c>
      <c r="H90" s="515">
        <f>2-1</f>
        <v>1</v>
      </c>
      <c r="I90" s="477">
        <v>50000</v>
      </c>
      <c r="J90" s="478">
        <v>6.4000000000000001E-2</v>
      </c>
      <c r="K90" s="479">
        <f>_xlfn.MAXIFS(R:R,C:C,C90,AD:AD,"Cupón de interés",X:X,"Vencido")</f>
        <v>46021</v>
      </c>
      <c r="L90" s="478">
        <f>+Tabla33[[#This Row],[Tasa de Interés]]*($U$5-Tabla33[[#This Row],[Last coupon]])/365</f>
        <v>0</v>
      </c>
      <c r="M90" s="480">
        <f>+Tabla33[[#This Row],[Precio Dirty]]-Tabla33[[#This Row],[Accrued]]</f>
        <v>1.0000102770368633</v>
      </c>
      <c r="N90" s="481">
        <f>SUMIFS(U:U,C:C,C90,Q:Q,Q90)/SUMIFS(T:T,C:C,C90,Q:Q,Q90,AD:AD,"Amortización de K")</f>
        <v>1.0000102770368633</v>
      </c>
      <c r="O90" s="482">
        <v>6.5533801899999994E-2</v>
      </c>
      <c r="P90" s="482">
        <f>+NOMINAL(Tabla33[[#This Row],[YTM]],4)</f>
        <v>6.3982219436948817E-2</v>
      </c>
      <c r="Q90" s="484">
        <v>45860</v>
      </c>
      <c r="R90" s="484">
        <v>46391</v>
      </c>
      <c r="S90" s="504" t="s">
        <v>146</v>
      </c>
      <c r="T90" s="505">
        <f>Tabla33[[#This Row],[Cantidad]]*Tabla33[[#This Row],[Cortes]]</f>
        <v>50000</v>
      </c>
      <c r="U90" s="506">
        <f t="shared" ref="U90:U153" si="52">IF(X90="VIgente",(T90/(1+O90)^((R90-$U$5)/365)))</f>
        <v>46884.052074657557</v>
      </c>
      <c r="V90" s="506">
        <f t="shared" ref="V90:V153" si="53">IF(X90="VIgente",(T90/(1+O90)^((R90-$V$5)/365)))</f>
        <v>46875.899339160329</v>
      </c>
      <c r="W90" s="487">
        <f>IF(Tabla33[[#This Row],[Fecha de operación]]=$C$1,0,U90-V90)</f>
        <v>8.1527354972276953</v>
      </c>
      <c r="X90" s="507" t="str">
        <f t="shared" si="20"/>
        <v>Vigente</v>
      </c>
      <c r="Y90" s="489" t="s">
        <v>450</v>
      </c>
      <c r="Z90" s="488">
        <f t="shared" si="21"/>
        <v>370</v>
      </c>
      <c r="AA90" s="508">
        <f>IF(Y90="Mensual",DURATION($C$1,$C$1+Z90*12,J90/12,O90/12,1)/12,DURATION($C$1,R90,J90,O90,IF(Y90="Cupón cero",1,IF(Y90="Al vencimiento",1,IF(Y90="Anual",1,IF(Y90="Semestral",2,IF(Y90="Trimestral",4,"")))))))</f>
        <v>0.97231430750286929</v>
      </c>
      <c r="AB90" s="508">
        <f>IF(Y90="Mensual",MDURATION($C$1,$C$1+Z90*12,J90/12,O90/12,1)/12,MDURATION($C$1,R90,J90,O90,IF(Y90="Cupón cero",1,IF(Y90="Al vencimiento",1,IF(Y90="Anual",1,IF(Y90="Semestral",2,IF(Y90="Trimestral",4,"")))))))</f>
        <v>0.95664122339700108</v>
      </c>
      <c r="AC90" s="488" t="s">
        <v>451</v>
      </c>
      <c r="AD90" s="488" t="s">
        <v>452</v>
      </c>
      <c r="AF90" s="444">
        <f>+IF(Tabla33[[#This Row],[Amortización k | cupón de intereses]]="Amortización de K",Tabla33[[#This Row],[Valor Nominal]],0)</f>
        <v>50000</v>
      </c>
      <c r="AG90" s="444">
        <f>+IF(AND(Tabla33[[#This Row],[Amortización k | cupón de intereses]]="Cupón de interés",Tabla33[[#This Row],[Estado]]="Vigente"),Tabla33[[#This Row],[Valor Nominal]],0)</f>
        <v>0</v>
      </c>
      <c r="AH90" s="444">
        <f>+IF(Tabla33[[#This Row],[Amortización k | cupón de intereses]]="Amortización de K",SUMIFS($AG$7:$AG$418,Tabla33[Código Emisión],Tabla33[[#This Row],[Código Emisión]],Tabla33[Fecha de operación],Tabla33[[#This Row],[Fecha de operación]]),0)-Tabla33[[#This Row],[Accrued]]*Tabla33[[#This Row],[Valor Nominal]]</f>
        <v>3243.8399999999997</v>
      </c>
      <c r="AI90" s="444">
        <f>+IF(Tabla33[[#This Row],[Amortización k | cupón de intereses]]="Amortización de K",IF(Tabla33[[#This Row],[Precio Clean]]&gt;1,Tabla33[[#This Row],[Valor Nominal]]*(Tabla33[[#This Row],[Precio Clean]]-1),0),0)</f>
        <v>0.51385184316465882</v>
      </c>
      <c r="AJ90" s="444">
        <f>+IF(Tabla33[[#This Row],[Amortización k | cupón de intereses]]="Amortización de K",IF(Tabla33[[#This Row],[Precio Clean]]&lt;1,Tabla33[[#This Row],[Valor Nominal]]*(Tabla33[[#This Row],[Precio Clean]]-1),0),0)</f>
        <v>0</v>
      </c>
      <c r="AP90" s="437"/>
      <c r="AQ90" s="529"/>
    </row>
    <row r="91" spans="1:43">
      <c r="A91" s="502"/>
      <c r="B91" s="437" t="str">
        <f t="shared" ref="B91:H96" si="54">+B90</f>
        <v>Solar Banco SAECA</v>
      </c>
      <c r="C91" s="437" t="str">
        <f t="shared" si="54"/>
        <v>HSAF_6,40%_04012027_AA3260-65_50K</v>
      </c>
      <c r="D91" s="437" t="str">
        <f t="shared" si="54"/>
        <v>CDA</v>
      </c>
      <c r="E91" s="437" t="str">
        <f t="shared" si="54"/>
        <v>Apy</v>
      </c>
      <c r="F91" s="437" t="str">
        <f t="shared" si="54"/>
        <v>Financiero</v>
      </c>
      <c r="G91" s="437" t="str">
        <f t="shared" si="54"/>
        <v>Paraguay</v>
      </c>
      <c r="H91" s="437">
        <f t="shared" si="54"/>
        <v>1</v>
      </c>
      <c r="I91" s="492">
        <v>859.18</v>
      </c>
      <c r="J91" s="451"/>
      <c r="L91" s="442"/>
      <c r="M91" s="493"/>
      <c r="N91" s="493"/>
      <c r="O91" s="494">
        <f t="shared" ref="O91:Q96" si="55">+O90</f>
        <v>6.5533801899999994E-2</v>
      </c>
      <c r="P91" s="494">
        <f t="shared" si="55"/>
        <v>6.3982219436948817E-2</v>
      </c>
      <c r="Q91" s="450">
        <f t="shared" si="55"/>
        <v>45860</v>
      </c>
      <c r="R91" s="450">
        <v>46391</v>
      </c>
      <c r="S91" s="509" t="s">
        <v>146</v>
      </c>
      <c r="T91" s="510">
        <f>Tabla33[[#This Row],[Cantidad]]*Tabla33[[#This Row],[Cortes]]</f>
        <v>859.18</v>
      </c>
      <c r="U91" s="511">
        <f t="shared" si="52"/>
        <v>805.63679723008556</v>
      </c>
      <c r="V91" s="511">
        <f t="shared" si="53"/>
        <v>805.4967038843954</v>
      </c>
      <c r="W91" s="497">
        <f>IF(Tabla33[[#This Row],[Fecha de operación]]=$C$1,0,U91-V91)</f>
        <v>0.14009334569016119</v>
      </c>
      <c r="X91" s="512" t="str">
        <f t="shared" si="20"/>
        <v>Vigente</v>
      </c>
      <c r="Y91" s="498"/>
      <c r="Z91" s="469">
        <f t="shared" si="21"/>
        <v>370</v>
      </c>
      <c r="AA91" s="499">
        <f t="shared" ref="AA91:AB96" si="56">AA90</f>
        <v>0.97231430750286929</v>
      </c>
      <c r="AB91" s="499">
        <f t="shared" si="56"/>
        <v>0.95664122339700108</v>
      </c>
      <c r="AC91" s="469" t="str">
        <f t="shared" si="50"/>
        <v>Familiar CB</v>
      </c>
      <c r="AD91" s="469" t="s">
        <v>454</v>
      </c>
      <c r="AF91" s="444">
        <f>+IF(Tabla33[[#This Row],[Amortización k | cupón de intereses]]="Amortización de K",Tabla33[[#This Row],[Valor Nominal]],0)</f>
        <v>0</v>
      </c>
      <c r="AG91" s="444">
        <f>+IF(AND(Tabla33[[#This Row],[Amortización k | cupón de intereses]]="Cupón de interés",Tabla33[[#This Row],[Estado]]="Vigente"),Tabla33[[#This Row],[Valor Nominal]],0)</f>
        <v>859.18</v>
      </c>
      <c r="AH91" s="444">
        <f>+IF(Tabla33[[#This Row],[Amortización k | cupón de intereses]]="Amortización de K",SUMIFS($AG$7:$AG$418,Tabla33[Código Emisión],Tabla33[[#This Row],[Código Emisión]],Tabla33[Fecha de operación],Tabla33[[#This Row],[Fecha de operación]]),0)-Tabla33[[#This Row],[Accrued]]*Tabla33[[#This Row],[Valor Nominal]]</f>
        <v>0</v>
      </c>
      <c r="AI91" s="444">
        <f>+IF(Tabla33[[#This Row],[Amortización k | cupón de intereses]]="Amortización de K",IF(Tabla33[[#This Row],[Precio Clean]]&gt;1,Tabla33[[#This Row],[Valor Nominal]]*(Tabla33[[#This Row],[Precio Clean]]-1),0),0)</f>
        <v>0</v>
      </c>
      <c r="AJ91" s="444">
        <f>+IF(Tabla33[[#This Row],[Amortización k | cupón de intereses]]="Amortización de K",IF(Tabla33[[#This Row],[Precio Clean]]&lt;1,Tabla33[[#This Row],[Valor Nominal]]*(Tabla33[[#This Row],[Precio Clean]]-1),0),0)</f>
        <v>0</v>
      </c>
    </row>
    <row r="92" spans="1:43">
      <c r="A92" s="502"/>
      <c r="B92" s="437" t="str">
        <f t="shared" si="54"/>
        <v>Solar Banco SAECA</v>
      </c>
      <c r="C92" s="437" t="str">
        <f t="shared" si="54"/>
        <v>HSAF_6,40%_04012027_AA3260-65_50K</v>
      </c>
      <c r="D92" s="437" t="str">
        <f t="shared" si="54"/>
        <v>CDA</v>
      </c>
      <c r="E92" s="437" t="str">
        <f t="shared" si="54"/>
        <v>Apy</v>
      </c>
      <c r="F92" s="437" t="str">
        <f t="shared" si="54"/>
        <v>Financiero</v>
      </c>
      <c r="G92" s="437" t="str">
        <f t="shared" si="54"/>
        <v>Paraguay</v>
      </c>
      <c r="H92" s="437">
        <f t="shared" si="54"/>
        <v>1</v>
      </c>
      <c r="I92" s="492">
        <v>797.81</v>
      </c>
      <c r="J92" s="451"/>
      <c r="L92" s="442"/>
      <c r="M92" s="493"/>
      <c r="N92" s="493"/>
      <c r="O92" s="494">
        <f t="shared" si="55"/>
        <v>6.5533801899999994E-2</v>
      </c>
      <c r="P92" s="494">
        <f t="shared" si="55"/>
        <v>6.3982219436948817E-2</v>
      </c>
      <c r="Q92" s="450">
        <f t="shared" si="55"/>
        <v>45860</v>
      </c>
      <c r="R92" s="450">
        <v>46293</v>
      </c>
      <c r="S92" s="509" t="s">
        <v>146</v>
      </c>
      <c r="T92" s="510">
        <f>Tabla33[[#This Row],[Cantidad]]*Tabla33[[#This Row],[Cortes]]</f>
        <v>797.81</v>
      </c>
      <c r="U92" s="511">
        <f t="shared" si="52"/>
        <v>760.9501793141161</v>
      </c>
      <c r="V92" s="511">
        <f t="shared" si="53"/>
        <v>760.817856588925</v>
      </c>
      <c r="W92" s="497">
        <f>IF(Tabla33[[#This Row],[Fecha de operación]]=$C$1,0,U92-V92)</f>
        <v>0.13232272519110211</v>
      </c>
      <c r="X92" s="512" t="str">
        <f t="shared" si="20"/>
        <v>Vigente</v>
      </c>
      <c r="Y92" s="498"/>
      <c r="Z92" s="469">
        <f t="shared" si="21"/>
        <v>272</v>
      </c>
      <c r="AA92" s="499">
        <f t="shared" si="56"/>
        <v>0.97231430750286929</v>
      </c>
      <c r="AB92" s="499">
        <f t="shared" si="56"/>
        <v>0.95664122339700108</v>
      </c>
      <c r="AC92" s="469" t="str">
        <f t="shared" si="50"/>
        <v>Familiar CB</v>
      </c>
      <c r="AD92" s="469" t="s">
        <v>454</v>
      </c>
      <c r="AF92" s="444">
        <f>+IF(Tabla33[[#This Row],[Amortización k | cupón de intereses]]="Amortización de K",Tabla33[[#This Row],[Valor Nominal]],0)</f>
        <v>0</v>
      </c>
      <c r="AG92" s="444">
        <f>+IF(AND(Tabla33[[#This Row],[Amortización k | cupón de intereses]]="Cupón de interés",Tabla33[[#This Row],[Estado]]="Vigente"),Tabla33[[#This Row],[Valor Nominal]],0)</f>
        <v>797.81</v>
      </c>
      <c r="AH92" s="444">
        <f>+IF(Tabla33[[#This Row],[Amortización k | cupón de intereses]]="Amortización de K",SUMIFS($AG$7:$AG$418,Tabla33[Código Emisión],Tabla33[[#This Row],[Código Emisión]],Tabla33[Fecha de operación],Tabla33[[#This Row],[Fecha de operación]]),0)-Tabla33[[#This Row],[Accrued]]*Tabla33[[#This Row],[Valor Nominal]]</f>
        <v>0</v>
      </c>
      <c r="AI92" s="444">
        <f>+IF(Tabla33[[#This Row],[Amortización k | cupón de intereses]]="Amortización de K",IF(Tabla33[[#This Row],[Precio Clean]]&gt;1,Tabla33[[#This Row],[Valor Nominal]]*(Tabla33[[#This Row],[Precio Clean]]-1),0),0)</f>
        <v>0</v>
      </c>
      <c r="AJ92" s="444">
        <f>+IF(Tabla33[[#This Row],[Amortización k | cupón de intereses]]="Amortización de K",IF(Tabla33[[#This Row],[Precio Clean]]&lt;1,Tabla33[[#This Row],[Valor Nominal]]*(Tabla33[[#This Row],[Precio Clean]]-1),0),0)</f>
        <v>0</v>
      </c>
    </row>
    <row r="93" spans="1:43">
      <c r="A93" s="502"/>
      <c r="B93" s="437" t="str">
        <f t="shared" si="54"/>
        <v>Solar Banco SAECA</v>
      </c>
      <c r="C93" s="437" t="str">
        <f t="shared" si="54"/>
        <v>HSAF_6,40%_04012027_AA3260-65_50K</v>
      </c>
      <c r="D93" s="437" t="str">
        <f t="shared" si="54"/>
        <v>CDA</v>
      </c>
      <c r="E93" s="437" t="str">
        <f t="shared" si="54"/>
        <v>Apy</v>
      </c>
      <c r="F93" s="437" t="str">
        <f t="shared" si="54"/>
        <v>Financiero</v>
      </c>
      <c r="G93" s="437" t="str">
        <f t="shared" si="54"/>
        <v>Paraguay</v>
      </c>
      <c r="H93" s="437">
        <f t="shared" si="54"/>
        <v>1</v>
      </c>
      <c r="I93" s="492">
        <v>797.81</v>
      </c>
      <c r="J93" s="451"/>
      <c r="L93" s="442"/>
      <c r="M93" s="493"/>
      <c r="N93" s="493"/>
      <c r="O93" s="494">
        <f t="shared" si="55"/>
        <v>6.5533801899999994E-2</v>
      </c>
      <c r="P93" s="494">
        <f t="shared" si="55"/>
        <v>6.3982219436948817E-2</v>
      </c>
      <c r="Q93" s="450">
        <f t="shared" si="55"/>
        <v>45860</v>
      </c>
      <c r="R93" s="450">
        <v>46202</v>
      </c>
      <c r="S93" s="509" t="s">
        <v>146</v>
      </c>
      <c r="T93" s="510">
        <f>Tabla33[[#This Row],[Cantidad]]*Tabla33[[#This Row],[Cortes]]</f>
        <v>797.81</v>
      </c>
      <c r="U93" s="511">
        <f t="shared" si="52"/>
        <v>773.08838763543588</v>
      </c>
      <c r="V93" s="511">
        <f t="shared" si="53"/>
        <v>772.95395417967723</v>
      </c>
      <c r="W93" s="497">
        <f>IF(Tabla33[[#This Row],[Fecha de operación]]=$C$1,0,U93-V93)</f>
        <v>0.13443345575865351</v>
      </c>
      <c r="X93" s="512" t="str">
        <f t="shared" si="20"/>
        <v>Vigente</v>
      </c>
      <c r="Y93" s="498"/>
      <c r="Z93" s="469">
        <f t="shared" si="21"/>
        <v>181</v>
      </c>
      <c r="AA93" s="499">
        <f t="shared" si="56"/>
        <v>0.97231430750286929</v>
      </c>
      <c r="AB93" s="499">
        <f t="shared" si="56"/>
        <v>0.95664122339700108</v>
      </c>
      <c r="AC93" s="469" t="str">
        <f t="shared" si="50"/>
        <v>Familiar CB</v>
      </c>
      <c r="AD93" s="469" t="s">
        <v>454</v>
      </c>
      <c r="AF93" s="444">
        <f>+IF(Tabla33[[#This Row],[Amortización k | cupón de intereses]]="Amortización de K",Tabla33[[#This Row],[Valor Nominal]],0)</f>
        <v>0</v>
      </c>
      <c r="AG93" s="444">
        <f>+IF(AND(Tabla33[[#This Row],[Amortización k | cupón de intereses]]="Cupón de interés",Tabla33[[#This Row],[Estado]]="Vigente"),Tabla33[[#This Row],[Valor Nominal]],0)</f>
        <v>797.81</v>
      </c>
      <c r="AH93" s="444">
        <f>+IF(Tabla33[[#This Row],[Amortización k | cupón de intereses]]="Amortización de K",SUMIFS($AG$7:$AG$418,Tabla33[Código Emisión],Tabla33[[#This Row],[Código Emisión]],Tabla33[Fecha de operación],Tabla33[[#This Row],[Fecha de operación]]),0)-Tabla33[[#This Row],[Accrued]]*Tabla33[[#This Row],[Valor Nominal]]</f>
        <v>0</v>
      </c>
      <c r="AI93" s="444">
        <f>+IF(Tabla33[[#This Row],[Amortización k | cupón de intereses]]="Amortización de K",IF(Tabla33[[#This Row],[Precio Clean]]&gt;1,Tabla33[[#This Row],[Valor Nominal]]*(Tabla33[[#This Row],[Precio Clean]]-1),0),0)</f>
        <v>0</v>
      </c>
      <c r="AJ93" s="444">
        <f>+IF(Tabla33[[#This Row],[Amortización k | cupón de intereses]]="Amortización de K",IF(Tabla33[[#This Row],[Precio Clean]]&lt;1,Tabla33[[#This Row],[Valor Nominal]]*(Tabla33[[#This Row],[Precio Clean]]-1),0),0)</f>
        <v>0</v>
      </c>
    </row>
    <row r="94" spans="1:43">
      <c r="A94" s="502"/>
      <c r="B94" s="437" t="str">
        <f t="shared" si="54"/>
        <v>Solar Banco SAECA</v>
      </c>
      <c r="C94" s="437" t="str">
        <f t="shared" si="54"/>
        <v>HSAF_6,40%_04012027_AA3260-65_50K</v>
      </c>
      <c r="D94" s="437" t="str">
        <f t="shared" si="54"/>
        <v>CDA</v>
      </c>
      <c r="E94" s="437" t="str">
        <f t="shared" si="54"/>
        <v>Apy</v>
      </c>
      <c r="F94" s="437" t="str">
        <f t="shared" si="54"/>
        <v>Financiero</v>
      </c>
      <c r="G94" s="437" t="str">
        <f t="shared" si="54"/>
        <v>Paraguay</v>
      </c>
      <c r="H94" s="437">
        <f t="shared" si="54"/>
        <v>1</v>
      </c>
      <c r="I94" s="492">
        <v>789.04</v>
      </c>
      <c r="J94" s="451"/>
      <c r="L94" s="442"/>
      <c r="M94" s="493"/>
      <c r="N94" s="493"/>
      <c r="O94" s="494">
        <f t="shared" si="55"/>
        <v>6.5533801899999994E-2</v>
      </c>
      <c r="P94" s="494">
        <f t="shared" si="55"/>
        <v>6.3982219436948817E-2</v>
      </c>
      <c r="Q94" s="450">
        <f t="shared" si="55"/>
        <v>45860</v>
      </c>
      <c r="R94" s="450">
        <v>46111</v>
      </c>
      <c r="S94" s="509" t="s">
        <v>146</v>
      </c>
      <c r="T94" s="510">
        <f>Tabla33[[#This Row],[Cantidad]]*Tabla33[[#This Row],[Cortes]]</f>
        <v>789.04</v>
      </c>
      <c r="U94" s="511">
        <f t="shared" si="52"/>
        <v>776.78641300596701</v>
      </c>
      <c r="V94" s="511">
        <f t="shared" si="53"/>
        <v>776.65133649523818</v>
      </c>
      <c r="W94" s="497">
        <f>IF(Tabla33[[#This Row],[Fecha de operación]]=$C$1,0,U94-V94)</f>
        <v>0.13507651072882254</v>
      </c>
      <c r="X94" s="512" t="str">
        <f t="shared" si="20"/>
        <v>Vigente</v>
      </c>
      <c r="Y94" s="498"/>
      <c r="Z94" s="469">
        <f t="shared" si="21"/>
        <v>90</v>
      </c>
      <c r="AA94" s="499">
        <f t="shared" si="56"/>
        <v>0.97231430750286929</v>
      </c>
      <c r="AB94" s="499">
        <f t="shared" si="56"/>
        <v>0.95664122339700108</v>
      </c>
      <c r="AC94" s="469" t="str">
        <f t="shared" si="50"/>
        <v>Familiar CB</v>
      </c>
      <c r="AD94" s="469" t="s">
        <v>454</v>
      </c>
      <c r="AF94" s="444">
        <f>+IF(Tabla33[[#This Row],[Amortización k | cupón de intereses]]="Amortización de K",Tabla33[[#This Row],[Valor Nominal]],0)</f>
        <v>0</v>
      </c>
      <c r="AG94" s="444">
        <f>+IF(AND(Tabla33[[#This Row],[Amortización k | cupón de intereses]]="Cupón de interés",Tabla33[[#This Row],[Estado]]="Vigente"),Tabla33[[#This Row],[Valor Nominal]],0)</f>
        <v>789.04</v>
      </c>
      <c r="AH94" s="444">
        <f>+IF(Tabla33[[#This Row],[Amortización k | cupón de intereses]]="Amortización de K",SUMIFS($AG$7:$AG$418,Tabla33[Código Emisión],Tabla33[[#This Row],[Código Emisión]],Tabla33[Fecha de operación],Tabla33[[#This Row],[Fecha de operación]]),0)-Tabla33[[#This Row],[Accrued]]*Tabla33[[#This Row],[Valor Nominal]]</f>
        <v>0</v>
      </c>
      <c r="AI94" s="444">
        <f>+IF(Tabla33[[#This Row],[Amortización k | cupón de intereses]]="Amortización de K",IF(Tabla33[[#This Row],[Precio Clean]]&gt;1,Tabla33[[#This Row],[Valor Nominal]]*(Tabla33[[#This Row],[Precio Clean]]-1),0),0)</f>
        <v>0</v>
      </c>
      <c r="AJ94" s="444">
        <f>+IF(Tabla33[[#This Row],[Amortización k | cupón de intereses]]="Amortización de K",IF(Tabla33[[#This Row],[Precio Clean]]&lt;1,Tabla33[[#This Row],[Valor Nominal]]*(Tabla33[[#This Row],[Precio Clean]]-1),0),0)</f>
        <v>0</v>
      </c>
    </row>
    <row r="95" spans="1:43">
      <c r="A95" s="502"/>
      <c r="B95" s="437" t="str">
        <f t="shared" si="54"/>
        <v>Solar Banco SAECA</v>
      </c>
      <c r="C95" s="437" t="str">
        <f t="shared" si="54"/>
        <v>HSAF_6,40%_04012027_AA3260-65_50K</v>
      </c>
      <c r="D95" s="437" t="str">
        <f t="shared" si="54"/>
        <v>CDA</v>
      </c>
      <c r="E95" s="437" t="str">
        <f t="shared" si="54"/>
        <v>Apy</v>
      </c>
      <c r="F95" s="437" t="str">
        <f t="shared" si="54"/>
        <v>Financiero</v>
      </c>
      <c r="G95" s="437" t="str">
        <f t="shared" si="54"/>
        <v>Paraguay</v>
      </c>
      <c r="H95" s="437">
        <f t="shared" si="54"/>
        <v>1</v>
      </c>
      <c r="I95" s="492">
        <v>789.04</v>
      </c>
      <c r="J95" s="451"/>
      <c r="L95" s="442"/>
      <c r="M95" s="493"/>
      <c r="N95" s="493"/>
      <c r="O95" s="494">
        <f t="shared" si="55"/>
        <v>6.5533801899999994E-2</v>
      </c>
      <c r="P95" s="494">
        <f t="shared" si="55"/>
        <v>6.3982219436948817E-2</v>
      </c>
      <c r="Q95" s="450">
        <f t="shared" si="55"/>
        <v>45860</v>
      </c>
      <c r="R95" s="450">
        <v>46021</v>
      </c>
      <c r="S95" s="509" t="s">
        <v>146</v>
      </c>
      <c r="T95" s="510">
        <f>Tabla33[[#This Row],[Cantidad]]*Tabla33[[#This Row],[Cortes]]</f>
        <v>789.04</v>
      </c>
      <c r="U95" s="511" t="b">
        <f t="shared" si="52"/>
        <v>0</v>
      </c>
      <c r="V95" s="511" t="b">
        <f t="shared" si="53"/>
        <v>0</v>
      </c>
      <c r="W95" s="497">
        <f>IF(Tabla33[[#This Row],[Fecha de operación]]=$C$1,0,U95-V95)</f>
        <v>0</v>
      </c>
      <c r="X95" s="512" t="str">
        <f t="shared" si="20"/>
        <v>Vencido</v>
      </c>
      <c r="Y95" s="498"/>
      <c r="Z95" s="469">
        <f t="shared" si="21"/>
        <v>0</v>
      </c>
      <c r="AA95" s="499">
        <f t="shared" si="56"/>
        <v>0.97231430750286929</v>
      </c>
      <c r="AB95" s="499">
        <f t="shared" si="56"/>
        <v>0.95664122339700108</v>
      </c>
      <c r="AC95" s="469" t="str">
        <f t="shared" si="50"/>
        <v>Familiar CB</v>
      </c>
      <c r="AD95" s="469" t="s">
        <v>454</v>
      </c>
      <c r="AF95" s="444">
        <f>+IF(Tabla33[[#This Row],[Amortización k | cupón de intereses]]="Amortización de K",Tabla33[[#This Row],[Valor Nominal]],0)</f>
        <v>0</v>
      </c>
      <c r="AG95" s="444">
        <f>+IF(AND(Tabla33[[#This Row],[Amortización k | cupón de intereses]]="Cupón de interés",Tabla33[[#This Row],[Estado]]="Vigente"),Tabla33[[#This Row],[Valor Nominal]],0)</f>
        <v>0</v>
      </c>
      <c r="AH95" s="444">
        <f>+IF(Tabla33[[#This Row],[Amortización k | cupón de intereses]]="Amortización de K",SUMIFS($AG$7:$AG$418,Tabla33[Código Emisión],Tabla33[[#This Row],[Código Emisión]],Tabla33[Fecha de operación],Tabla33[[#This Row],[Fecha de operación]]),0)-Tabla33[[#This Row],[Accrued]]*Tabla33[[#This Row],[Valor Nominal]]</f>
        <v>0</v>
      </c>
      <c r="AI95" s="444">
        <f>+IF(Tabla33[[#This Row],[Amortización k | cupón de intereses]]="Amortización de K",IF(Tabla33[[#This Row],[Precio Clean]]&gt;1,Tabla33[[#This Row],[Valor Nominal]]*(Tabla33[[#This Row],[Precio Clean]]-1),0),0)</f>
        <v>0</v>
      </c>
      <c r="AJ95" s="444">
        <f>+IF(Tabla33[[#This Row],[Amortización k | cupón de intereses]]="Amortización de K",IF(Tabla33[[#This Row],[Precio Clean]]&lt;1,Tabla33[[#This Row],[Valor Nominal]]*(Tabla33[[#This Row],[Precio Clean]]-1),0),0)</f>
        <v>0</v>
      </c>
    </row>
    <row r="96" spans="1:43">
      <c r="A96" s="502"/>
      <c r="B96" s="437" t="str">
        <f t="shared" si="54"/>
        <v>Solar Banco SAECA</v>
      </c>
      <c r="C96" s="437" t="str">
        <f t="shared" si="54"/>
        <v>HSAF_6,40%_04012027_AA3260-65_50K</v>
      </c>
      <c r="D96" s="437" t="str">
        <f t="shared" si="54"/>
        <v>CDA</v>
      </c>
      <c r="E96" s="437" t="str">
        <f t="shared" si="54"/>
        <v>Apy</v>
      </c>
      <c r="F96" s="437" t="str">
        <f t="shared" si="54"/>
        <v>Financiero</v>
      </c>
      <c r="G96" s="437" t="str">
        <f t="shared" si="54"/>
        <v>Paraguay</v>
      </c>
      <c r="H96" s="437">
        <f t="shared" si="54"/>
        <v>1</v>
      </c>
      <c r="I96" s="492">
        <v>789.04</v>
      </c>
      <c r="J96" s="451"/>
      <c r="L96" s="442"/>
      <c r="M96" s="493"/>
      <c r="N96" s="493"/>
      <c r="O96" s="494">
        <f t="shared" si="55"/>
        <v>6.5533801899999994E-2</v>
      </c>
      <c r="P96" s="494">
        <f t="shared" si="55"/>
        <v>6.3982219436948817E-2</v>
      </c>
      <c r="Q96" s="450">
        <f t="shared" si="55"/>
        <v>45860</v>
      </c>
      <c r="R96" s="450">
        <v>45931</v>
      </c>
      <c r="S96" s="509" t="s">
        <v>146</v>
      </c>
      <c r="T96" s="510">
        <f>Tabla33[[#This Row],[Cantidad]]*Tabla33[[#This Row],[Cortes]]</f>
        <v>789.04</v>
      </c>
      <c r="U96" s="511" t="b">
        <f t="shared" si="52"/>
        <v>0</v>
      </c>
      <c r="V96" s="511" t="b">
        <f t="shared" si="53"/>
        <v>0</v>
      </c>
      <c r="W96" s="497">
        <f>IF(Tabla33[[#This Row],[Fecha de operación]]=$C$1,0,U96-V96)</f>
        <v>0</v>
      </c>
      <c r="X96" s="512" t="str">
        <f t="shared" si="20"/>
        <v>Vencido</v>
      </c>
      <c r="Y96" s="498"/>
      <c r="Z96" s="469">
        <f t="shared" si="21"/>
        <v>-90</v>
      </c>
      <c r="AA96" s="499">
        <f t="shared" si="56"/>
        <v>0.97231430750286929</v>
      </c>
      <c r="AB96" s="499">
        <f t="shared" si="56"/>
        <v>0.95664122339700108</v>
      </c>
      <c r="AC96" s="469" t="str">
        <f t="shared" si="50"/>
        <v>Familiar CB</v>
      </c>
      <c r="AD96" s="469" t="s">
        <v>454</v>
      </c>
      <c r="AF96" s="444">
        <f>+IF(Tabla33[[#This Row],[Amortización k | cupón de intereses]]="Amortización de K",Tabla33[[#This Row],[Valor Nominal]],0)</f>
        <v>0</v>
      </c>
      <c r="AG96" s="444">
        <f>+IF(AND(Tabla33[[#This Row],[Amortización k | cupón de intereses]]="Cupón de interés",Tabla33[[#This Row],[Estado]]="Vigente"),Tabla33[[#This Row],[Valor Nominal]],0)</f>
        <v>0</v>
      </c>
      <c r="AH96" s="444">
        <f>+IF(Tabla33[[#This Row],[Amortización k | cupón de intereses]]="Amortización de K",SUMIFS($AG$7:$AG$418,Tabla33[Código Emisión],Tabla33[[#This Row],[Código Emisión]],Tabla33[Fecha de operación],Tabla33[[#This Row],[Fecha de operación]]),0)-Tabla33[[#This Row],[Accrued]]*Tabla33[[#This Row],[Valor Nominal]]</f>
        <v>0</v>
      </c>
      <c r="AI96" s="444">
        <f>+IF(Tabla33[[#This Row],[Amortización k | cupón de intereses]]="Amortización de K",IF(Tabla33[[#This Row],[Precio Clean]]&gt;1,Tabla33[[#This Row],[Valor Nominal]]*(Tabla33[[#This Row],[Precio Clean]]-1),0),0)</f>
        <v>0</v>
      </c>
      <c r="AJ96" s="444">
        <f>+IF(Tabla33[[#This Row],[Amortización k | cupón de intereses]]="Amortización de K",IF(Tabla33[[#This Row],[Precio Clean]]&lt;1,Tabla33[[#This Row],[Valor Nominal]]*(Tabla33[[#This Row],[Precio Clean]]-1),0),0)</f>
        <v>0</v>
      </c>
    </row>
    <row r="97" spans="1:36" ht="15">
      <c r="A97" s="500">
        <f>+A90+1</f>
        <v>12</v>
      </c>
      <c r="B97" s="475" t="s">
        <v>485</v>
      </c>
      <c r="C97" s="475" t="s">
        <v>503</v>
      </c>
      <c r="D97" s="475" t="s">
        <v>453</v>
      </c>
      <c r="E97" s="475" t="s">
        <v>487</v>
      </c>
      <c r="F97" s="475" t="s">
        <v>297</v>
      </c>
      <c r="G97" s="475" t="s">
        <v>298</v>
      </c>
      <c r="H97" s="515">
        <f>5-1-1</f>
        <v>3</v>
      </c>
      <c r="I97" s="477">
        <v>200000</v>
      </c>
      <c r="J97" s="478">
        <v>6.4500000000000002E-2</v>
      </c>
      <c r="K97" s="479">
        <f>_xlfn.MAXIFS(R:R,C:C,C97,AD:AD,"Cupón de interés",X:X,"Vencido")</f>
        <v>45922</v>
      </c>
      <c r="L97" s="478">
        <f>+Tabla33[[#This Row],[Tasa de Interés]]*($U$5-Tabla33[[#This Row],[Last coupon]])/365</f>
        <v>1.7494520547945206E-2</v>
      </c>
      <c r="M97" s="480">
        <f>+Tabla33[[#This Row],[Precio Dirty]]-Tabla33[[#This Row],[Accrued]]</f>
        <v>1.0014211815101499</v>
      </c>
      <c r="N97" s="481">
        <f>SUMIFS(U:U,C:C,C97,Q:Q,Q97)/SUMIFS(T:T,C:C,C97,Q:Q,Q97,AD:AD,"Amortización de K")</f>
        <v>1.0189157020580952</v>
      </c>
      <c r="O97" s="482">
        <v>6.4554038643836964E-2</v>
      </c>
      <c r="P97" s="482">
        <v>6.3457801253336221E-2</v>
      </c>
      <c r="Q97" s="484">
        <v>45863</v>
      </c>
      <c r="R97" s="484">
        <v>46651</v>
      </c>
      <c r="S97" s="504" t="s">
        <v>146</v>
      </c>
      <c r="T97" s="505">
        <f>Tabla33[[#This Row],[Cantidad]]*Tabla33[[#This Row],[Cortes]]</f>
        <v>600000</v>
      </c>
      <c r="U97" s="506">
        <f t="shared" si="52"/>
        <v>538590.92978668504</v>
      </c>
      <c r="V97" s="506">
        <f t="shared" si="53"/>
        <v>538498.63063552347</v>
      </c>
      <c r="W97" s="487">
        <f>IF(Tabla33[[#This Row],[Fecha de operación]]=$C$1,0,U97-V97)</f>
        <v>92.299151161569171</v>
      </c>
      <c r="X97" s="507" t="str">
        <f t="shared" si="20"/>
        <v>Vigente</v>
      </c>
      <c r="Y97" s="489" t="s">
        <v>450</v>
      </c>
      <c r="Z97" s="488">
        <f t="shared" si="21"/>
        <v>630</v>
      </c>
      <c r="AA97" s="508">
        <f t="shared" ref="AA97" si="57">IF(Y97="Mensual",DURATION($C$1,$C$1+Z97*12,J97/12,O97/12,1)/12,DURATION($C$1,R97,J97,O97,IF(Y97="Cupón cero",1,IF(Y97="Al vencimiento",1,IF(Y97="Anual",1,IF(Y97="Semestral",2,IF(Y97="Trimestral",4,"")))))))</f>
        <v>1.643851670902009</v>
      </c>
      <c r="AB97" s="508">
        <f t="shared" ref="AB97" si="58">IF(Y97="Mensual",MDURATION($C$1,$C$1+Z97*12,J97/12,O97/12,1)/12,MDURATION($C$1,R97,J97,O97,IF(Y97="Cupón cero",1,IF(Y97="Al vencimiento",1,IF(Y97="Anual",1,IF(Y97="Semestral",2,IF(Y97="Trimestral",4,"")))))))</f>
        <v>1.6177436985933051</v>
      </c>
      <c r="AC97" s="488" t="s">
        <v>451</v>
      </c>
      <c r="AD97" s="488" t="s">
        <v>452</v>
      </c>
      <c r="AF97" s="444">
        <f>+IF(Tabla33[[#This Row],[Amortización k | cupón de intereses]]="Amortización de K",Tabla33[[#This Row],[Valor Nominal]],0)</f>
        <v>600000</v>
      </c>
      <c r="AG97" s="444">
        <f>+IF(AND(Tabla33[[#This Row],[Amortización k | cupón de intereses]]="Cupón de interés",Tabla33[[#This Row],[Estado]]="Vigente"),Tabla33[[#This Row],[Valor Nominal]],0)</f>
        <v>0</v>
      </c>
      <c r="AH97" s="444">
        <f>+IF(Tabla33[[#This Row],[Amortización k | cupón de intereses]]="Amortización de K",SUMIFS($AG$7:$AG$418,Tabla33[Código Emisión],Tabla33[[#This Row],[Código Emisión]],Tabla33[Fecha de operación],Tabla33[[#This Row],[Fecha de operación]]),0)-Tabla33[[#This Row],[Accrued]]*Tabla33[[#This Row],[Valor Nominal]]</f>
        <v>66797.177671232886</v>
      </c>
      <c r="AI97" s="444">
        <f>+IF(Tabla33[[#This Row],[Amortización k | cupón de intereses]]="Amortización de K",IF(Tabla33[[#This Row],[Precio Clean]]&gt;1,Tabla33[[#This Row],[Valor Nominal]]*(Tabla33[[#This Row],[Precio Clean]]-1),0),0)</f>
        <v>852.70890608994955</v>
      </c>
      <c r="AJ97" s="444">
        <f>+IF(Tabla33[[#This Row],[Amortización k | cupón de intereses]]="Amortización de K",IF(Tabla33[[#This Row],[Precio Clean]]&lt;1,Tabla33[[#This Row],[Valor Nominal]]*(Tabla33[[#This Row],[Precio Clean]]-1),0),0)</f>
        <v>0</v>
      </c>
    </row>
    <row r="98" spans="1:36">
      <c r="A98" s="502"/>
      <c r="B98" s="437" t="s">
        <v>485</v>
      </c>
      <c r="C98" s="437" t="str">
        <f t="shared" ref="C98:C110" si="59">+C97</f>
        <v>BNF_6,45%_210927_200K_BB1814-1820-2</v>
      </c>
      <c r="D98" s="437" t="s">
        <v>453</v>
      </c>
      <c r="E98" s="437" t="str">
        <f t="shared" ref="E98:E110" si="60">+E97</f>
        <v>AA+py</v>
      </c>
      <c r="F98" s="437" t="s">
        <v>297</v>
      </c>
      <c r="G98" s="437" t="s">
        <v>298</v>
      </c>
      <c r="H98" s="437">
        <f>+H97</f>
        <v>3</v>
      </c>
      <c r="I98" s="492">
        <v>35.340000000000003</v>
      </c>
      <c r="J98" s="451"/>
      <c r="K98" s="450"/>
      <c r="L98" s="451"/>
      <c r="M98" s="493"/>
      <c r="N98" s="493"/>
      <c r="O98" s="494">
        <f t="shared" ref="O98:Q103" si="61">+O97</f>
        <v>6.4554038643836964E-2</v>
      </c>
      <c r="P98" s="494">
        <f t="shared" si="61"/>
        <v>6.3457801253336221E-2</v>
      </c>
      <c r="Q98" s="450">
        <f t="shared" si="61"/>
        <v>45863</v>
      </c>
      <c r="R98" s="450">
        <v>46651</v>
      </c>
      <c r="S98" s="509" t="s">
        <v>146</v>
      </c>
      <c r="T98" s="510">
        <f>Tabla33[[#This Row],[Cantidad]]*Tabla33[[#This Row],[Cortes]]</f>
        <v>106.02000000000001</v>
      </c>
      <c r="U98" s="511">
        <f t="shared" si="52"/>
        <v>95.169017293307249</v>
      </c>
      <c r="V98" s="511">
        <f t="shared" si="53"/>
        <v>95.152708033297017</v>
      </c>
      <c r="W98" s="497">
        <f>IF(Tabla33[[#This Row],[Fecha de operación]]=$C$1,0,U98-V98)</f>
        <v>1.6309260010231696E-2</v>
      </c>
      <c r="X98" s="512" t="str">
        <f t="shared" si="20"/>
        <v>Vigente</v>
      </c>
      <c r="Y98" s="498" t="s">
        <v>450</v>
      </c>
      <c r="Z98" s="469">
        <f t="shared" si="21"/>
        <v>630</v>
      </c>
      <c r="AA98" s="499">
        <f>+AA97</f>
        <v>1.643851670902009</v>
      </c>
      <c r="AB98" s="499">
        <f>+AB97</f>
        <v>1.6177436985933051</v>
      </c>
      <c r="AC98" s="469" t="s">
        <v>451</v>
      </c>
      <c r="AD98" s="469" t="s">
        <v>454</v>
      </c>
      <c r="AF98" s="444">
        <f>+IF(Tabla33[[#This Row],[Amortización k | cupón de intereses]]="Amortización de K",Tabla33[[#This Row],[Valor Nominal]],0)</f>
        <v>0</v>
      </c>
      <c r="AG98" s="444">
        <f>+IF(AND(Tabla33[[#This Row],[Amortización k | cupón de intereses]]="Cupón de interés",Tabla33[[#This Row],[Estado]]="Vigente"),Tabla33[[#This Row],[Valor Nominal]],0)</f>
        <v>106.02000000000001</v>
      </c>
      <c r="AH98" s="444">
        <f>+IF(Tabla33[[#This Row],[Amortización k | cupón de intereses]]="Amortización de K",SUMIFS($AG$7:$AG$418,Tabla33[Código Emisión],Tabla33[[#This Row],[Código Emisión]],Tabla33[Fecha de operación],Tabla33[[#This Row],[Fecha de operación]]),0)-Tabla33[[#This Row],[Accrued]]*Tabla33[[#This Row],[Valor Nominal]]</f>
        <v>0</v>
      </c>
      <c r="AI98" s="444">
        <f>+IF(Tabla33[[#This Row],[Amortización k | cupón de intereses]]="Amortización de K",IF(Tabla33[[#This Row],[Precio Clean]]&gt;1,Tabla33[[#This Row],[Valor Nominal]]*(Tabla33[[#This Row],[Precio Clean]]-1),0),0)</f>
        <v>0</v>
      </c>
      <c r="AJ98" s="444">
        <f>+IF(Tabla33[[#This Row],[Amortización k | cupón de intereses]]="Amortización de K",IF(Tabla33[[#This Row],[Precio Clean]]&lt;1,Tabla33[[#This Row],[Valor Nominal]]*(Tabla33[[#This Row],[Precio Clean]]-1),0),0)</f>
        <v>0</v>
      </c>
    </row>
    <row r="99" spans="1:36">
      <c r="A99" s="502"/>
      <c r="B99" s="437" t="s">
        <v>485</v>
      </c>
      <c r="C99" s="437" t="str">
        <f t="shared" si="59"/>
        <v>BNF_6,45%_210927_200K_BB1814-1820-2</v>
      </c>
      <c r="D99" s="437" t="s">
        <v>453</v>
      </c>
      <c r="E99" s="437" t="str">
        <f t="shared" si="60"/>
        <v>AA+py</v>
      </c>
      <c r="F99" s="437" t="s">
        <v>297</v>
      </c>
      <c r="G99" s="437" t="s">
        <v>298</v>
      </c>
      <c r="H99" s="437">
        <f t="shared" ref="H99:H103" si="62">+H98</f>
        <v>3</v>
      </c>
      <c r="I99" s="492">
        <v>6432.32</v>
      </c>
      <c r="J99" s="451"/>
      <c r="K99" s="450"/>
      <c r="L99" s="451"/>
      <c r="M99" s="493"/>
      <c r="N99" s="493"/>
      <c r="O99" s="494">
        <f t="shared" si="61"/>
        <v>6.4554038643836964E-2</v>
      </c>
      <c r="P99" s="494">
        <f t="shared" si="61"/>
        <v>6.3457801253336221E-2</v>
      </c>
      <c r="Q99" s="450">
        <f t="shared" si="61"/>
        <v>45863</v>
      </c>
      <c r="R99" s="450">
        <v>46650</v>
      </c>
      <c r="S99" s="509" t="s">
        <v>146</v>
      </c>
      <c r="T99" s="510">
        <f>Tabla33[[#This Row],[Cantidad]]*Tabla33[[#This Row],[Cortes]]</f>
        <v>19296.96</v>
      </c>
      <c r="U99" s="511">
        <f t="shared" si="52"/>
        <v>17324.915044609032</v>
      </c>
      <c r="V99" s="511">
        <f t="shared" si="53"/>
        <v>17321.946047427449</v>
      </c>
      <c r="W99" s="497">
        <f>IF(Tabla33[[#This Row],[Fecha de operación]]=$C$1,0,U99-V99)</f>
        <v>2.968997181582381</v>
      </c>
      <c r="X99" s="512" t="str">
        <f t="shared" si="20"/>
        <v>Vigente</v>
      </c>
      <c r="Y99" s="498" t="s">
        <v>450</v>
      </c>
      <c r="Z99" s="469">
        <f t="shared" si="21"/>
        <v>629</v>
      </c>
      <c r="AA99" s="499">
        <f t="shared" ref="AA99:AA103" si="63">+AA98</f>
        <v>1.643851670902009</v>
      </c>
      <c r="AB99" s="499">
        <f>+AB98</f>
        <v>1.6177436985933051</v>
      </c>
      <c r="AC99" s="469" t="s">
        <v>451</v>
      </c>
      <c r="AD99" s="469" t="s">
        <v>454</v>
      </c>
      <c r="AF99" s="444">
        <f>+IF(Tabla33[[#This Row],[Amortización k | cupón de intereses]]="Amortización de K",Tabla33[[#This Row],[Valor Nominal]],0)</f>
        <v>0</v>
      </c>
      <c r="AG99" s="444">
        <f>+IF(AND(Tabla33[[#This Row],[Amortización k | cupón de intereses]]="Cupón de interés",Tabla33[[#This Row],[Estado]]="Vigente"),Tabla33[[#This Row],[Valor Nominal]],0)</f>
        <v>19296.96</v>
      </c>
      <c r="AH99" s="444">
        <f>+IF(Tabla33[[#This Row],[Amortización k | cupón de intereses]]="Amortización de K",SUMIFS($AG$7:$AG$418,Tabla33[Código Emisión],Tabla33[[#This Row],[Código Emisión]],Tabla33[Fecha de operación],Tabla33[[#This Row],[Fecha de operación]]),0)-Tabla33[[#This Row],[Accrued]]*Tabla33[[#This Row],[Valor Nominal]]</f>
        <v>0</v>
      </c>
      <c r="AI99" s="444">
        <f>+IF(Tabla33[[#This Row],[Amortización k | cupón de intereses]]="Amortización de K",IF(Tabla33[[#This Row],[Precio Clean]]&gt;1,Tabla33[[#This Row],[Valor Nominal]]*(Tabla33[[#This Row],[Precio Clean]]-1),0),0)</f>
        <v>0</v>
      </c>
      <c r="AJ99" s="444">
        <f>+IF(Tabla33[[#This Row],[Amortización k | cupón de intereses]]="Amortización de K",IF(Tabla33[[#This Row],[Precio Clean]]&lt;1,Tabla33[[#This Row],[Valor Nominal]]*(Tabla33[[#This Row],[Precio Clean]]-1),0),0)</f>
        <v>0</v>
      </c>
    </row>
    <row r="100" spans="1:36">
      <c r="A100" s="502"/>
      <c r="B100" s="437" t="s">
        <v>485</v>
      </c>
      <c r="C100" s="437" t="str">
        <f t="shared" si="59"/>
        <v>BNF_6,45%_210927_200K_BB1814-1820-2</v>
      </c>
      <c r="D100" s="437" t="s">
        <v>453</v>
      </c>
      <c r="E100" s="437" t="str">
        <f t="shared" si="60"/>
        <v>AA+py</v>
      </c>
      <c r="F100" s="437" t="s">
        <v>297</v>
      </c>
      <c r="G100" s="437" t="s">
        <v>298</v>
      </c>
      <c r="H100" s="437">
        <f t="shared" si="62"/>
        <v>3</v>
      </c>
      <c r="I100" s="492">
        <v>6432.32</v>
      </c>
      <c r="J100" s="451"/>
      <c r="K100" s="450"/>
      <c r="L100" s="451"/>
      <c r="M100" s="493"/>
      <c r="N100" s="493"/>
      <c r="O100" s="494">
        <f t="shared" si="61"/>
        <v>6.4554038643836964E-2</v>
      </c>
      <c r="P100" s="494">
        <f t="shared" si="61"/>
        <v>6.3457801253336221E-2</v>
      </c>
      <c r="Q100" s="450">
        <f t="shared" si="61"/>
        <v>45863</v>
      </c>
      <c r="R100" s="450">
        <v>46468</v>
      </c>
      <c r="S100" s="509" t="s">
        <v>146</v>
      </c>
      <c r="T100" s="510">
        <f>Tabla33[[#This Row],[Cantidad]]*Tabla33[[#This Row],[Cortes]]</f>
        <v>19296.96</v>
      </c>
      <c r="U100" s="511">
        <f t="shared" si="52"/>
        <v>17873.835373542479</v>
      </c>
      <c r="V100" s="511">
        <f t="shared" si="53"/>
        <v>17870.772307044808</v>
      </c>
      <c r="W100" s="497">
        <f>IF(Tabla33[[#This Row],[Fecha de operación]]=$C$1,0,U100-V100)</f>
        <v>3.0630664976706612</v>
      </c>
      <c r="X100" s="512" t="str">
        <f t="shared" si="20"/>
        <v>Vigente</v>
      </c>
      <c r="Y100" s="498" t="s">
        <v>450</v>
      </c>
      <c r="Z100" s="469">
        <f t="shared" si="21"/>
        <v>447</v>
      </c>
      <c r="AA100" s="499">
        <f t="shared" si="63"/>
        <v>1.643851670902009</v>
      </c>
      <c r="AB100" s="499">
        <f>+AB99</f>
        <v>1.6177436985933051</v>
      </c>
      <c r="AC100" s="469" t="s">
        <v>451</v>
      </c>
      <c r="AD100" s="469" t="s">
        <v>454</v>
      </c>
      <c r="AF100" s="444">
        <f>+IF(Tabla33[[#This Row],[Amortización k | cupón de intereses]]="Amortización de K",Tabla33[[#This Row],[Valor Nominal]],0)</f>
        <v>0</v>
      </c>
      <c r="AG100" s="444">
        <f>+IF(AND(Tabla33[[#This Row],[Amortización k | cupón de intereses]]="Cupón de interés",Tabla33[[#This Row],[Estado]]="Vigente"),Tabla33[[#This Row],[Valor Nominal]],0)</f>
        <v>19296.96</v>
      </c>
      <c r="AH100" s="444">
        <f>+IF(Tabla33[[#This Row],[Amortización k | cupón de intereses]]="Amortización de K",SUMIFS($AG$7:$AG$418,Tabla33[Código Emisión],Tabla33[[#This Row],[Código Emisión]],Tabla33[Fecha de operación],Tabla33[[#This Row],[Fecha de operación]]),0)-Tabla33[[#This Row],[Accrued]]*Tabla33[[#This Row],[Valor Nominal]]</f>
        <v>0</v>
      </c>
      <c r="AI100" s="444">
        <f>+IF(Tabla33[[#This Row],[Amortización k | cupón de intereses]]="Amortización de K",IF(Tabla33[[#This Row],[Precio Clean]]&gt;1,Tabla33[[#This Row],[Valor Nominal]]*(Tabla33[[#This Row],[Precio Clean]]-1),0),0)</f>
        <v>0</v>
      </c>
      <c r="AJ100" s="444">
        <f>+IF(Tabla33[[#This Row],[Amortización k | cupón de intereses]]="Amortización de K",IF(Tabla33[[#This Row],[Precio Clean]]&lt;1,Tabla33[[#This Row],[Valor Nominal]]*(Tabla33[[#This Row],[Precio Clean]]-1),0),0)</f>
        <v>0</v>
      </c>
    </row>
    <row r="101" spans="1:36">
      <c r="A101" s="502"/>
      <c r="B101" s="437" t="s">
        <v>485</v>
      </c>
      <c r="C101" s="437" t="str">
        <f t="shared" si="59"/>
        <v>BNF_6,45%_210927_200K_BB1814-1820-2</v>
      </c>
      <c r="D101" s="437" t="s">
        <v>453</v>
      </c>
      <c r="E101" s="437" t="str">
        <f t="shared" si="60"/>
        <v>AA+py</v>
      </c>
      <c r="F101" s="437" t="s">
        <v>297</v>
      </c>
      <c r="G101" s="437" t="s">
        <v>298</v>
      </c>
      <c r="H101" s="437">
        <f t="shared" si="62"/>
        <v>3</v>
      </c>
      <c r="I101" s="492">
        <v>6538.35</v>
      </c>
      <c r="J101" s="451"/>
      <c r="K101" s="450"/>
      <c r="L101" s="451"/>
      <c r="M101" s="493"/>
      <c r="N101" s="493"/>
      <c r="O101" s="494">
        <f t="shared" si="61"/>
        <v>6.4554038643836964E-2</v>
      </c>
      <c r="P101" s="494">
        <f t="shared" si="61"/>
        <v>6.3457801253336221E-2</v>
      </c>
      <c r="Q101" s="450">
        <f t="shared" si="61"/>
        <v>45863</v>
      </c>
      <c r="R101" s="450">
        <v>46286</v>
      </c>
      <c r="S101" s="509" t="s">
        <v>146</v>
      </c>
      <c r="T101" s="510">
        <f>Tabla33[[#This Row],[Cantidad]]*Tabla33[[#This Row],[Cortes]]</f>
        <v>19615.050000000003</v>
      </c>
      <c r="U101" s="511">
        <f t="shared" si="52"/>
        <v>18744.113975057084</v>
      </c>
      <c r="V101" s="511">
        <f t="shared" si="53"/>
        <v>18740.901767584783</v>
      </c>
      <c r="W101" s="497">
        <f>IF(Tabla33[[#This Row],[Fecha de operación]]=$C$1,0,U101-V101)</f>
        <v>3.2122074723010883</v>
      </c>
      <c r="X101" s="512" t="str">
        <f t="shared" ref="X101:X164" si="64">IF(R101&lt;=$U$5,"Vencido","Vigente")</f>
        <v>Vigente</v>
      </c>
      <c r="Y101" s="498" t="s">
        <v>450</v>
      </c>
      <c r="Z101" s="469">
        <f t="shared" ref="Z101:Z164" si="65">+R101-$U$5</f>
        <v>265</v>
      </c>
      <c r="AA101" s="499">
        <f t="shared" si="63"/>
        <v>1.643851670902009</v>
      </c>
      <c r="AB101" s="499">
        <f>+AB100</f>
        <v>1.6177436985933051</v>
      </c>
      <c r="AC101" s="469" t="s">
        <v>451</v>
      </c>
      <c r="AD101" s="469" t="s">
        <v>454</v>
      </c>
      <c r="AF101" s="444">
        <f>+IF(Tabla33[[#This Row],[Amortización k | cupón de intereses]]="Amortización de K",Tabla33[[#This Row],[Valor Nominal]],0)</f>
        <v>0</v>
      </c>
      <c r="AG101" s="444">
        <f>+IF(AND(Tabla33[[#This Row],[Amortización k | cupón de intereses]]="Cupón de interés",Tabla33[[#This Row],[Estado]]="Vigente"),Tabla33[[#This Row],[Valor Nominal]],0)</f>
        <v>19615.050000000003</v>
      </c>
      <c r="AH101" s="444">
        <f>+IF(Tabla33[[#This Row],[Amortización k | cupón de intereses]]="Amortización de K",SUMIFS($AG$7:$AG$418,Tabla33[Código Emisión],Tabla33[[#This Row],[Código Emisión]],Tabla33[Fecha de operación],Tabla33[[#This Row],[Fecha de operación]]),0)-Tabla33[[#This Row],[Accrued]]*Tabla33[[#This Row],[Valor Nominal]]</f>
        <v>0</v>
      </c>
      <c r="AI101" s="444">
        <f>+IF(Tabla33[[#This Row],[Amortización k | cupón de intereses]]="Amortización de K",IF(Tabla33[[#This Row],[Precio Clean]]&gt;1,Tabla33[[#This Row],[Valor Nominal]]*(Tabla33[[#This Row],[Precio Clean]]-1),0),0)</f>
        <v>0</v>
      </c>
      <c r="AJ101" s="444">
        <f>+IF(Tabla33[[#This Row],[Amortización k | cupón de intereses]]="Amortización de K",IF(Tabla33[[#This Row],[Precio Clean]]&lt;1,Tabla33[[#This Row],[Valor Nominal]]*(Tabla33[[#This Row],[Precio Clean]]-1),0),0)</f>
        <v>0</v>
      </c>
    </row>
    <row r="102" spans="1:36">
      <c r="A102" s="502"/>
      <c r="B102" s="437" t="s">
        <v>485</v>
      </c>
      <c r="C102" s="437" t="str">
        <f t="shared" si="59"/>
        <v>BNF_6,45%_210927_200K_BB1814-1820-2</v>
      </c>
      <c r="D102" s="437" t="s">
        <v>453</v>
      </c>
      <c r="E102" s="437" t="str">
        <f t="shared" si="60"/>
        <v>AA+py</v>
      </c>
      <c r="F102" s="437" t="s">
        <v>297</v>
      </c>
      <c r="G102" s="437" t="s">
        <v>298</v>
      </c>
      <c r="H102" s="437">
        <f t="shared" si="62"/>
        <v>3</v>
      </c>
      <c r="I102" s="492">
        <v>6326.3</v>
      </c>
      <c r="J102" s="451"/>
      <c r="K102" s="450"/>
      <c r="L102" s="451"/>
      <c r="M102" s="493"/>
      <c r="N102" s="493"/>
      <c r="O102" s="494">
        <f t="shared" si="61"/>
        <v>6.4554038643836964E-2</v>
      </c>
      <c r="P102" s="494">
        <f t="shared" si="61"/>
        <v>6.3457801253336221E-2</v>
      </c>
      <c r="Q102" s="450">
        <f t="shared" si="61"/>
        <v>45863</v>
      </c>
      <c r="R102" s="450">
        <v>46101</v>
      </c>
      <c r="S102" s="509" t="s">
        <v>146</v>
      </c>
      <c r="T102" s="510">
        <f>Tabla33[[#This Row],[Cantidad]]*Tabla33[[#This Row],[Cortes]]</f>
        <v>18978.900000000001</v>
      </c>
      <c r="U102" s="511">
        <f t="shared" si="52"/>
        <v>18720.4580376704</v>
      </c>
      <c r="V102" s="511">
        <f t="shared" si="53"/>
        <v>18717.249884152261</v>
      </c>
      <c r="W102" s="497">
        <f>IF(Tabla33[[#This Row],[Fecha de operación]]=$C$1,0,U102-V102)</f>
        <v>3.2081535181387153</v>
      </c>
      <c r="X102" s="512" t="str">
        <f t="shared" si="64"/>
        <v>Vigente</v>
      </c>
      <c r="Y102" s="498" t="s">
        <v>450</v>
      </c>
      <c r="Z102" s="469">
        <f t="shared" si="65"/>
        <v>80</v>
      </c>
      <c r="AA102" s="499">
        <f t="shared" si="63"/>
        <v>1.643851670902009</v>
      </c>
      <c r="AB102" s="499">
        <f>+AB101</f>
        <v>1.6177436985933051</v>
      </c>
      <c r="AC102" s="469" t="s">
        <v>451</v>
      </c>
      <c r="AD102" s="469" t="s">
        <v>454</v>
      </c>
      <c r="AF102" s="444">
        <f>+IF(Tabla33[[#This Row],[Amortización k | cupón de intereses]]="Amortización de K",Tabla33[[#This Row],[Valor Nominal]],0)</f>
        <v>0</v>
      </c>
      <c r="AG102" s="444">
        <f>+IF(AND(Tabla33[[#This Row],[Amortización k | cupón de intereses]]="Cupón de interés",Tabla33[[#This Row],[Estado]]="Vigente"),Tabla33[[#This Row],[Valor Nominal]],0)</f>
        <v>18978.900000000001</v>
      </c>
      <c r="AH102" s="444">
        <f>+IF(Tabla33[[#This Row],[Amortización k | cupón de intereses]]="Amortización de K",SUMIFS($AG$7:$AG$418,Tabla33[Código Emisión],Tabla33[[#This Row],[Código Emisión]],Tabla33[Fecha de operación],Tabla33[[#This Row],[Fecha de operación]]),0)-Tabla33[[#This Row],[Accrued]]*Tabla33[[#This Row],[Valor Nominal]]</f>
        <v>0</v>
      </c>
      <c r="AI102" s="444">
        <f>+IF(Tabla33[[#This Row],[Amortización k | cupón de intereses]]="Amortización de K",IF(Tabla33[[#This Row],[Precio Clean]]&gt;1,Tabla33[[#This Row],[Valor Nominal]]*(Tabla33[[#This Row],[Precio Clean]]-1),0),0)</f>
        <v>0</v>
      </c>
      <c r="AJ102" s="444">
        <f>+IF(Tabla33[[#This Row],[Amortización k | cupón de intereses]]="Amortización de K",IF(Tabla33[[#This Row],[Precio Clean]]&lt;1,Tabla33[[#This Row],[Valor Nominal]]*(Tabla33[[#This Row],[Precio Clean]]-1),0),0)</f>
        <v>0</v>
      </c>
    </row>
    <row r="103" spans="1:36">
      <c r="A103" s="502"/>
      <c r="B103" s="437" t="s">
        <v>485</v>
      </c>
      <c r="C103" s="437" t="str">
        <f t="shared" si="59"/>
        <v>BNF_6,45%_210927_200K_BB1814-1820-2</v>
      </c>
      <c r="D103" s="437" t="s">
        <v>453</v>
      </c>
      <c r="E103" s="437" t="str">
        <f t="shared" si="60"/>
        <v>AA+py</v>
      </c>
      <c r="F103" s="437" t="s">
        <v>297</v>
      </c>
      <c r="G103" s="437" t="s">
        <v>298</v>
      </c>
      <c r="H103" s="437">
        <f t="shared" si="62"/>
        <v>3</v>
      </c>
      <c r="I103" s="492">
        <v>6573.69</v>
      </c>
      <c r="J103" s="451"/>
      <c r="K103" s="450"/>
      <c r="L103" s="451"/>
      <c r="M103" s="493"/>
      <c r="N103" s="493"/>
      <c r="O103" s="494">
        <f t="shared" si="61"/>
        <v>6.4554038643836964E-2</v>
      </c>
      <c r="P103" s="494">
        <f t="shared" si="61"/>
        <v>6.3457801253336221E-2</v>
      </c>
      <c r="Q103" s="450">
        <f t="shared" si="61"/>
        <v>45863</v>
      </c>
      <c r="R103" s="450">
        <v>45922</v>
      </c>
      <c r="S103" s="509" t="s">
        <v>146</v>
      </c>
      <c r="T103" s="510">
        <f>Tabla33[[#This Row],[Cantidad]]*Tabla33[[#This Row],[Cortes]]</f>
        <v>19721.07</v>
      </c>
      <c r="U103" s="511" t="b">
        <f t="shared" si="52"/>
        <v>0</v>
      </c>
      <c r="V103" s="511" t="b">
        <f t="shared" si="53"/>
        <v>0</v>
      </c>
      <c r="W103" s="497">
        <f>IF(Tabla33[[#This Row],[Fecha de operación]]=$C$1,0,U103-V103)</f>
        <v>0</v>
      </c>
      <c r="X103" s="512" t="str">
        <f t="shared" si="64"/>
        <v>Vencido</v>
      </c>
      <c r="Y103" s="498" t="s">
        <v>450</v>
      </c>
      <c r="Z103" s="469">
        <f t="shared" si="65"/>
        <v>-99</v>
      </c>
      <c r="AA103" s="499">
        <f t="shared" si="63"/>
        <v>1.643851670902009</v>
      </c>
      <c r="AB103" s="499">
        <f>+AB102</f>
        <v>1.6177436985933051</v>
      </c>
      <c r="AC103" s="469" t="s">
        <v>451</v>
      </c>
      <c r="AD103" s="469" t="s">
        <v>454</v>
      </c>
      <c r="AF103" s="444">
        <f>+IF(Tabla33[[#This Row],[Amortización k | cupón de intereses]]="Amortización de K",Tabla33[[#This Row],[Valor Nominal]],0)</f>
        <v>0</v>
      </c>
      <c r="AG103" s="444">
        <f>+IF(AND(Tabla33[[#This Row],[Amortización k | cupón de intereses]]="Cupón de interés",Tabla33[[#This Row],[Estado]]="Vigente"),Tabla33[[#This Row],[Valor Nominal]],0)</f>
        <v>0</v>
      </c>
      <c r="AH103" s="444">
        <f>+IF(Tabla33[[#This Row],[Amortización k | cupón de intereses]]="Amortización de K",SUMIFS($AG$7:$AG$418,Tabla33[Código Emisión],Tabla33[[#This Row],[Código Emisión]],Tabla33[Fecha de operación],Tabla33[[#This Row],[Fecha de operación]]),0)-Tabla33[[#This Row],[Accrued]]*Tabla33[[#This Row],[Valor Nominal]]</f>
        <v>0</v>
      </c>
      <c r="AI103" s="444">
        <f>+IF(Tabla33[[#This Row],[Amortización k | cupón de intereses]]="Amortización de K",IF(Tabla33[[#This Row],[Precio Clean]]&gt;1,Tabla33[[#This Row],[Valor Nominal]]*(Tabla33[[#This Row],[Precio Clean]]-1),0),0)</f>
        <v>0</v>
      </c>
      <c r="AJ103" s="444">
        <f>+IF(Tabla33[[#This Row],[Amortización k | cupón de intereses]]="Amortización de K",IF(Tabla33[[#This Row],[Precio Clean]]&lt;1,Tabla33[[#This Row],[Valor Nominal]]*(Tabla33[[#This Row],[Precio Clean]]-1),0),0)</f>
        <v>0</v>
      </c>
    </row>
    <row r="104" spans="1:36" ht="15">
      <c r="A104" s="500">
        <f>+A97+1</f>
        <v>13</v>
      </c>
      <c r="B104" s="475" t="s">
        <v>485</v>
      </c>
      <c r="C104" s="475" t="s">
        <v>503</v>
      </c>
      <c r="D104" s="475" t="s">
        <v>453</v>
      </c>
      <c r="E104" s="475" t="s">
        <v>487</v>
      </c>
      <c r="F104" s="475" t="s">
        <v>297</v>
      </c>
      <c r="G104" s="475" t="s">
        <v>298</v>
      </c>
      <c r="H104" s="475">
        <v>2</v>
      </c>
      <c r="I104" s="477">
        <v>200000</v>
      </c>
      <c r="J104" s="478">
        <v>6.4500000000000002E-2</v>
      </c>
      <c r="K104" s="479">
        <f>_xlfn.MAXIFS(R:R,C:C,C104,AD:AD,"Cupón de interés",X:X,"Vencido")</f>
        <v>45922</v>
      </c>
      <c r="L104" s="478">
        <f>+Tabla33[[#This Row],[Tasa de Interés]]*($U$5-Tabla33[[#This Row],[Last coupon]])/365</f>
        <v>1.7494520547945206E-2</v>
      </c>
      <c r="M104" s="480">
        <f>+Tabla33[[#This Row],[Precio Dirty]]-Tabla33[[#This Row],[Accrued]]</f>
        <v>1.0014211815101504</v>
      </c>
      <c r="N104" s="481">
        <f>SUMIFS(U:U,C:C,C104,Q:Q,Q104)/SUMIFS(T:T,C:C,C104,Q:Q,Q104,AD:AD,"Amortización de K")</f>
        <v>1.0189157020580957</v>
      </c>
      <c r="O104" s="482">
        <v>6.4554038643836964E-2</v>
      </c>
      <c r="P104" s="482">
        <v>6.3508021507080681E-2</v>
      </c>
      <c r="Q104" s="484">
        <v>45867</v>
      </c>
      <c r="R104" s="484">
        <v>46651</v>
      </c>
      <c r="S104" s="504" t="s">
        <v>146</v>
      </c>
      <c r="T104" s="505">
        <f>Tabla33[[#This Row],[Cantidad]]*Tabla33[[#This Row],[Cortes]]</f>
        <v>400000</v>
      </c>
      <c r="U104" s="506">
        <f t="shared" si="52"/>
        <v>359060.61985779001</v>
      </c>
      <c r="V104" s="506">
        <f t="shared" si="53"/>
        <v>358999.087090349</v>
      </c>
      <c r="W104" s="487">
        <f>IF(Tabla33[[#This Row],[Fecha de operación]]=$C$1,0,U104-V104)</f>
        <v>61.532767441007309</v>
      </c>
      <c r="X104" s="507" t="str">
        <f t="shared" si="64"/>
        <v>Vigente</v>
      </c>
      <c r="Y104" s="489" t="s">
        <v>450</v>
      </c>
      <c r="Z104" s="488">
        <f t="shared" si="65"/>
        <v>630</v>
      </c>
      <c r="AA104" s="508">
        <f t="shared" ref="AA104" si="66">IF(Y104="Mensual",DURATION($C$1,$C$1+Z104*12,J104/12,O104/12,1)/12,DURATION($C$1,R104,J104,O104,IF(Y104="Cupón cero",1,IF(Y104="Al vencimiento",1,IF(Y104="Anual",1,IF(Y104="Semestral",2,IF(Y104="Trimestral",4,"")))))))</f>
        <v>1.643851670902009</v>
      </c>
      <c r="AB104" s="508">
        <f t="shared" ref="AB104" si="67">IF(Y104="Mensual",MDURATION($C$1,$C$1+Z104*12,J104/12,O104/12,1)/12,MDURATION($C$1,R104,J104,O104,IF(Y104="Cupón cero",1,IF(Y104="Al vencimiento",1,IF(Y104="Anual",1,IF(Y104="Semestral",2,IF(Y104="Trimestral",4,"")))))))</f>
        <v>1.6177436985933051</v>
      </c>
      <c r="AC104" s="488" t="s">
        <v>451</v>
      </c>
      <c r="AD104" s="488" t="s">
        <v>452</v>
      </c>
      <c r="AF104" s="444">
        <f>+IF(Tabla33[[#This Row],[Amortización k | cupón de intereses]]="Amortización de K",Tabla33[[#This Row],[Valor Nominal]],0)</f>
        <v>400000</v>
      </c>
      <c r="AG104" s="444">
        <f>+IF(AND(Tabla33[[#This Row],[Amortización k | cupón de intereses]]="Cupón de interés",Tabla33[[#This Row],[Estado]]="Vigente"),Tabla33[[#This Row],[Valor Nominal]],0)</f>
        <v>0</v>
      </c>
      <c r="AH104" s="444">
        <f>+IF(Tabla33[[#This Row],[Amortización k | cupón de intereses]]="Amortización de K",SUMIFS($AG$7:$AG$418,Tabla33[Código Emisión],Tabla33[[#This Row],[Código Emisión]],Tabla33[Fecha de operación],Tabla33[[#This Row],[Fecha de operación]]),0)-Tabla33[[#This Row],[Accrued]]*Tabla33[[#This Row],[Valor Nominal]]</f>
        <v>44531.451780821917</v>
      </c>
      <c r="AI104" s="444">
        <f>+IF(Tabla33[[#This Row],[Amortización k | cupón de intereses]]="Amortización de K",IF(Tabla33[[#This Row],[Precio Clean]]&gt;1,Tabla33[[#This Row],[Valor Nominal]]*(Tabla33[[#This Row],[Precio Clean]]-1),0),0)</f>
        <v>568.47260406014402</v>
      </c>
      <c r="AJ104" s="444">
        <f>+IF(Tabla33[[#This Row],[Amortización k | cupón de intereses]]="Amortización de K",IF(Tabla33[[#This Row],[Precio Clean]]&lt;1,Tabla33[[#This Row],[Valor Nominal]]*(Tabla33[[#This Row],[Precio Clean]]-1),0),0)</f>
        <v>0</v>
      </c>
    </row>
    <row r="105" spans="1:36">
      <c r="A105" s="502"/>
      <c r="B105" s="437" t="s">
        <v>485</v>
      </c>
      <c r="C105" s="437" t="str">
        <f t="shared" si="59"/>
        <v>BNF_6,45%_210927_200K_BB1814-1820-2</v>
      </c>
      <c r="D105" s="437" t="s">
        <v>453</v>
      </c>
      <c r="E105" s="437" t="str">
        <f t="shared" si="60"/>
        <v>AA+py</v>
      </c>
      <c r="F105" s="437" t="s">
        <v>297</v>
      </c>
      <c r="G105" s="437" t="s">
        <v>298</v>
      </c>
      <c r="H105" s="437">
        <f>+H104</f>
        <v>2</v>
      </c>
      <c r="I105" s="492">
        <v>35.340000000000003</v>
      </c>
      <c r="J105" s="451"/>
      <c r="K105" s="450"/>
      <c r="L105" s="451"/>
      <c r="M105" s="493"/>
      <c r="N105" s="493"/>
      <c r="O105" s="494">
        <f t="shared" ref="O105:Q110" si="68">+O104</f>
        <v>6.4554038643836964E-2</v>
      </c>
      <c r="P105" s="494">
        <f t="shared" si="68"/>
        <v>6.3508021507080681E-2</v>
      </c>
      <c r="Q105" s="450">
        <f t="shared" si="68"/>
        <v>45867</v>
      </c>
      <c r="R105" s="450">
        <v>46651</v>
      </c>
      <c r="S105" s="509" t="s">
        <v>146</v>
      </c>
      <c r="T105" s="510">
        <f>Tabla33[[#This Row],[Cantidad]]*Tabla33[[#This Row],[Cortes]]</f>
        <v>70.680000000000007</v>
      </c>
      <c r="U105" s="511">
        <f t="shared" si="52"/>
        <v>63.446011528871502</v>
      </c>
      <c r="V105" s="511">
        <f t="shared" si="53"/>
        <v>63.435138688864676</v>
      </c>
      <c r="W105" s="497">
        <f>IF(Tabla33[[#This Row],[Fecha de operación]]=$C$1,0,U105-V105)</f>
        <v>1.0872840006825868E-2</v>
      </c>
      <c r="X105" s="512" t="str">
        <f t="shared" si="64"/>
        <v>Vigente</v>
      </c>
      <c r="Y105" s="498" t="s">
        <v>450</v>
      </c>
      <c r="Z105" s="469">
        <f t="shared" si="65"/>
        <v>630</v>
      </c>
      <c r="AA105" s="499">
        <f>+AA104</f>
        <v>1.643851670902009</v>
      </c>
      <c r="AB105" s="499">
        <f>+AB104</f>
        <v>1.6177436985933051</v>
      </c>
      <c r="AC105" s="469" t="s">
        <v>451</v>
      </c>
      <c r="AD105" s="469" t="s">
        <v>454</v>
      </c>
      <c r="AF105" s="444">
        <f>+IF(Tabla33[[#This Row],[Amortización k | cupón de intereses]]="Amortización de K",Tabla33[[#This Row],[Valor Nominal]],0)</f>
        <v>0</v>
      </c>
      <c r="AG105" s="444">
        <f>+IF(AND(Tabla33[[#This Row],[Amortización k | cupón de intereses]]="Cupón de interés",Tabla33[[#This Row],[Estado]]="Vigente"),Tabla33[[#This Row],[Valor Nominal]],0)</f>
        <v>70.680000000000007</v>
      </c>
      <c r="AH105" s="444">
        <f>+IF(Tabla33[[#This Row],[Amortización k | cupón de intereses]]="Amortización de K",SUMIFS($AG$7:$AG$418,Tabla33[Código Emisión],Tabla33[[#This Row],[Código Emisión]],Tabla33[Fecha de operación],Tabla33[[#This Row],[Fecha de operación]]),0)-Tabla33[[#This Row],[Accrued]]*Tabla33[[#This Row],[Valor Nominal]]</f>
        <v>0</v>
      </c>
      <c r="AI105" s="444">
        <f>+IF(Tabla33[[#This Row],[Amortización k | cupón de intereses]]="Amortización de K",IF(Tabla33[[#This Row],[Precio Clean]]&gt;1,Tabla33[[#This Row],[Valor Nominal]]*(Tabla33[[#This Row],[Precio Clean]]-1),0),0)</f>
        <v>0</v>
      </c>
      <c r="AJ105" s="444">
        <f>+IF(Tabla33[[#This Row],[Amortización k | cupón de intereses]]="Amortización de K",IF(Tabla33[[#This Row],[Precio Clean]]&lt;1,Tabla33[[#This Row],[Valor Nominal]]*(Tabla33[[#This Row],[Precio Clean]]-1),0),0)</f>
        <v>0</v>
      </c>
    </row>
    <row r="106" spans="1:36">
      <c r="A106" s="502"/>
      <c r="B106" s="437" t="s">
        <v>485</v>
      </c>
      <c r="C106" s="437" t="str">
        <f t="shared" si="59"/>
        <v>BNF_6,45%_210927_200K_BB1814-1820-2</v>
      </c>
      <c r="D106" s="437" t="s">
        <v>453</v>
      </c>
      <c r="E106" s="437" t="str">
        <f t="shared" si="60"/>
        <v>AA+py</v>
      </c>
      <c r="F106" s="437" t="s">
        <v>297</v>
      </c>
      <c r="G106" s="437" t="s">
        <v>298</v>
      </c>
      <c r="H106" s="437">
        <f t="shared" ref="H106:H110" si="69">+H105</f>
        <v>2</v>
      </c>
      <c r="I106" s="492">
        <v>6432.32</v>
      </c>
      <c r="J106" s="451"/>
      <c r="K106" s="450"/>
      <c r="L106" s="451"/>
      <c r="M106" s="493"/>
      <c r="N106" s="493"/>
      <c r="O106" s="494">
        <f t="shared" si="68"/>
        <v>6.4554038643836964E-2</v>
      </c>
      <c r="P106" s="494">
        <f t="shared" si="68"/>
        <v>6.3508021507080681E-2</v>
      </c>
      <c r="Q106" s="450">
        <f t="shared" si="68"/>
        <v>45867</v>
      </c>
      <c r="R106" s="450">
        <v>46650</v>
      </c>
      <c r="S106" s="509" t="s">
        <v>146</v>
      </c>
      <c r="T106" s="510">
        <f>Tabla33[[#This Row],[Cantidad]]*Tabla33[[#This Row],[Cortes]]</f>
        <v>12864.64</v>
      </c>
      <c r="U106" s="511">
        <f t="shared" si="52"/>
        <v>11549.943363072689</v>
      </c>
      <c r="V106" s="511">
        <f t="shared" si="53"/>
        <v>11547.964031618299</v>
      </c>
      <c r="W106" s="497">
        <f>IF(Tabla33[[#This Row],[Fecha de operación]]=$C$1,0,U106-V106)</f>
        <v>1.9793314543894667</v>
      </c>
      <c r="X106" s="512" t="str">
        <f t="shared" si="64"/>
        <v>Vigente</v>
      </c>
      <c r="Y106" s="498" t="s">
        <v>450</v>
      </c>
      <c r="Z106" s="469">
        <f t="shared" si="65"/>
        <v>629</v>
      </c>
      <c r="AA106" s="499">
        <f t="shared" ref="AA106:AA110" si="70">+AA105</f>
        <v>1.643851670902009</v>
      </c>
      <c r="AB106" s="499">
        <f>+AB105</f>
        <v>1.6177436985933051</v>
      </c>
      <c r="AC106" s="469" t="s">
        <v>451</v>
      </c>
      <c r="AD106" s="469" t="s">
        <v>454</v>
      </c>
      <c r="AF106" s="444">
        <f>+IF(Tabla33[[#This Row],[Amortización k | cupón de intereses]]="Amortización de K",Tabla33[[#This Row],[Valor Nominal]],0)</f>
        <v>0</v>
      </c>
      <c r="AG106" s="444">
        <f>+IF(AND(Tabla33[[#This Row],[Amortización k | cupón de intereses]]="Cupón de interés",Tabla33[[#This Row],[Estado]]="Vigente"),Tabla33[[#This Row],[Valor Nominal]],0)</f>
        <v>12864.64</v>
      </c>
      <c r="AH106" s="444">
        <f>+IF(Tabla33[[#This Row],[Amortización k | cupón de intereses]]="Amortización de K",SUMIFS($AG$7:$AG$418,Tabla33[Código Emisión],Tabla33[[#This Row],[Código Emisión]],Tabla33[Fecha de operación],Tabla33[[#This Row],[Fecha de operación]]),0)-Tabla33[[#This Row],[Accrued]]*Tabla33[[#This Row],[Valor Nominal]]</f>
        <v>0</v>
      </c>
      <c r="AI106" s="444">
        <f>+IF(Tabla33[[#This Row],[Amortización k | cupón de intereses]]="Amortización de K",IF(Tabla33[[#This Row],[Precio Clean]]&gt;1,Tabla33[[#This Row],[Valor Nominal]]*(Tabla33[[#This Row],[Precio Clean]]-1),0),0)</f>
        <v>0</v>
      </c>
      <c r="AJ106" s="444">
        <f>+IF(Tabla33[[#This Row],[Amortización k | cupón de intereses]]="Amortización de K",IF(Tabla33[[#This Row],[Precio Clean]]&lt;1,Tabla33[[#This Row],[Valor Nominal]]*(Tabla33[[#This Row],[Precio Clean]]-1),0),0)</f>
        <v>0</v>
      </c>
    </row>
    <row r="107" spans="1:36">
      <c r="A107" s="502"/>
      <c r="B107" s="437" t="s">
        <v>485</v>
      </c>
      <c r="C107" s="437" t="str">
        <f t="shared" si="59"/>
        <v>BNF_6,45%_210927_200K_BB1814-1820-2</v>
      </c>
      <c r="D107" s="437" t="s">
        <v>453</v>
      </c>
      <c r="E107" s="437" t="str">
        <f t="shared" si="60"/>
        <v>AA+py</v>
      </c>
      <c r="F107" s="437" t="s">
        <v>297</v>
      </c>
      <c r="G107" s="437" t="s">
        <v>298</v>
      </c>
      <c r="H107" s="437">
        <f t="shared" si="69"/>
        <v>2</v>
      </c>
      <c r="I107" s="492">
        <v>6432.32</v>
      </c>
      <c r="J107" s="451"/>
      <c r="K107" s="450"/>
      <c r="L107" s="451"/>
      <c r="M107" s="493"/>
      <c r="N107" s="493"/>
      <c r="O107" s="494">
        <f t="shared" si="68"/>
        <v>6.4554038643836964E-2</v>
      </c>
      <c r="P107" s="494">
        <f t="shared" si="68"/>
        <v>6.3508021507080681E-2</v>
      </c>
      <c r="Q107" s="450">
        <f t="shared" si="68"/>
        <v>45867</v>
      </c>
      <c r="R107" s="450">
        <v>46468</v>
      </c>
      <c r="S107" s="509" t="s">
        <v>146</v>
      </c>
      <c r="T107" s="510">
        <f>Tabla33[[#This Row],[Cantidad]]*Tabla33[[#This Row],[Cortes]]</f>
        <v>12864.64</v>
      </c>
      <c r="U107" s="511">
        <f t="shared" si="52"/>
        <v>11915.890249028318</v>
      </c>
      <c r="V107" s="511">
        <f t="shared" si="53"/>
        <v>11913.848204696538</v>
      </c>
      <c r="W107" s="497">
        <f>IF(Tabla33[[#This Row],[Fecha de operación]]=$C$1,0,U107-V107)</f>
        <v>2.0420443317798345</v>
      </c>
      <c r="X107" s="512" t="str">
        <f t="shared" si="64"/>
        <v>Vigente</v>
      </c>
      <c r="Y107" s="498" t="s">
        <v>450</v>
      </c>
      <c r="Z107" s="469">
        <f t="shared" si="65"/>
        <v>447</v>
      </c>
      <c r="AA107" s="499">
        <f t="shared" si="70"/>
        <v>1.643851670902009</v>
      </c>
      <c r="AB107" s="499">
        <f>+AB106</f>
        <v>1.6177436985933051</v>
      </c>
      <c r="AC107" s="469" t="s">
        <v>451</v>
      </c>
      <c r="AD107" s="469" t="s">
        <v>454</v>
      </c>
      <c r="AF107" s="444">
        <f>+IF(Tabla33[[#This Row],[Amortización k | cupón de intereses]]="Amortización de K",Tabla33[[#This Row],[Valor Nominal]],0)</f>
        <v>0</v>
      </c>
      <c r="AG107" s="444">
        <f>+IF(AND(Tabla33[[#This Row],[Amortización k | cupón de intereses]]="Cupón de interés",Tabla33[[#This Row],[Estado]]="Vigente"),Tabla33[[#This Row],[Valor Nominal]],0)</f>
        <v>12864.64</v>
      </c>
      <c r="AH107" s="444">
        <f>+IF(Tabla33[[#This Row],[Amortización k | cupón de intereses]]="Amortización de K",SUMIFS($AG$7:$AG$418,Tabla33[Código Emisión],Tabla33[[#This Row],[Código Emisión]],Tabla33[Fecha de operación],Tabla33[[#This Row],[Fecha de operación]]),0)-Tabla33[[#This Row],[Accrued]]*Tabla33[[#This Row],[Valor Nominal]]</f>
        <v>0</v>
      </c>
      <c r="AI107" s="444">
        <f>+IF(Tabla33[[#This Row],[Amortización k | cupón de intereses]]="Amortización de K",IF(Tabla33[[#This Row],[Precio Clean]]&gt;1,Tabla33[[#This Row],[Valor Nominal]]*(Tabla33[[#This Row],[Precio Clean]]-1),0),0)</f>
        <v>0</v>
      </c>
      <c r="AJ107" s="444">
        <f>+IF(Tabla33[[#This Row],[Amortización k | cupón de intereses]]="Amortización de K",IF(Tabla33[[#This Row],[Precio Clean]]&lt;1,Tabla33[[#This Row],[Valor Nominal]]*(Tabla33[[#This Row],[Precio Clean]]-1),0),0)</f>
        <v>0</v>
      </c>
    </row>
    <row r="108" spans="1:36">
      <c r="A108" s="502"/>
      <c r="B108" s="437" t="s">
        <v>485</v>
      </c>
      <c r="C108" s="437" t="str">
        <f t="shared" si="59"/>
        <v>BNF_6,45%_210927_200K_BB1814-1820-2</v>
      </c>
      <c r="D108" s="437" t="s">
        <v>453</v>
      </c>
      <c r="E108" s="437" t="str">
        <f t="shared" si="60"/>
        <v>AA+py</v>
      </c>
      <c r="F108" s="437" t="s">
        <v>297</v>
      </c>
      <c r="G108" s="437" t="s">
        <v>298</v>
      </c>
      <c r="H108" s="437">
        <f t="shared" si="69"/>
        <v>2</v>
      </c>
      <c r="I108" s="492">
        <v>6538.35</v>
      </c>
      <c r="J108" s="451"/>
      <c r="K108" s="450"/>
      <c r="L108" s="451"/>
      <c r="M108" s="493"/>
      <c r="N108" s="493"/>
      <c r="O108" s="494">
        <f t="shared" si="68"/>
        <v>6.4554038643836964E-2</v>
      </c>
      <c r="P108" s="494">
        <f t="shared" si="68"/>
        <v>6.3508021507080681E-2</v>
      </c>
      <c r="Q108" s="450">
        <f t="shared" si="68"/>
        <v>45867</v>
      </c>
      <c r="R108" s="450">
        <v>46286</v>
      </c>
      <c r="S108" s="509" t="s">
        <v>146</v>
      </c>
      <c r="T108" s="510">
        <f>Tabla33[[#This Row],[Cantidad]]*Tabla33[[#This Row],[Cortes]]</f>
        <v>13076.7</v>
      </c>
      <c r="U108" s="511">
        <f t="shared" si="52"/>
        <v>12496.075983371389</v>
      </c>
      <c r="V108" s="511">
        <f t="shared" si="53"/>
        <v>12493.934511723188</v>
      </c>
      <c r="W108" s="497">
        <f>IF(Tabla33[[#This Row],[Fecha de operación]]=$C$1,0,U108-V108)</f>
        <v>2.1414716482013318</v>
      </c>
      <c r="X108" s="512" t="str">
        <f t="shared" si="64"/>
        <v>Vigente</v>
      </c>
      <c r="Y108" s="498" t="s">
        <v>450</v>
      </c>
      <c r="Z108" s="469">
        <f t="shared" si="65"/>
        <v>265</v>
      </c>
      <c r="AA108" s="499">
        <f t="shared" si="70"/>
        <v>1.643851670902009</v>
      </c>
      <c r="AB108" s="499">
        <f>+AB107</f>
        <v>1.6177436985933051</v>
      </c>
      <c r="AC108" s="469" t="s">
        <v>451</v>
      </c>
      <c r="AD108" s="469" t="s">
        <v>454</v>
      </c>
      <c r="AF108" s="444">
        <f>+IF(Tabla33[[#This Row],[Amortización k | cupón de intereses]]="Amortización de K",Tabla33[[#This Row],[Valor Nominal]],0)</f>
        <v>0</v>
      </c>
      <c r="AG108" s="444">
        <f>+IF(AND(Tabla33[[#This Row],[Amortización k | cupón de intereses]]="Cupón de interés",Tabla33[[#This Row],[Estado]]="Vigente"),Tabla33[[#This Row],[Valor Nominal]],0)</f>
        <v>13076.7</v>
      </c>
      <c r="AH108" s="444">
        <f>+IF(Tabla33[[#This Row],[Amortización k | cupón de intereses]]="Amortización de K",SUMIFS($AG$7:$AG$418,Tabla33[Código Emisión],Tabla33[[#This Row],[Código Emisión]],Tabla33[Fecha de operación],Tabla33[[#This Row],[Fecha de operación]]),0)-Tabla33[[#This Row],[Accrued]]*Tabla33[[#This Row],[Valor Nominal]]</f>
        <v>0</v>
      </c>
      <c r="AI108" s="444">
        <f>+IF(Tabla33[[#This Row],[Amortización k | cupón de intereses]]="Amortización de K",IF(Tabla33[[#This Row],[Precio Clean]]&gt;1,Tabla33[[#This Row],[Valor Nominal]]*(Tabla33[[#This Row],[Precio Clean]]-1),0),0)</f>
        <v>0</v>
      </c>
      <c r="AJ108" s="444">
        <f>+IF(Tabla33[[#This Row],[Amortización k | cupón de intereses]]="Amortización de K",IF(Tabla33[[#This Row],[Precio Clean]]&lt;1,Tabla33[[#This Row],[Valor Nominal]]*(Tabla33[[#This Row],[Precio Clean]]-1),0),0)</f>
        <v>0</v>
      </c>
    </row>
    <row r="109" spans="1:36">
      <c r="A109" s="502"/>
      <c r="B109" s="437" t="s">
        <v>485</v>
      </c>
      <c r="C109" s="437" t="str">
        <f t="shared" si="59"/>
        <v>BNF_6,45%_210927_200K_BB1814-1820-2</v>
      </c>
      <c r="D109" s="437" t="s">
        <v>453</v>
      </c>
      <c r="E109" s="437" t="str">
        <f t="shared" si="60"/>
        <v>AA+py</v>
      </c>
      <c r="F109" s="437" t="s">
        <v>297</v>
      </c>
      <c r="G109" s="437" t="s">
        <v>298</v>
      </c>
      <c r="H109" s="437">
        <f t="shared" si="69"/>
        <v>2</v>
      </c>
      <c r="I109" s="492">
        <v>6326.3</v>
      </c>
      <c r="J109" s="451"/>
      <c r="K109" s="450"/>
      <c r="L109" s="451"/>
      <c r="M109" s="493"/>
      <c r="N109" s="493"/>
      <c r="O109" s="494">
        <f t="shared" si="68"/>
        <v>6.4554038643836964E-2</v>
      </c>
      <c r="P109" s="494">
        <f t="shared" si="68"/>
        <v>6.3508021507080681E-2</v>
      </c>
      <c r="Q109" s="450">
        <f t="shared" si="68"/>
        <v>45867</v>
      </c>
      <c r="R109" s="450">
        <v>46101</v>
      </c>
      <c r="S109" s="509" t="s">
        <v>146</v>
      </c>
      <c r="T109" s="510">
        <f>Tabla33[[#This Row],[Cantidad]]*Tabla33[[#This Row],[Cortes]]</f>
        <v>12652.6</v>
      </c>
      <c r="U109" s="511">
        <f t="shared" si="52"/>
        <v>12480.305358446933</v>
      </c>
      <c r="V109" s="511">
        <f t="shared" si="53"/>
        <v>12478.166589434841</v>
      </c>
      <c r="W109" s="497">
        <f>IF(Tabla33[[#This Row],[Fecha de operación]]=$C$1,0,U109-V109)</f>
        <v>2.1387690120918705</v>
      </c>
      <c r="X109" s="512" t="str">
        <f t="shared" si="64"/>
        <v>Vigente</v>
      </c>
      <c r="Y109" s="498" t="s">
        <v>450</v>
      </c>
      <c r="Z109" s="469">
        <f t="shared" si="65"/>
        <v>80</v>
      </c>
      <c r="AA109" s="499">
        <f t="shared" si="70"/>
        <v>1.643851670902009</v>
      </c>
      <c r="AB109" s="499">
        <f>+AB108</f>
        <v>1.6177436985933051</v>
      </c>
      <c r="AC109" s="469" t="s">
        <v>451</v>
      </c>
      <c r="AD109" s="469" t="s">
        <v>454</v>
      </c>
      <c r="AF109" s="444">
        <f>+IF(Tabla33[[#This Row],[Amortización k | cupón de intereses]]="Amortización de K",Tabla33[[#This Row],[Valor Nominal]],0)</f>
        <v>0</v>
      </c>
      <c r="AG109" s="444">
        <f>+IF(AND(Tabla33[[#This Row],[Amortización k | cupón de intereses]]="Cupón de interés",Tabla33[[#This Row],[Estado]]="Vigente"),Tabla33[[#This Row],[Valor Nominal]],0)</f>
        <v>12652.6</v>
      </c>
      <c r="AH109" s="444">
        <f>+IF(Tabla33[[#This Row],[Amortización k | cupón de intereses]]="Amortización de K",SUMIFS($AG$7:$AG$418,Tabla33[Código Emisión],Tabla33[[#This Row],[Código Emisión]],Tabla33[Fecha de operación],Tabla33[[#This Row],[Fecha de operación]]),0)-Tabla33[[#This Row],[Accrued]]*Tabla33[[#This Row],[Valor Nominal]]</f>
        <v>0</v>
      </c>
      <c r="AI109" s="444">
        <f>+IF(Tabla33[[#This Row],[Amortización k | cupón de intereses]]="Amortización de K",IF(Tabla33[[#This Row],[Precio Clean]]&gt;1,Tabla33[[#This Row],[Valor Nominal]]*(Tabla33[[#This Row],[Precio Clean]]-1),0),0)</f>
        <v>0</v>
      </c>
      <c r="AJ109" s="444">
        <f>+IF(Tabla33[[#This Row],[Amortización k | cupón de intereses]]="Amortización de K",IF(Tabla33[[#This Row],[Precio Clean]]&lt;1,Tabla33[[#This Row],[Valor Nominal]]*(Tabla33[[#This Row],[Precio Clean]]-1),0),0)</f>
        <v>0</v>
      </c>
    </row>
    <row r="110" spans="1:36">
      <c r="A110" s="502"/>
      <c r="B110" s="437" t="s">
        <v>485</v>
      </c>
      <c r="C110" s="437" t="str">
        <f t="shared" si="59"/>
        <v>BNF_6,45%_210927_200K_BB1814-1820-2</v>
      </c>
      <c r="D110" s="437" t="s">
        <v>453</v>
      </c>
      <c r="E110" s="437" t="str">
        <f t="shared" si="60"/>
        <v>AA+py</v>
      </c>
      <c r="F110" s="437" t="s">
        <v>297</v>
      </c>
      <c r="G110" s="437" t="s">
        <v>298</v>
      </c>
      <c r="H110" s="437">
        <f t="shared" si="69"/>
        <v>2</v>
      </c>
      <c r="I110" s="492">
        <v>6573.69</v>
      </c>
      <c r="J110" s="451"/>
      <c r="K110" s="450"/>
      <c r="L110" s="451"/>
      <c r="M110" s="493"/>
      <c r="N110" s="493"/>
      <c r="O110" s="494">
        <f t="shared" si="68"/>
        <v>6.4554038643836964E-2</v>
      </c>
      <c r="P110" s="494">
        <f t="shared" si="68"/>
        <v>6.3508021507080681E-2</v>
      </c>
      <c r="Q110" s="450">
        <f t="shared" si="68"/>
        <v>45867</v>
      </c>
      <c r="R110" s="450">
        <v>45922</v>
      </c>
      <c r="S110" s="509" t="s">
        <v>146</v>
      </c>
      <c r="T110" s="510">
        <f>Tabla33[[#This Row],[Cantidad]]*Tabla33[[#This Row],[Cortes]]</f>
        <v>13147.38</v>
      </c>
      <c r="U110" s="511" t="b">
        <f t="shared" si="52"/>
        <v>0</v>
      </c>
      <c r="V110" s="511" t="b">
        <f t="shared" si="53"/>
        <v>0</v>
      </c>
      <c r="W110" s="497">
        <f>IF(Tabla33[[#This Row],[Fecha de operación]]=$C$1,0,U110-V110)</f>
        <v>0</v>
      </c>
      <c r="X110" s="512" t="str">
        <f t="shared" si="64"/>
        <v>Vencido</v>
      </c>
      <c r="Y110" s="498" t="s">
        <v>450</v>
      </c>
      <c r="Z110" s="469">
        <f t="shared" si="65"/>
        <v>-99</v>
      </c>
      <c r="AA110" s="499">
        <f t="shared" si="70"/>
        <v>1.643851670902009</v>
      </c>
      <c r="AB110" s="499">
        <f>+AB109</f>
        <v>1.6177436985933051</v>
      </c>
      <c r="AC110" s="469" t="s">
        <v>451</v>
      </c>
      <c r="AD110" s="469" t="s">
        <v>454</v>
      </c>
      <c r="AF110" s="444">
        <f>+IF(Tabla33[[#This Row],[Amortización k | cupón de intereses]]="Amortización de K",Tabla33[[#This Row],[Valor Nominal]],0)</f>
        <v>0</v>
      </c>
      <c r="AG110" s="444">
        <f>+IF(AND(Tabla33[[#This Row],[Amortización k | cupón de intereses]]="Cupón de interés",Tabla33[[#This Row],[Estado]]="Vigente"),Tabla33[[#This Row],[Valor Nominal]],0)</f>
        <v>0</v>
      </c>
      <c r="AH110" s="444">
        <f>+IF(Tabla33[[#This Row],[Amortización k | cupón de intereses]]="Amortización de K",SUMIFS($AG$7:$AG$418,Tabla33[Código Emisión],Tabla33[[#This Row],[Código Emisión]],Tabla33[Fecha de operación],Tabla33[[#This Row],[Fecha de operación]]),0)-Tabla33[[#This Row],[Accrued]]*Tabla33[[#This Row],[Valor Nominal]]</f>
        <v>0</v>
      </c>
      <c r="AI110" s="444">
        <f>+IF(Tabla33[[#This Row],[Amortización k | cupón de intereses]]="Amortización de K",IF(Tabla33[[#This Row],[Precio Clean]]&gt;1,Tabla33[[#This Row],[Valor Nominal]]*(Tabla33[[#This Row],[Precio Clean]]-1),0),0)</f>
        <v>0</v>
      </c>
      <c r="AJ110" s="444">
        <f>+IF(Tabla33[[#This Row],[Amortización k | cupón de intereses]]="Amortización de K",IF(Tabla33[[#This Row],[Precio Clean]]&lt;1,Tabla33[[#This Row],[Valor Nominal]]*(Tabla33[[#This Row],[Precio Clean]]-1),0),0)</f>
        <v>0</v>
      </c>
    </row>
    <row r="111" spans="1:36" ht="15">
      <c r="A111" s="500">
        <f>+A104+1</f>
        <v>14</v>
      </c>
      <c r="B111" s="475" t="s">
        <v>485</v>
      </c>
      <c r="C111" s="475" t="s">
        <v>503</v>
      </c>
      <c r="D111" s="475" t="s">
        <v>453</v>
      </c>
      <c r="E111" s="475" t="s">
        <v>487</v>
      </c>
      <c r="F111" s="475" t="s">
        <v>297</v>
      </c>
      <c r="G111" s="475" t="s">
        <v>298</v>
      </c>
      <c r="H111" s="475">
        <v>1</v>
      </c>
      <c r="I111" s="477">
        <v>200000</v>
      </c>
      <c r="J111" s="478">
        <v>6.4500000000000002E-2</v>
      </c>
      <c r="K111" s="479">
        <f>_xlfn.MAXIFS(R:R,C:C,C111,AD:AD,"Cupón de interés",X:X,"Vencido")</f>
        <v>45922</v>
      </c>
      <c r="L111" s="478">
        <f>+Tabla33[[#This Row],[Tasa de Interés]]*($U$5-Tabla33[[#This Row],[Last coupon]])/365</f>
        <v>1.7494520547945206E-2</v>
      </c>
      <c r="M111" s="480">
        <f>+Tabla33[[#This Row],[Precio Dirty]]-Tabla33[[#This Row],[Accrued]]</f>
        <v>1.0014211535361921</v>
      </c>
      <c r="N111" s="481">
        <f>SUMIFS(U:U,C:C,C111,Q:Q,Q111)/SUMIFS(T:T,C:C,C111,Q:Q,Q111,AD:AD,"Amortización de K")</f>
        <v>1.0189156740841374</v>
      </c>
      <c r="O111" s="482">
        <v>6.4554056525230399E-2</v>
      </c>
      <c r="P111" s="482">
        <v>6.3544578171482513E-2</v>
      </c>
      <c r="Q111" s="484">
        <v>45875</v>
      </c>
      <c r="R111" s="484">
        <v>46651</v>
      </c>
      <c r="S111" s="504" t="s">
        <v>146</v>
      </c>
      <c r="T111" s="505">
        <f>Tabla33[[#This Row],[Cantidad]]*Tabla33[[#This Row],[Cortes]]</f>
        <v>200000</v>
      </c>
      <c r="U111" s="506">
        <f t="shared" si="52"/>
        <v>179530.30472391457</v>
      </c>
      <c r="V111" s="506">
        <f t="shared" si="53"/>
        <v>179499.53833282556</v>
      </c>
      <c r="W111" s="487">
        <f>IF(Tabla33[[#This Row],[Fecha de operación]]=$C$1,0,U111-V111)</f>
        <v>30.766391089011449</v>
      </c>
      <c r="X111" s="507" t="str">
        <f t="shared" si="64"/>
        <v>Vigente</v>
      </c>
      <c r="Y111" s="489" t="s">
        <v>450</v>
      </c>
      <c r="Z111" s="488">
        <f t="shared" si="65"/>
        <v>630</v>
      </c>
      <c r="AA111" s="508">
        <f t="shared" ref="AA111" si="71">IF(Y111="Mensual",DURATION($C$1,$C$1+Z111*12,J111/12,O111/12,1)/12,DURATION($C$1,R111,J111,O111,IF(Y111="Cupón cero",1,IF(Y111="Al vencimiento",1,IF(Y111="Anual",1,IF(Y111="Semestral",2,IF(Y111="Trimestral",4,"")))))))</f>
        <v>1.6438516694582777</v>
      </c>
      <c r="AB111" s="508">
        <f t="shared" ref="AB111" si="72">IF(Y111="Mensual",MDURATION($C$1,$C$1+Z111*12,J111/12,O111/12,1)/12,MDURATION($C$1,R111,J111,O111,IF(Y111="Cupón cero",1,IF(Y111="Al vencimiento",1,IF(Y111="Anual",1,IF(Y111="Semestral",2,IF(Y111="Trimestral",4,"")))))))</f>
        <v>1.6177436900554836</v>
      </c>
      <c r="AC111" s="488" t="s">
        <v>451</v>
      </c>
      <c r="AD111" s="488" t="s">
        <v>452</v>
      </c>
      <c r="AF111" s="444">
        <f>+IF(Tabla33[[#This Row],[Amortización k | cupón de intereses]]="Amortización de K",Tabla33[[#This Row],[Valor Nominal]],0)</f>
        <v>200000</v>
      </c>
      <c r="AG111" s="444">
        <f>+IF(AND(Tabla33[[#This Row],[Amortización k | cupón de intereses]]="Cupón de interés",Tabla33[[#This Row],[Estado]]="Vigente"),Tabla33[[#This Row],[Valor Nominal]],0)</f>
        <v>0</v>
      </c>
      <c r="AH111" s="444">
        <f>+IF(Tabla33[[#This Row],[Amortización k | cupón de intereses]]="Amortización de K",SUMIFS($AG$7:$AG$418,Tabla33[Código Emisión],Tabla33[[#This Row],[Código Emisión]],Tabla33[Fecha de operación],Tabla33[[#This Row],[Fecha de operación]]),0)-Tabla33[[#This Row],[Accrued]]*Tabla33[[#This Row],[Valor Nominal]]</f>
        <v>22265.725890410959</v>
      </c>
      <c r="AI111" s="444">
        <f>+IF(Tabla33[[#This Row],[Amortización k | cupón de intereses]]="Amortización de K",IF(Tabla33[[#This Row],[Precio Clean]]&gt;1,Tabla33[[#This Row],[Valor Nominal]]*(Tabla33[[#This Row],[Precio Clean]]-1),0),0)</f>
        <v>284.23070723841982</v>
      </c>
      <c r="AJ111" s="444">
        <f>+IF(Tabla33[[#This Row],[Amortización k | cupón de intereses]]="Amortización de K",IF(Tabla33[[#This Row],[Precio Clean]]&lt;1,Tabla33[[#This Row],[Valor Nominal]]*(Tabla33[[#This Row],[Precio Clean]]-1),0),0)</f>
        <v>0</v>
      </c>
    </row>
    <row r="112" spans="1:36">
      <c r="A112" s="502"/>
      <c r="B112" s="437" t="s">
        <v>485</v>
      </c>
      <c r="C112" s="437" t="str">
        <f t="shared" ref="C112:C117" si="73">+C111</f>
        <v>BNF_6,45%_210927_200K_BB1814-1820-2</v>
      </c>
      <c r="D112" s="437" t="s">
        <v>453</v>
      </c>
      <c r="E112" s="437" t="str">
        <f t="shared" ref="E112:E117" si="74">+E111</f>
        <v>AA+py</v>
      </c>
      <c r="F112" s="437" t="s">
        <v>297</v>
      </c>
      <c r="G112" s="437" t="s">
        <v>298</v>
      </c>
      <c r="H112" s="437">
        <f>+H111</f>
        <v>1</v>
      </c>
      <c r="I112" s="492">
        <v>35.340000000000003</v>
      </c>
      <c r="J112" s="451"/>
      <c r="K112" s="450"/>
      <c r="L112" s="451"/>
      <c r="M112" s="493"/>
      <c r="N112" s="493"/>
      <c r="O112" s="494">
        <f t="shared" ref="O112:Q117" si="75">+O111</f>
        <v>6.4554056525230399E-2</v>
      </c>
      <c r="P112" s="494">
        <f t="shared" si="75"/>
        <v>6.3544578171482513E-2</v>
      </c>
      <c r="Q112" s="450">
        <f t="shared" si="75"/>
        <v>45875</v>
      </c>
      <c r="R112" s="450">
        <v>46651</v>
      </c>
      <c r="S112" s="509" t="s">
        <v>146</v>
      </c>
      <c r="T112" s="510">
        <f>Tabla33[[#This Row],[Cantidad]]*Tabla33[[#This Row],[Cortes]]</f>
        <v>35.340000000000003</v>
      </c>
      <c r="U112" s="511">
        <f t="shared" si="52"/>
        <v>31.723004844715707</v>
      </c>
      <c r="V112" s="511">
        <f t="shared" si="53"/>
        <v>31.717568423410277</v>
      </c>
      <c r="W112" s="497">
        <f>IF(Tabla33[[#This Row],[Fecha de operación]]=$C$1,0,U112-V112)</f>
        <v>5.4364213054292065E-3</v>
      </c>
      <c r="X112" s="512" t="str">
        <f t="shared" si="64"/>
        <v>Vigente</v>
      </c>
      <c r="Y112" s="498" t="s">
        <v>450</v>
      </c>
      <c r="Z112" s="469">
        <f t="shared" si="65"/>
        <v>630</v>
      </c>
      <c r="AA112" s="499">
        <f>+AA111</f>
        <v>1.6438516694582777</v>
      </c>
      <c r="AB112" s="499">
        <f>+AB111</f>
        <v>1.6177436900554836</v>
      </c>
      <c r="AC112" s="469" t="s">
        <v>451</v>
      </c>
      <c r="AD112" s="469" t="s">
        <v>454</v>
      </c>
      <c r="AF112" s="444">
        <f>+IF(Tabla33[[#This Row],[Amortización k | cupón de intereses]]="Amortización de K",Tabla33[[#This Row],[Valor Nominal]],0)</f>
        <v>0</v>
      </c>
      <c r="AG112" s="444">
        <f>+IF(AND(Tabla33[[#This Row],[Amortización k | cupón de intereses]]="Cupón de interés",Tabla33[[#This Row],[Estado]]="Vigente"),Tabla33[[#This Row],[Valor Nominal]],0)</f>
        <v>35.340000000000003</v>
      </c>
      <c r="AH112" s="444">
        <f>+IF(Tabla33[[#This Row],[Amortización k | cupón de intereses]]="Amortización de K",SUMIFS($AG$7:$AG$418,Tabla33[Código Emisión],Tabla33[[#This Row],[Código Emisión]],Tabla33[Fecha de operación],Tabla33[[#This Row],[Fecha de operación]]),0)-Tabla33[[#This Row],[Accrued]]*Tabla33[[#This Row],[Valor Nominal]]</f>
        <v>0</v>
      </c>
      <c r="AI112" s="444">
        <f>+IF(Tabla33[[#This Row],[Amortización k | cupón de intereses]]="Amortización de K",IF(Tabla33[[#This Row],[Precio Clean]]&gt;1,Tabla33[[#This Row],[Valor Nominal]]*(Tabla33[[#This Row],[Precio Clean]]-1),0),0)</f>
        <v>0</v>
      </c>
      <c r="AJ112" s="444">
        <f>+IF(Tabla33[[#This Row],[Amortización k | cupón de intereses]]="Amortización de K",IF(Tabla33[[#This Row],[Precio Clean]]&lt;1,Tabla33[[#This Row],[Valor Nominal]]*(Tabla33[[#This Row],[Precio Clean]]-1),0),0)</f>
        <v>0</v>
      </c>
    </row>
    <row r="113" spans="1:36">
      <c r="A113" s="502"/>
      <c r="B113" s="437" t="s">
        <v>485</v>
      </c>
      <c r="C113" s="437" t="str">
        <f t="shared" si="73"/>
        <v>BNF_6,45%_210927_200K_BB1814-1820-2</v>
      </c>
      <c r="D113" s="437" t="s">
        <v>453</v>
      </c>
      <c r="E113" s="437" t="str">
        <f t="shared" si="74"/>
        <v>AA+py</v>
      </c>
      <c r="F113" s="437" t="s">
        <v>297</v>
      </c>
      <c r="G113" s="437" t="s">
        <v>298</v>
      </c>
      <c r="H113" s="437">
        <f t="shared" ref="H113:H117" si="76">+H112</f>
        <v>1</v>
      </c>
      <c r="I113" s="492">
        <v>6432.32</v>
      </c>
      <c r="J113" s="451"/>
      <c r="K113" s="450"/>
      <c r="L113" s="451"/>
      <c r="M113" s="493"/>
      <c r="N113" s="493"/>
      <c r="O113" s="494">
        <f t="shared" si="75"/>
        <v>6.4554056525230399E-2</v>
      </c>
      <c r="P113" s="494">
        <f t="shared" si="75"/>
        <v>6.3544578171482513E-2</v>
      </c>
      <c r="Q113" s="450">
        <f t="shared" si="75"/>
        <v>45875</v>
      </c>
      <c r="R113" s="450">
        <v>46650</v>
      </c>
      <c r="S113" s="509" t="s">
        <v>146</v>
      </c>
      <c r="T113" s="510">
        <f>Tabla33[[#This Row],[Cantidad]]*Tabla33[[#This Row],[Cortes]]</f>
        <v>6432.32</v>
      </c>
      <c r="U113" s="511">
        <f t="shared" si="52"/>
        <v>5774.9715143729136</v>
      </c>
      <c r="V113" s="511">
        <f t="shared" si="53"/>
        <v>5773.98184840865</v>
      </c>
      <c r="W113" s="497">
        <f>IF(Tabla33[[#This Row],[Fecha de operación]]=$C$1,0,U113-V113)</f>
        <v>0.9896659642636223</v>
      </c>
      <c r="X113" s="512" t="str">
        <f t="shared" si="64"/>
        <v>Vigente</v>
      </c>
      <c r="Y113" s="498" t="s">
        <v>450</v>
      </c>
      <c r="Z113" s="469">
        <f t="shared" si="65"/>
        <v>629</v>
      </c>
      <c r="AA113" s="499">
        <f t="shared" ref="AA113:AA117" si="77">+AA112</f>
        <v>1.6438516694582777</v>
      </c>
      <c r="AB113" s="499">
        <f>+AB112</f>
        <v>1.6177436900554836</v>
      </c>
      <c r="AC113" s="469" t="s">
        <v>451</v>
      </c>
      <c r="AD113" s="469" t="s">
        <v>454</v>
      </c>
      <c r="AF113" s="444">
        <f>+IF(Tabla33[[#This Row],[Amortización k | cupón de intereses]]="Amortización de K",Tabla33[[#This Row],[Valor Nominal]],0)</f>
        <v>0</v>
      </c>
      <c r="AG113" s="444">
        <f>+IF(AND(Tabla33[[#This Row],[Amortización k | cupón de intereses]]="Cupón de interés",Tabla33[[#This Row],[Estado]]="Vigente"),Tabla33[[#This Row],[Valor Nominal]],0)</f>
        <v>6432.32</v>
      </c>
      <c r="AH113" s="444">
        <f>+IF(Tabla33[[#This Row],[Amortización k | cupón de intereses]]="Amortización de K",SUMIFS($AG$7:$AG$418,Tabla33[Código Emisión],Tabla33[[#This Row],[Código Emisión]],Tabla33[Fecha de operación],Tabla33[[#This Row],[Fecha de operación]]),0)-Tabla33[[#This Row],[Accrued]]*Tabla33[[#This Row],[Valor Nominal]]</f>
        <v>0</v>
      </c>
      <c r="AI113" s="444">
        <f>+IF(Tabla33[[#This Row],[Amortización k | cupón de intereses]]="Amortización de K",IF(Tabla33[[#This Row],[Precio Clean]]&gt;1,Tabla33[[#This Row],[Valor Nominal]]*(Tabla33[[#This Row],[Precio Clean]]-1),0),0)</f>
        <v>0</v>
      </c>
      <c r="AJ113" s="444">
        <f>+IF(Tabla33[[#This Row],[Amortización k | cupón de intereses]]="Amortización de K",IF(Tabla33[[#This Row],[Precio Clean]]&lt;1,Tabla33[[#This Row],[Valor Nominal]]*(Tabla33[[#This Row],[Precio Clean]]-1),0),0)</f>
        <v>0</v>
      </c>
    </row>
    <row r="114" spans="1:36">
      <c r="A114" s="502"/>
      <c r="B114" s="437" t="s">
        <v>485</v>
      </c>
      <c r="C114" s="437" t="str">
        <f t="shared" si="73"/>
        <v>BNF_6,45%_210927_200K_BB1814-1820-2</v>
      </c>
      <c r="D114" s="437" t="s">
        <v>453</v>
      </c>
      <c r="E114" s="437" t="str">
        <f t="shared" si="74"/>
        <v>AA+py</v>
      </c>
      <c r="F114" s="437" t="s">
        <v>297</v>
      </c>
      <c r="G114" s="437" t="s">
        <v>298</v>
      </c>
      <c r="H114" s="437">
        <f t="shared" si="76"/>
        <v>1</v>
      </c>
      <c r="I114" s="492">
        <v>6432.32</v>
      </c>
      <c r="J114" s="451"/>
      <c r="K114" s="450"/>
      <c r="L114" s="451"/>
      <c r="M114" s="493"/>
      <c r="N114" s="493"/>
      <c r="O114" s="494">
        <f t="shared" si="75"/>
        <v>6.4554056525230399E-2</v>
      </c>
      <c r="P114" s="494">
        <f t="shared" si="75"/>
        <v>6.3544578171482513E-2</v>
      </c>
      <c r="Q114" s="450">
        <f t="shared" si="75"/>
        <v>45875</v>
      </c>
      <c r="R114" s="450">
        <v>46468</v>
      </c>
      <c r="S114" s="509" t="s">
        <v>146</v>
      </c>
      <c r="T114" s="510">
        <f>Tabla33[[#This Row],[Cantidad]]*Tabla33[[#This Row],[Cortes]]</f>
        <v>6432.32</v>
      </c>
      <c r="U114" s="511">
        <f t="shared" si="52"/>
        <v>5957.9450019552751</v>
      </c>
      <c r="V114" s="511">
        <f t="shared" si="53"/>
        <v>5956.9239795362537</v>
      </c>
      <c r="W114" s="497">
        <f>IF(Tabla33[[#This Row],[Fecha de operación]]=$C$1,0,U114-V114)</f>
        <v>1.0210224190213921</v>
      </c>
      <c r="X114" s="512" t="str">
        <f t="shared" si="64"/>
        <v>Vigente</v>
      </c>
      <c r="Y114" s="498" t="s">
        <v>450</v>
      </c>
      <c r="Z114" s="469">
        <f t="shared" si="65"/>
        <v>447</v>
      </c>
      <c r="AA114" s="499">
        <f t="shared" si="77"/>
        <v>1.6438516694582777</v>
      </c>
      <c r="AB114" s="499">
        <f>+AB113</f>
        <v>1.6177436900554836</v>
      </c>
      <c r="AC114" s="469" t="s">
        <v>451</v>
      </c>
      <c r="AD114" s="469" t="s">
        <v>454</v>
      </c>
      <c r="AF114" s="444">
        <f>+IF(Tabla33[[#This Row],[Amortización k | cupón de intereses]]="Amortización de K",Tabla33[[#This Row],[Valor Nominal]],0)</f>
        <v>0</v>
      </c>
      <c r="AG114" s="444">
        <f>+IF(AND(Tabla33[[#This Row],[Amortización k | cupón de intereses]]="Cupón de interés",Tabla33[[#This Row],[Estado]]="Vigente"),Tabla33[[#This Row],[Valor Nominal]],0)</f>
        <v>6432.32</v>
      </c>
      <c r="AH114" s="444">
        <f>+IF(Tabla33[[#This Row],[Amortización k | cupón de intereses]]="Amortización de K",SUMIFS($AG$7:$AG$418,Tabla33[Código Emisión],Tabla33[[#This Row],[Código Emisión]],Tabla33[Fecha de operación],Tabla33[[#This Row],[Fecha de operación]]),0)-Tabla33[[#This Row],[Accrued]]*Tabla33[[#This Row],[Valor Nominal]]</f>
        <v>0</v>
      </c>
      <c r="AI114" s="444">
        <f>+IF(Tabla33[[#This Row],[Amortización k | cupón de intereses]]="Amortización de K",IF(Tabla33[[#This Row],[Precio Clean]]&gt;1,Tabla33[[#This Row],[Valor Nominal]]*(Tabla33[[#This Row],[Precio Clean]]-1),0),0)</f>
        <v>0</v>
      </c>
      <c r="AJ114" s="444">
        <f>+IF(Tabla33[[#This Row],[Amortización k | cupón de intereses]]="Amortización de K",IF(Tabla33[[#This Row],[Precio Clean]]&lt;1,Tabla33[[#This Row],[Valor Nominal]]*(Tabla33[[#This Row],[Precio Clean]]-1),0),0)</f>
        <v>0</v>
      </c>
    </row>
    <row r="115" spans="1:36">
      <c r="A115" s="502"/>
      <c r="B115" s="437" t="s">
        <v>485</v>
      </c>
      <c r="C115" s="437" t="str">
        <f t="shared" si="73"/>
        <v>BNF_6,45%_210927_200K_BB1814-1820-2</v>
      </c>
      <c r="D115" s="437" t="s">
        <v>453</v>
      </c>
      <c r="E115" s="437" t="str">
        <f t="shared" si="74"/>
        <v>AA+py</v>
      </c>
      <c r="F115" s="437" t="s">
        <v>297</v>
      </c>
      <c r="G115" s="437" t="s">
        <v>298</v>
      </c>
      <c r="H115" s="437">
        <f t="shared" si="76"/>
        <v>1</v>
      </c>
      <c r="I115" s="492">
        <v>6538.35</v>
      </c>
      <c r="J115" s="451"/>
      <c r="K115" s="450"/>
      <c r="L115" s="451"/>
      <c r="M115" s="493"/>
      <c r="N115" s="493"/>
      <c r="O115" s="494">
        <f t="shared" si="75"/>
        <v>6.4554056525230399E-2</v>
      </c>
      <c r="P115" s="494">
        <f t="shared" si="75"/>
        <v>6.3544578171482513E-2</v>
      </c>
      <c r="Q115" s="450">
        <f t="shared" si="75"/>
        <v>45875</v>
      </c>
      <c r="R115" s="450">
        <v>46286</v>
      </c>
      <c r="S115" s="509" t="s">
        <v>146</v>
      </c>
      <c r="T115" s="510">
        <f>Tabla33[[#This Row],[Cantidad]]*Tabla33[[#This Row],[Cortes]]</f>
        <v>6538.35</v>
      </c>
      <c r="U115" s="511">
        <f t="shared" si="52"/>
        <v>6248.0379154900211</v>
      </c>
      <c r="V115" s="511">
        <f t="shared" si="53"/>
        <v>6246.9671793914968</v>
      </c>
      <c r="W115" s="497">
        <f>IF(Tabla33[[#This Row],[Fecha de operación]]=$C$1,0,U115-V115)</f>
        <v>1.0707360985243213</v>
      </c>
      <c r="X115" s="512" t="str">
        <f t="shared" si="64"/>
        <v>Vigente</v>
      </c>
      <c r="Y115" s="498" t="s">
        <v>450</v>
      </c>
      <c r="Z115" s="469">
        <f t="shared" si="65"/>
        <v>265</v>
      </c>
      <c r="AA115" s="499">
        <f t="shared" si="77"/>
        <v>1.6438516694582777</v>
      </c>
      <c r="AB115" s="499">
        <f>+AB114</f>
        <v>1.6177436900554836</v>
      </c>
      <c r="AC115" s="469" t="s">
        <v>451</v>
      </c>
      <c r="AD115" s="469" t="s">
        <v>454</v>
      </c>
      <c r="AF115" s="444">
        <f>+IF(Tabla33[[#This Row],[Amortización k | cupón de intereses]]="Amortización de K",Tabla33[[#This Row],[Valor Nominal]],0)</f>
        <v>0</v>
      </c>
      <c r="AG115" s="444">
        <f>+IF(AND(Tabla33[[#This Row],[Amortización k | cupón de intereses]]="Cupón de interés",Tabla33[[#This Row],[Estado]]="Vigente"),Tabla33[[#This Row],[Valor Nominal]],0)</f>
        <v>6538.35</v>
      </c>
      <c r="AH115" s="444">
        <f>+IF(Tabla33[[#This Row],[Amortización k | cupón de intereses]]="Amortización de K",SUMIFS($AG$7:$AG$418,Tabla33[Código Emisión],Tabla33[[#This Row],[Código Emisión]],Tabla33[Fecha de operación],Tabla33[[#This Row],[Fecha de operación]]),0)-Tabla33[[#This Row],[Accrued]]*Tabla33[[#This Row],[Valor Nominal]]</f>
        <v>0</v>
      </c>
      <c r="AI115" s="444">
        <f>+IF(Tabla33[[#This Row],[Amortización k | cupón de intereses]]="Amortización de K",IF(Tabla33[[#This Row],[Precio Clean]]&gt;1,Tabla33[[#This Row],[Valor Nominal]]*(Tabla33[[#This Row],[Precio Clean]]-1),0),0)</f>
        <v>0</v>
      </c>
      <c r="AJ115" s="444">
        <f>+IF(Tabla33[[#This Row],[Amortización k | cupón de intereses]]="Amortización de K",IF(Tabla33[[#This Row],[Precio Clean]]&lt;1,Tabla33[[#This Row],[Valor Nominal]]*(Tabla33[[#This Row],[Precio Clean]]-1),0),0)</f>
        <v>0</v>
      </c>
    </row>
    <row r="116" spans="1:36">
      <c r="A116" s="502"/>
      <c r="B116" s="437" t="s">
        <v>485</v>
      </c>
      <c r="C116" s="437" t="str">
        <f t="shared" si="73"/>
        <v>BNF_6,45%_210927_200K_BB1814-1820-2</v>
      </c>
      <c r="D116" s="437" t="s">
        <v>453</v>
      </c>
      <c r="E116" s="437" t="str">
        <f t="shared" si="74"/>
        <v>AA+py</v>
      </c>
      <c r="F116" s="437" t="s">
        <v>297</v>
      </c>
      <c r="G116" s="437" t="s">
        <v>298</v>
      </c>
      <c r="H116" s="437">
        <f t="shared" si="76"/>
        <v>1</v>
      </c>
      <c r="I116" s="492">
        <v>6326.3</v>
      </c>
      <c r="J116" s="451"/>
      <c r="K116" s="450"/>
      <c r="L116" s="451"/>
      <c r="M116" s="493"/>
      <c r="N116" s="493"/>
      <c r="O116" s="494">
        <f t="shared" si="75"/>
        <v>6.4554056525230399E-2</v>
      </c>
      <c r="P116" s="494">
        <f t="shared" si="75"/>
        <v>6.3544578171482513E-2</v>
      </c>
      <c r="Q116" s="450">
        <f t="shared" si="75"/>
        <v>45875</v>
      </c>
      <c r="R116" s="450">
        <v>46101</v>
      </c>
      <c r="S116" s="509" t="s">
        <v>146</v>
      </c>
      <c r="T116" s="510">
        <f>Tabla33[[#This Row],[Cantidad]]*Tabla33[[#This Row],[Cortes]]</f>
        <v>6326.3</v>
      </c>
      <c r="U116" s="511">
        <f t="shared" si="52"/>
        <v>6240.1526562500294</v>
      </c>
      <c r="V116" s="511">
        <f t="shared" si="53"/>
        <v>6239.0832714608014</v>
      </c>
      <c r="W116" s="497">
        <f>IF(Tabla33[[#This Row],[Fecha de operación]]=$C$1,0,U116-V116)</f>
        <v>1.0693847892280246</v>
      </c>
      <c r="X116" s="512" t="str">
        <f t="shared" si="64"/>
        <v>Vigente</v>
      </c>
      <c r="Y116" s="498" t="s">
        <v>450</v>
      </c>
      <c r="Z116" s="469">
        <f t="shared" si="65"/>
        <v>80</v>
      </c>
      <c r="AA116" s="499">
        <f t="shared" si="77"/>
        <v>1.6438516694582777</v>
      </c>
      <c r="AB116" s="499">
        <f>+AB115</f>
        <v>1.6177436900554836</v>
      </c>
      <c r="AC116" s="469" t="s">
        <v>451</v>
      </c>
      <c r="AD116" s="469" t="s">
        <v>454</v>
      </c>
      <c r="AF116" s="444">
        <f>+IF(Tabla33[[#This Row],[Amortización k | cupón de intereses]]="Amortización de K",Tabla33[[#This Row],[Valor Nominal]],0)</f>
        <v>0</v>
      </c>
      <c r="AG116" s="444">
        <f>+IF(AND(Tabla33[[#This Row],[Amortización k | cupón de intereses]]="Cupón de interés",Tabla33[[#This Row],[Estado]]="Vigente"),Tabla33[[#This Row],[Valor Nominal]],0)</f>
        <v>6326.3</v>
      </c>
      <c r="AH116" s="444">
        <f>+IF(Tabla33[[#This Row],[Amortización k | cupón de intereses]]="Amortización de K",SUMIFS($AG$7:$AG$418,Tabla33[Código Emisión],Tabla33[[#This Row],[Código Emisión]],Tabla33[Fecha de operación],Tabla33[[#This Row],[Fecha de operación]]),0)-Tabla33[[#This Row],[Accrued]]*Tabla33[[#This Row],[Valor Nominal]]</f>
        <v>0</v>
      </c>
      <c r="AI116" s="444">
        <f>+IF(Tabla33[[#This Row],[Amortización k | cupón de intereses]]="Amortización de K",IF(Tabla33[[#This Row],[Precio Clean]]&gt;1,Tabla33[[#This Row],[Valor Nominal]]*(Tabla33[[#This Row],[Precio Clean]]-1),0),0)</f>
        <v>0</v>
      </c>
      <c r="AJ116" s="444">
        <f>+IF(Tabla33[[#This Row],[Amortización k | cupón de intereses]]="Amortización de K",IF(Tabla33[[#This Row],[Precio Clean]]&lt;1,Tabla33[[#This Row],[Valor Nominal]]*(Tabla33[[#This Row],[Precio Clean]]-1),0),0)</f>
        <v>0</v>
      </c>
    </row>
    <row r="117" spans="1:36">
      <c r="A117" s="502"/>
      <c r="B117" s="437" t="s">
        <v>485</v>
      </c>
      <c r="C117" s="437" t="str">
        <f t="shared" si="73"/>
        <v>BNF_6,45%_210927_200K_BB1814-1820-2</v>
      </c>
      <c r="D117" s="437" t="s">
        <v>453</v>
      </c>
      <c r="E117" s="437" t="str">
        <f t="shared" si="74"/>
        <v>AA+py</v>
      </c>
      <c r="F117" s="437" t="s">
        <v>297</v>
      </c>
      <c r="G117" s="437" t="s">
        <v>298</v>
      </c>
      <c r="H117" s="437">
        <f t="shared" si="76"/>
        <v>1</v>
      </c>
      <c r="I117" s="492">
        <v>6573.69</v>
      </c>
      <c r="J117" s="451"/>
      <c r="K117" s="450"/>
      <c r="L117" s="451"/>
      <c r="M117" s="493"/>
      <c r="N117" s="493"/>
      <c r="O117" s="494">
        <f t="shared" si="75"/>
        <v>6.4554056525230399E-2</v>
      </c>
      <c r="P117" s="494">
        <f t="shared" si="75"/>
        <v>6.3544578171482513E-2</v>
      </c>
      <c r="Q117" s="450">
        <f t="shared" si="75"/>
        <v>45875</v>
      </c>
      <c r="R117" s="450">
        <v>45922</v>
      </c>
      <c r="S117" s="509" t="s">
        <v>146</v>
      </c>
      <c r="T117" s="510">
        <f>Tabla33[[#This Row],[Cantidad]]*Tabla33[[#This Row],[Cortes]]</f>
        <v>6573.69</v>
      </c>
      <c r="U117" s="511" t="b">
        <f t="shared" si="52"/>
        <v>0</v>
      </c>
      <c r="V117" s="511" t="b">
        <f t="shared" si="53"/>
        <v>0</v>
      </c>
      <c r="W117" s="497">
        <f>IF(Tabla33[[#This Row],[Fecha de operación]]=$C$1,0,U117-V117)</f>
        <v>0</v>
      </c>
      <c r="X117" s="512" t="str">
        <f t="shared" si="64"/>
        <v>Vencido</v>
      </c>
      <c r="Y117" s="498" t="s">
        <v>450</v>
      </c>
      <c r="Z117" s="469">
        <f t="shared" si="65"/>
        <v>-99</v>
      </c>
      <c r="AA117" s="499">
        <f t="shared" si="77"/>
        <v>1.6438516694582777</v>
      </c>
      <c r="AB117" s="499">
        <f>+AB116</f>
        <v>1.6177436900554836</v>
      </c>
      <c r="AC117" s="469" t="s">
        <v>451</v>
      </c>
      <c r="AD117" s="469" t="s">
        <v>454</v>
      </c>
      <c r="AF117" s="444">
        <f>+IF(Tabla33[[#This Row],[Amortización k | cupón de intereses]]="Amortización de K",Tabla33[[#This Row],[Valor Nominal]],0)</f>
        <v>0</v>
      </c>
      <c r="AG117" s="444">
        <f>+IF(AND(Tabla33[[#This Row],[Amortización k | cupón de intereses]]="Cupón de interés",Tabla33[[#This Row],[Estado]]="Vigente"),Tabla33[[#This Row],[Valor Nominal]],0)</f>
        <v>0</v>
      </c>
      <c r="AH117" s="444">
        <f>+IF(Tabla33[[#This Row],[Amortización k | cupón de intereses]]="Amortización de K",SUMIFS($AG$7:$AG$418,Tabla33[Código Emisión],Tabla33[[#This Row],[Código Emisión]],Tabla33[Fecha de operación],Tabla33[[#This Row],[Fecha de operación]]),0)-Tabla33[[#This Row],[Accrued]]*Tabla33[[#This Row],[Valor Nominal]]</f>
        <v>0</v>
      </c>
      <c r="AI117" s="444">
        <f>+IF(Tabla33[[#This Row],[Amortización k | cupón de intereses]]="Amortización de K",IF(Tabla33[[#This Row],[Precio Clean]]&gt;1,Tabla33[[#This Row],[Valor Nominal]]*(Tabla33[[#This Row],[Precio Clean]]-1),0),0)</f>
        <v>0</v>
      </c>
      <c r="AJ117" s="444">
        <f>+IF(Tabla33[[#This Row],[Amortización k | cupón de intereses]]="Amortización de K",IF(Tabla33[[#This Row],[Precio Clean]]&lt;1,Tabla33[[#This Row],[Valor Nominal]]*(Tabla33[[#This Row],[Precio Clean]]-1),0),0)</f>
        <v>0</v>
      </c>
    </row>
    <row r="118" spans="1:36" ht="15">
      <c r="A118" s="500">
        <f>+A111+1</f>
        <v>15</v>
      </c>
      <c r="B118" s="475" t="s">
        <v>504</v>
      </c>
      <c r="C118" s="475" t="s">
        <v>562</v>
      </c>
      <c r="D118" s="475" t="s">
        <v>453</v>
      </c>
      <c r="E118" s="475" t="s">
        <v>487</v>
      </c>
      <c r="F118" s="475" t="s">
        <v>297</v>
      </c>
      <c r="G118" s="475" t="s">
        <v>298</v>
      </c>
      <c r="H118" s="476">
        <v>5</v>
      </c>
      <c r="I118" s="477">
        <v>100000</v>
      </c>
      <c r="J118" s="478">
        <v>6.5000000000000002E-2</v>
      </c>
      <c r="K118" s="479">
        <v>45875</v>
      </c>
      <c r="L118" s="478">
        <f>+Tabla33[[#This Row],[Tasa de Interés]]*($U$5-Tabla33[[#This Row],[Last coupon]])/365</f>
        <v>2.6000000000000002E-2</v>
      </c>
      <c r="M118" s="480">
        <f>+Tabla33[[#This Row],[Precio Dirty]]-Tabla33[[#This Row],[Accrued]]</f>
        <v>0.99766961533446952</v>
      </c>
      <c r="N118" s="481">
        <f>SUMIFS(U:U,C:C,C118,Q:Q,Q118)/SUMIFS(T:T,C:C,C118,Q:Q,Q118,AD:AD,"Amortización de K")</f>
        <v>1.0236696153344695</v>
      </c>
      <c r="O118" s="482">
        <v>6.7037466168403628E-2</v>
      </c>
      <c r="P118" s="482">
        <f>+NOMINAL(Tabla33[[#This Row],[YTM]],2)</f>
        <v>6.5950111854982563E-2</v>
      </c>
      <c r="Q118" s="484">
        <v>45876</v>
      </c>
      <c r="R118" s="484">
        <v>46972</v>
      </c>
      <c r="S118" s="504" t="s">
        <v>146</v>
      </c>
      <c r="T118" s="510">
        <f>Tabla33[[#This Row],[Cantidad]]*Tabla33[[#This Row],[Cortes]]</f>
        <v>500000</v>
      </c>
      <c r="U118" s="511">
        <f t="shared" si="52"/>
        <v>422229.38662010134</v>
      </c>
      <c r="V118" s="511">
        <f t="shared" si="53"/>
        <v>422154.33353254484</v>
      </c>
      <c r="W118" s="497">
        <f>IF(Tabla33[[#This Row],[Fecha de operación]]=$C$1,0,U118-V118)</f>
        <v>75.05308755650185</v>
      </c>
      <c r="X118" s="507" t="str">
        <f t="shared" si="64"/>
        <v>Vigente</v>
      </c>
      <c r="Y118" s="489" t="s">
        <v>488</v>
      </c>
      <c r="Z118" s="488">
        <f t="shared" si="65"/>
        <v>951</v>
      </c>
      <c r="AA118" s="508">
        <f t="shared" ref="AA118" si="78">IF(Y118="Mensual",DURATION($C$1,$C$1+Z118*12,J118/12,O118/12,1)/12,DURATION($C$1,R118,J118,O118,IF(Y118="Cupón cero",1,IF(Y118="Al vencimiento",1,IF(Y118="Anual",1,IF(Y118="Semestral",2,IF(Y118="Trimestral",4,"")))))))</f>
        <v>2.3756476150279786</v>
      </c>
      <c r="AB118" s="508">
        <f t="shared" ref="AB118" si="79">IF(Y118="Mensual",MDURATION($C$1,$C$1+Z118*12,J118/12,O118/12,1)/12,MDURATION($C$1,R118,J118,O118,IF(Y118="Cupón cero",1,IF(Y118="Al vencimiento",1,IF(Y118="Anual",1,IF(Y118="Semestral",2,IF(Y118="Trimestral",4,"")))))))</f>
        <v>2.2986014079673507</v>
      </c>
      <c r="AC118" s="488" t="s">
        <v>451</v>
      </c>
      <c r="AD118" s="488" t="s">
        <v>452</v>
      </c>
      <c r="AF118" s="444">
        <f>+IF(Tabla33[[#This Row],[Amortización k | cupón de intereses]]="Amortización de K",Tabla33[[#This Row],[Valor Nominal]],0)</f>
        <v>500000</v>
      </c>
      <c r="AG118" s="444">
        <f>+IF(AND(Tabla33[[#This Row],[Amortización k | cupón de intereses]]="Cupón de interés",Tabla33[[#This Row],[Estado]]="Vigente"),Tabla33[[#This Row],[Valor Nominal]],0)</f>
        <v>0</v>
      </c>
      <c r="AH118" s="444">
        <f>+IF(Tabla33[[#This Row],[Amortización k | cupón de intereses]]="Amortización de K",SUMIFS($AG$7:$AG$418,Tabla33[Código Emisión],Tabla33[[#This Row],[Código Emisión]],Tabla33[Fecha de operación],Tabla33[[#This Row],[Fecha de operación]]),0)-Tabla33[[#This Row],[Accrued]]*Tabla33[[#This Row],[Valor Nominal]]</f>
        <v>84678.082191780806</v>
      </c>
      <c r="AI118" s="444">
        <f>+IF(Tabla33[[#This Row],[Amortización k | cupón de intereses]]="Amortización de K",IF(Tabla33[[#This Row],[Precio Clean]]&gt;1,Tabla33[[#This Row],[Valor Nominal]]*(Tabla33[[#This Row],[Precio Clean]]-1),0),0)</f>
        <v>0</v>
      </c>
      <c r="AJ118" s="444">
        <f>+IF(Tabla33[[#This Row],[Amortización k | cupón de intereses]]="Amortización de K",IF(Tabla33[[#This Row],[Precio Clean]]&lt;1,Tabla33[[#This Row],[Valor Nominal]]*(Tabla33[[#This Row],[Precio Clean]]-1),0),0)</f>
        <v>-1165.1923327652414</v>
      </c>
    </row>
    <row r="119" spans="1:36">
      <c r="A119" s="502"/>
      <c r="B119" s="437" t="str">
        <f>+B118</f>
        <v>Sudameris Bank SAECA</v>
      </c>
      <c r="C119" s="437" t="str">
        <f t="shared" ref="C119:C160" si="80">+C118</f>
        <v>SUD_6,50%_07082028_BN7267-75_100K</v>
      </c>
      <c r="D119" s="437" t="s">
        <v>453</v>
      </c>
      <c r="E119" s="437" t="str">
        <f t="shared" ref="E119:E124" si="81">+E118</f>
        <v>AA+py</v>
      </c>
      <c r="F119" s="437" t="s">
        <v>297</v>
      </c>
      <c r="G119" s="437" t="s">
        <v>298</v>
      </c>
      <c r="H119" s="529">
        <v>5</v>
      </c>
      <c r="I119" s="492">
        <v>3490.4109589041091</v>
      </c>
      <c r="J119" s="451"/>
      <c r="K119" s="450"/>
      <c r="L119" s="451"/>
      <c r="M119" s="493"/>
      <c r="N119" s="493"/>
      <c r="O119" s="494">
        <f t="shared" ref="O119:Q124" si="82">+O118</f>
        <v>6.7037466168403628E-2</v>
      </c>
      <c r="P119" s="494">
        <f t="shared" si="82"/>
        <v>6.5950111854982563E-2</v>
      </c>
      <c r="Q119" s="450">
        <f t="shared" si="82"/>
        <v>45876</v>
      </c>
      <c r="R119" s="450">
        <v>46972</v>
      </c>
      <c r="S119" s="509" t="s">
        <v>146</v>
      </c>
      <c r="T119" s="510">
        <f>Tabla33[[#This Row],[Cantidad]]*Tabla33[[#This Row],[Cortes]]</f>
        <v>17452.054794520547</v>
      </c>
      <c r="U119" s="511">
        <f t="shared" si="52"/>
        <v>14737.540782301619</v>
      </c>
      <c r="V119" s="511">
        <f t="shared" si="53"/>
        <v>14734.921121108549</v>
      </c>
      <c r="W119" s="497">
        <f>IF(Tabla33[[#This Row],[Fecha de operación]]=$C$1,0,U119-V119)</f>
        <v>2.6196611930699873</v>
      </c>
      <c r="X119" s="512" t="str">
        <f t="shared" si="64"/>
        <v>Vigente</v>
      </c>
      <c r="Y119" s="498" t="str">
        <f>+Y118</f>
        <v>Semestral</v>
      </c>
      <c r="Z119" s="469">
        <f t="shared" si="65"/>
        <v>951</v>
      </c>
      <c r="AA119" s="499">
        <f>+AA118</f>
        <v>2.3756476150279786</v>
      </c>
      <c r="AB119" s="499">
        <f>+AB118</f>
        <v>2.2986014079673507</v>
      </c>
      <c r="AC119" s="469" t="s">
        <v>451</v>
      </c>
      <c r="AD119" s="469" t="s">
        <v>454</v>
      </c>
      <c r="AF119" s="444">
        <f>+IF(Tabla33[[#This Row],[Amortización k | cupón de intereses]]="Amortización de K",Tabla33[[#This Row],[Valor Nominal]],0)</f>
        <v>0</v>
      </c>
      <c r="AG119" s="444">
        <f>+IF(AND(Tabla33[[#This Row],[Amortización k | cupón de intereses]]="Cupón de interés",Tabla33[[#This Row],[Estado]]="Vigente"),Tabla33[[#This Row],[Valor Nominal]],0)</f>
        <v>17452.054794520547</v>
      </c>
      <c r="AH119" s="444">
        <f>+IF(Tabla33[[#This Row],[Amortización k | cupón de intereses]]="Amortización de K",SUMIFS($AG$7:$AG$418,Tabla33[Código Emisión],Tabla33[[#This Row],[Código Emisión]],Tabla33[Fecha de operación],Tabla33[[#This Row],[Fecha de operación]]),0)-Tabla33[[#This Row],[Accrued]]*Tabla33[[#This Row],[Valor Nominal]]</f>
        <v>0</v>
      </c>
      <c r="AI119" s="444">
        <f>+IF(Tabla33[[#This Row],[Amortización k | cupón de intereses]]="Amortización de K",IF(Tabla33[[#This Row],[Precio Clean]]&gt;1,Tabla33[[#This Row],[Valor Nominal]]*(Tabla33[[#This Row],[Precio Clean]]-1),0),0)</f>
        <v>0</v>
      </c>
      <c r="AJ119" s="444">
        <f>+IF(Tabla33[[#This Row],[Amortización k | cupón de intereses]]="Amortización de K",IF(Tabla33[[#This Row],[Precio Clean]]&lt;1,Tabla33[[#This Row],[Valor Nominal]]*(Tabla33[[#This Row],[Precio Clean]]-1),0),0)</f>
        <v>0</v>
      </c>
    </row>
    <row r="120" spans="1:36">
      <c r="A120" s="502"/>
      <c r="B120" s="437" t="str">
        <f t="shared" ref="B120:B124" si="83">+B119</f>
        <v>Sudameris Bank SAECA</v>
      </c>
      <c r="C120" s="437" t="str">
        <f t="shared" si="80"/>
        <v>SUD_6,50%_07082028_BN7267-75_100K</v>
      </c>
      <c r="D120" s="437" t="s">
        <v>453</v>
      </c>
      <c r="E120" s="437" t="str">
        <f t="shared" si="81"/>
        <v>AA+py</v>
      </c>
      <c r="F120" s="437" t="s">
        <v>297</v>
      </c>
      <c r="G120" s="437" t="s">
        <v>298</v>
      </c>
      <c r="H120" s="529">
        <v>5</v>
      </c>
      <c r="I120" s="492">
        <v>3223.2876712328766</v>
      </c>
      <c r="J120" s="451"/>
      <c r="K120" s="450"/>
      <c r="L120" s="451"/>
      <c r="M120" s="493"/>
      <c r="N120" s="493"/>
      <c r="O120" s="494">
        <f t="shared" si="82"/>
        <v>6.7037466168403628E-2</v>
      </c>
      <c r="P120" s="494">
        <f t="shared" si="82"/>
        <v>6.5950111854982563E-2</v>
      </c>
      <c r="Q120" s="450">
        <f t="shared" si="82"/>
        <v>45876</v>
      </c>
      <c r="R120" s="450">
        <v>46776</v>
      </c>
      <c r="S120" s="509" t="s">
        <v>146</v>
      </c>
      <c r="T120" s="510">
        <f>Tabla33[[#This Row],[Cantidad]]*Tabla33[[#This Row],[Cortes]]</f>
        <v>16116.438356164383</v>
      </c>
      <c r="U120" s="511">
        <f t="shared" si="52"/>
        <v>14092.226651895238</v>
      </c>
      <c r="V120" s="511">
        <f t="shared" si="53"/>
        <v>14089.721698061401</v>
      </c>
      <c r="W120" s="497">
        <f>IF(Tabla33[[#This Row],[Fecha de operación]]=$C$1,0,U120-V120)</f>
        <v>2.5049538338371349</v>
      </c>
      <c r="X120" s="512" t="str">
        <f t="shared" si="64"/>
        <v>Vigente</v>
      </c>
      <c r="Y120" s="498" t="str">
        <f t="shared" ref="Y120:Y124" si="84">+Y119</f>
        <v>Semestral</v>
      </c>
      <c r="Z120" s="469">
        <f t="shared" si="65"/>
        <v>755</v>
      </c>
      <c r="AA120" s="499">
        <f t="shared" ref="AA120:AA124" si="85">+AA119</f>
        <v>2.3756476150279786</v>
      </c>
      <c r="AB120" s="499">
        <f>+AB119</f>
        <v>2.2986014079673507</v>
      </c>
      <c r="AC120" s="469" t="s">
        <v>451</v>
      </c>
      <c r="AD120" s="469" t="s">
        <v>454</v>
      </c>
      <c r="AF120" s="444">
        <f>+IF(Tabla33[[#This Row],[Amortización k | cupón de intereses]]="Amortización de K",Tabla33[[#This Row],[Valor Nominal]],0)</f>
        <v>0</v>
      </c>
      <c r="AG120" s="444">
        <f>+IF(AND(Tabla33[[#This Row],[Amortización k | cupón de intereses]]="Cupón de interés",Tabla33[[#This Row],[Estado]]="Vigente"),Tabla33[[#This Row],[Valor Nominal]],0)</f>
        <v>16116.438356164383</v>
      </c>
      <c r="AH120" s="444">
        <f>+IF(Tabla33[[#This Row],[Amortización k | cupón de intereses]]="Amortización de K",SUMIFS($AG$7:$AG$418,Tabla33[Código Emisión],Tabla33[[#This Row],[Código Emisión]],Tabla33[Fecha de operación],Tabla33[[#This Row],[Fecha de operación]]),0)-Tabla33[[#This Row],[Accrued]]*Tabla33[[#This Row],[Valor Nominal]]</f>
        <v>0</v>
      </c>
      <c r="AI120" s="444">
        <f>+IF(Tabla33[[#This Row],[Amortización k | cupón de intereses]]="Amortización de K",IF(Tabla33[[#This Row],[Precio Clean]]&gt;1,Tabla33[[#This Row],[Valor Nominal]]*(Tabla33[[#This Row],[Precio Clean]]-1),0),0)</f>
        <v>0</v>
      </c>
      <c r="AJ120" s="444">
        <f>+IF(Tabla33[[#This Row],[Amortización k | cupón de intereses]]="Amortización de K",IF(Tabla33[[#This Row],[Precio Clean]]&lt;1,Tabla33[[#This Row],[Valor Nominal]]*(Tabla33[[#This Row],[Precio Clean]]-1),0),0)</f>
        <v>0</v>
      </c>
    </row>
    <row r="121" spans="1:36">
      <c r="A121" s="502"/>
      <c r="B121" s="437" t="str">
        <f t="shared" si="83"/>
        <v>Sudameris Bank SAECA</v>
      </c>
      <c r="C121" s="437" t="str">
        <f t="shared" si="80"/>
        <v>SUD_6,50%_07082028_BN7267-75_100K</v>
      </c>
      <c r="D121" s="437" t="s">
        <v>453</v>
      </c>
      <c r="E121" s="437" t="str">
        <f t="shared" si="81"/>
        <v>AA+py</v>
      </c>
      <c r="F121" s="437" t="s">
        <v>297</v>
      </c>
      <c r="G121" s="437" t="s">
        <v>298</v>
      </c>
      <c r="H121" s="529">
        <v>5</v>
      </c>
      <c r="I121" s="492">
        <v>3205.4794520547944</v>
      </c>
      <c r="J121" s="451"/>
      <c r="K121" s="450"/>
      <c r="L121" s="451"/>
      <c r="M121" s="493"/>
      <c r="N121" s="493"/>
      <c r="O121" s="494">
        <f t="shared" si="82"/>
        <v>6.7037466168403628E-2</v>
      </c>
      <c r="P121" s="494">
        <f t="shared" si="82"/>
        <v>6.5950111854982563E-2</v>
      </c>
      <c r="Q121" s="450">
        <f t="shared" si="82"/>
        <v>45876</v>
      </c>
      <c r="R121" s="450">
        <v>46595</v>
      </c>
      <c r="S121" s="509" t="s">
        <v>146</v>
      </c>
      <c r="T121" s="510">
        <f>Tabla33[[#This Row],[Cantidad]]*Tabla33[[#This Row],[Cortes]]</f>
        <v>16027.397260273972</v>
      </c>
      <c r="U121" s="511">
        <f t="shared" si="52"/>
        <v>14472.633932284421</v>
      </c>
      <c r="V121" s="511">
        <f t="shared" si="53"/>
        <v>14470.061359422101</v>
      </c>
      <c r="W121" s="497">
        <f>IF(Tabla33[[#This Row],[Fecha de operación]]=$C$1,0,U121-V121)</f>
        <v>2.5725728623201576</v>
      </c>
      <c r="X121" s="512" t="str">
        <f t="shared" si="64"/>
        <v>Vigente</v>
      </c>
      <c r="Y121" s="498" t="str">
        <f t="shared" si="84"/>
        <v>Semestral</v>
      </c>
      <c r="Z121" s="469">
        <f t="shared" si="65"/>
        <v>574</v>
      </c>
      <c r="AA121" s="499">
        <f t="shared" si="85"/>
        <v>2.3756476150279786</v>
      </c>
      <c r="AB121" s="499">
        <f>+AB120</f>
        <v>2.2986014079673507</v>
      </c>
      <c r="AC121" s="469" t="s">
        <v>451</v>
      </c>
      <c r="AD121" s="469" t="s">
        <v>454</v>
      </c>
      <c r="AF121" s="444">
        <f>+IF(Tabla33[[#This Row],[Amortización k | cupón de intereses]]="Amortización de K",Tabla33[[#This Row],[Valor Nominal]],0)</f>
        <v>0</v>
      </c>
      <c r="AG121" s="444">
        <f>+IF(AND(Tabla33[[#This Row],[Amortización k | cupón de intereses]]="Cupón de interés",Tabla33[[#This Row],[Estado]]="Vigente"),Tabla33[[#This Row],[Valor Nominal]],0)</f>
        <v>16027.397260273972</v>
      </c>
      <c r="AH121" s="444">
        <f>+IF(Tabla33[[#This Row],[Amortización k | cupón de intereses]]="Amortización de K",SUMIFS($AG$7:$AG$418,Tabla33[Código Emisión],Tabla33[[#This Row],[Código Emisión]],Tabla33[Fecha de operación],Tabla33[[#This Row],[Fecha de operación]]),0)-Tabla33[[#This Row],[Accrued]]*Tabla33[[#This Row],[Valor Nominal]]</f>
        <v>0</v>
      </c>
      <c r="AI121" s="444">
        <f>+IF(Tabla33[[#This Row],[Amortización k | cupón de intereses]]="Amortización de K",IF(Tabla33[[#This Row],[Precio Clean]]&gt;1,Tabla33[[#This Row],[Valor Nominal]]*(Tabla33[[#This Row],[Precio Clean]]-1),0),0)</f>
        <v>0</v>
      </c>
      <c r="AJ121" s="444">
        <f>+IF(Tabla33[[#This Row],[Amortización k | cupón de intereses]]="Amortización de K",IF(Tabla33[[#This Row],[Precio Clean]]&lt;1,Tabla33[[#This Row],[Valor Nominal]]*(Tabla33[[#This Row],[Precio Clean]]-1),0),0)</f>
        <v>0</v>
      </c>
    </row>
    <row r="122" spans="1:36">
      <c r="A122" s="502"/>
      <c r="B122" s="437" t="str">
        <f t="shared" si="83"/>
        <v>Sudameris Bank SAECA</v>
      </c>
      <c r="C122" s="437" t="str">
        <f t="shared" si="80"/>
        <v>SUD_6,50%_07082028_BN7267-75_100K</v>
      </c>
      <c r="D122" s="437" t="s">
        <v>453</v>
      </c>
      <c r="E122" s="437" t="str">
        <f t="shared" si="81"/>
        <v>AA+py</v>
      </c>
      <c r="F122" s="437" t="s">
        <v>297</v>
      </c>
      <c r="G122" s="437" t="s">
        <v>298</v>
      </c>
      <c r="H122" s="529">
        <v>5</v>
      </c>
      <c r="I122" s="492">
        <v>3169.8630136986299</v>
      </c>
      <c r="J122" s="451"/>
      <c r="K122" s="450"/>
      <c r="L122" s="451"/>
      <c r="M122" s="493"/>
      <c r="N122" s="493"/>
      <c r="O122" s="494">
        <f t="shared" si="82"/>
        <v>6.7037466168403628E-2</v>
      </c>
      <c r="P122" s="494">
        <f t="shared" si="82"/>
        <v>6.5950111854982563E-2</v>
      </c>
      <c r="Q122" s="450">
        <f t="shared" si="82"/>
        <v>45876</v>
      </c>
      <c r="R122" s="450">
        <v>46415</v>
      </c>
      <c r="S122" s="509" t="s">
        <v>146</v>
      </c>
      <c r="T122" s="510">
        <f>Tabla33[[#This Row],[Cantidad]]*Tabla33[[#This Row],[Cortes]]</f>
        <v>15849.31506849315</v>
      </c>
      <c r="U122" s="511">
        <f t="shared" si="52"/>
        <v>14777.191364261325</v>
      </c>
      <c r="V122" s="511">
        <f t="shared" si="53"/>
        <v>14774.564655006956</v>
      </c>
      <c r="W122" s="497">
        <f>IF(Tabla33[[#This Row],[Fecha de operación]]=$C$1,0,U122-V122)</f>
        <v>2.6267092543694162</v>
      </c>
      <c r="X122" s="512" t="str">
        <f t="shared" si="64"/>
        <v>Vigente</v>
      </c>
      <c r="Y122" s="498" t="str">
        <f t="shared" si="84"/>
        <v>Semestral</v>
      </c>
      <c r="Z122" s="469">
        <f t="shared" si="65"/>
        <v>394</v>
      </c>
      <c r="AA122" s="499">
        <f t="shared" si="85"/>
        <v>2.3756476150279786</v>
      </c>
      <c r="AB122" s="499">
        <f>+AB121</f>
        <v>2.2986014079673507</v>
      </c>
      <c r="AC122" s="469" t="s">
        <v>451</v>
      </c>
      <c r="AD122" s="469" t="s">
        <v>454</v>
      </c>
      <c r="AF122" s="444">
        <f>+IF(Tabla33[[#This Row],[Amortización k | cupón de intereses]]="Amortización de K",Tabla33[[#This Row],[Valor Nominal]],0)</f>
        <v>0</v>
      </c>
      <c r="AG122" s="444">
        <f>+IF(AND(Tabla33[[#This Row],[Amortización k | cupón de intereses]]="Cupón de interés",Tabla33[[#This Row],[Estado]]="Vigente"),Tabla33[[#This Row],[Valor Nominal]],0)</f>
        <v>15849.31506849315</v>
      </c>
      <c r="AH122" s="444">
        <f>+IF(Tabla33[[#This Row],[Amortización k | cupón de intereses]]="Amortización de K",SUMIFS($AG$7:$AG$418,Tabla33[Código Emisión],Tabla33[[#This Row],[Código Emisión]],Tabla33[Fecha de operación],Tabla33[[#This Row],[Fecha de operación]]),0)-Tabla33[[#This Row],[Accrued]]*Tabla33[[#This Row],[Valor Nominal]]</f>
        <v>0</v>
      </c>
      <c r="AI122" s="444">
        <f>+IF(Tabla33[[#This Row],[Amortización k | cupón de intereses]]="Amortización de K",IF(Tabla33[[#This Row],[Precio Clean]]&gt;1,Tabla33[[#This Row],[Valor Nominal]]*(Tabla33[[#This Row],[Precio Clean]]-1),0),0)</f>
        <v>0</v>
      </c>
      <c r="AJ122" s="444">
        <f>+IF(Tabla33[[#This Row],[Amortización k | cupón de intereses]]="Amortización de K",IF(Tabla33[[#This Row],[Precio Clean]]&lt;1,Tabla33[[#This Row],[Valor Nominal]]*(Tabla33[[#This Row],[Precio Clean]]-1),0),0)</f>
        <v>0</v>
      </c>
    </row>
    <row r="123" spans="1:36">
      <c r="A123" s="502"/>
      <c r="B123" s="437" t="str">
        <f t="shared" si="83"/>
        <v>Sudameris Bank SAECA</v>
      </c>
      <c r="C123" s="437" t="str">
        <f t="shared" si="80"/>
        <v>SUD_6,50%_07082028_BN7267-75_100K</v>
      </c>
      <c r="D123" s="437" t="s">
        <v>453</v>
      </c>
      <c r="E123" s="437" t="str">
        <f t="shared" si="81"/>
        <v>AA+py</v>
      </c>
      <c r="F123" s="437" t="s">
        <v>297</v>
      </c>
      <c r="G123" s="437" t="s">
        <v>298</v>
      </c>
      <c r="H123" s="529">
        <v>5</v>
      </c>
      <c r="I123" s="492">
        <v>3241.0958904109584</v>
      </c>
      <c r="J123" s="451"/>
      <c r="K123" s="450"/>
      <c r="L123" s="451"/>
      <c r="M123" s="493"/>
      <c r="N123" s="493"/>
      <c r="O123" s="494">
        <f t="shared" si="82"/>
        <v>6.7037466168403628E-2</v>
      </c>
      <c r="P123" s="494">
        <f t="shared" si="82"/>
        <v>6.5950111854982563E-2</v>
      </c>
      <c r="Q123" s="450">
        <f t="shared" si="82"/>
        <v>45876</v>
      </c>
      <c r="R123" s="450">
        <v>46237</v>
      </c>
      <c r="S123" s="509" t="s">
        <v>146</v>
      </c>
      <c r="T123" s="510">
        <f>Tabla33[[#This Row],[Cantidad]]*Tabla33[[#This Row],[Cortes]]</f>
        <v>16205.479452054791</v>
      </c>
      <c r="U123" s="511">
        <f t="shared" si="52"/>
        <v>15595.011414019573</v>
      </c>
      <c r="V123" s="511">
        <f t="shared" si="53"/>
        <v>15592.239333737642</v>
      </c>
      <c r="W123" s="497">
        <f>IF(Tabla33[[#This Row],[Fecha de operación]]=$C$1,0,U123-V123)</f>
        <v>2.7720802819312667</v>
      </c>
      <c r="X123" s="512" t="str">
        <f t="shared" si="64"/>
        <v>Vigente</v>
      </c>
      <c r="Y123" s="498" t="str">
        <f t="shared" si="84"/>
        <v>Semestral</v>
      </c>
      <c r="Z123" s="469">
        <f t="shared" si="65"/>
        <v>216</v>
      </c>
      <c r="AA123" s="499">
        <f t="shared" si="85"/>
        <v>2.3756476150279786</v>
      </c>
      <c r="AB123" s="499">
        <f>+AB122</f>
        <v>2.2986014079673507</v>
      </c>
      <c r="AC123" s="469" t="s">
        <v>451</v>
      </c>
      <c r="AD123" s="469" t="s">
        <v>454</v>
      </c>
      <c r="AF123" s="444">
        <f>+IF(Tabla33[[#This Row],[Amortización k | cupón de intereses]]="Amortización de K",Tabla33[[#This Row],[Valor Nominal]],0)</f>
        <v>0</v>
      </c>
      <c r="AG123" s="444">
        <f>+IF(AND(Tabla33[[#This Row],[Amortización k | cupón de intereses]]="Cupón de interés",Tabla33[[#This Row],[Estado]]="Vigente"),Tabla33[[#This Row],[Valor Nominal]],0)</f>
        <v>16205.479452054791</v>
      </c>
      <c r="AH123" s="444">
        <f>+IF(Tabla33[[#This Row],[Amortización k | cupón de intereses]]="Amortización de K",SUMIFS($AG$7:$AG$418,Tabla33[Código Emisión],Tabla33[[#This Row],[Código Emisión]],Tabla33[Fecha de operación],Tabla33[[#This Row],[Fecha de operación]]),0)-Tabla33[[#This Row],[Accrued]]*Tabla33[[#This Row],[Valor Nominal]]</f>
        <v>0</v>
      </c>
      <c r="AI123" s="444">
        <f>+IF(Tabla33[[#This Row],[Amortización k | cupón de intereses]]="Amortización de K",IF(Tabla33[[#This Row],[Precio Clean]]&gt;1,Tabla33[[#This Row],[Valor Nominal]]*(Tabla33[[#This Row],[Precio Clean]]-1),0),0)</f>
        <v>0</v>
      </c>
      <c r="AJ123" s="444">
        <f>+IF(Tabla33[[#This Row],[Amortización k | cupón de intereses]]="Amortización de K",IF(Tabla33[[#This Row],[Precio Clean]]&lt;1,Tabla33[[#This Row],[Valor Nominal]]*(Tabla33[[#This Row],[Precio Clean]]-1),0),0)</f>
        <v>0</v>
      </c>
    </row>
    <row r="124" spans="1:36">
      <c r="A124" s="502"/>
      <c r="B124" s="437" t="str">
        <f t="shared" si="83"/>
        <v>Sudameris Bank SAECA</v>
      </c>
      <c r="C124" s="437" t="str">
        <f t="shared" si="80"/>
        <v>SUD_6,50%_07082028_BN7267-75_100K</v>
      </c>
      <c r="D124" s="437" t="s">
        <v>453</v>
      </c>
      <c r="E124" s="437" t="str">
        <f t="shared" si="81"/>
        <v>AA+py</v>
      </c>
      <c r="F124" s="437" t="s">
        <v>297</v>
      </c>
      <c r="G124" s="437" t="s">
        <v>298</v>
      </c>
      <c r="H124" s="529">
        <v>5</v>
      </c>
      <c r="I124" s="492">
        <v>3205.4794520547944</v>
      </c>
      <c r="J124" s="451"/>
      <c r="K124" s="450"/>
      <c r="L124" s="451"/>
      <c r="M124" s="493"/>
      <c r="N124" s="493"/>
      <c r="O124" s="494">
        <f t="shared" si="82"/>
        <v>6.7037466168403628E-2</v>
      </c>
      <c r="P124" s="494">
        <f t="shared" si="82"/>
        <v>6.5950111854982563E-2</v>
      </c>
      <c r="Q124" s="450">
        <f t="shared" si="82"/>
        <v>45876</v>
      </c>
      <c r="R124" s="450">
        <v>46055</v>
      </c>
      <c r="S124" s="509" t="s">
        <v>146</v>
      </c>
      <c r="T124" s="510">
        <f>Tabla33[[#This Row],[Cantidad]]*Tabla33[[#This Row],[Cortes]]</f>
        <v>16027.397260273972</v>
      </c>
      <c r="U124" s="511">
        <f t="shared" si="52"/>
        <v>15930.816902371234</v>
      </c>
      <c r="V124" s="511">
        <f t="shared" si="53"/>
        <v>15927.985131220981</v>
      </c>
      <c r="W124" s="497">
        <f>IF(Tabla33[[#This Row],[Fecha de operación]]=$C$1,0,U124-V124)</f>
        <v>2.8317711502531893</v>
      </c>
      <c r="X124" s="512" t="str">
        <f t="shared" si="64"/>
        <v>Vigente</v>
      </c>
      <c r="Y124" s="498" t="str">
        <f t="shared" si="84"/>
        <v>Semestral</v>
      </c>
      <c r="Z124" s="469">
        <f t="shared" si="65"/>
        <v>34</v>
      </c>
      <c r="AA124" s="499">
        <f t="shared" si="85"/>
        <v>2.3756476150279786</v>
      </c>
      <c r="AB124" s="499">
        <f>+AB123</f>
        <v>2.2986014079673507</v>
      </c>
      <c r="AC124" s="469" t="s">
        <v>451</v>
      </c>
      <c r="AD124" s="469" t="s">
        <v>454</v>
      </c>
      <c r="AF124" s="444">
        <f>+IF(Tabla33[[#This Row],[Amortización k | cupón de intereses]]="Amortización de K",Tabla33[[#This Row],[Valor Nominal]],0)</f>
        <v>0</v>
      </c>
      <c r="AG124" s="444">
        <f>+IF(AND(Tabla33[[#This Row],[Amortización k | cupón de intereses]]="Cupón de interés",Tabla33[[#This Row],[Estado]]="Vigente"),Tabla33[[#This Row],[Valor Nominal]],0)</f>
        <v>16027.397260273972</v>
      </c>
      <c r="AH124" s="444">
        <f>+IF(Tabla33[[#This Row],[Amortización k | cupón de intereses]]="Amortización de K",SUMIFS($AG$7:$AG$418,Tabla33[Código Emisión],Tabla33[[#This Row],[Código Emisión]],Tabla33[Fecha de operación],Tabla33[[#This Row],[Fecha de operación]]),0)-Tabla33[[#This Row],[Accrued]]*Tabla33[[#This Row],[Valor Nominal]]</f>
        <v>0</v>
      </c>
      <c r="AI124" s="444">
        <f>+IF(Tabla33[[#This Row],[Amortización k | cupón de intereses]]="Amortización de K",IF(Tabla33[[#This Row],[Precio Clean]]&gt;1,Tabla33[[#This Row],[Valor Nominal]]*(Tabla33[[#This Row],[Precio Clean]]-1),0),0)</f>
        <v>0</v>
      </c>
      <c r="AJ124" s="444">
        <f>+IF(Tabla33[[#This Row],[Amortización k | cupón de intereses]]="Amortización de K",IF(Tabla33[[#This Row],[Precio Clean]]&lt;1,Tabla33[[#This Row],[Valor Nominal]]*(Tabla33[[#This Row],[Precio Clean]]-1),0),0)</f>
        <v>0</v>
      </c>
    </row>
    <row r="125" spans="1:36" ht="15">
      <c r="A125" s="500">
        <f>+A118+1</f>
        <v>16</v>
      </c>
      <c r="B125" s="475" t="s">
        <v>505</v>
      </c>
      <c r="C125" s="475" t="s">
        <v>506</v>
      </c>
      <c r="D125" s="475" t="s">
        <v>453</v>
      </c>
      <c r="E125" s="475" t="s">
        <v>507</v>
      </c>
      <c r="F125" s="475" t="s">
        <v>297</v>
      </c>
      <c r="G125" s="475" t="s">
        <v>298</v>
      </c>
      <c r="H125" s="476">
        <v>2</v>
      </c>
      <c r="I125" s="477">
        <v>25000</v>
      </c>
      <c r="J125" s="478">
        <v>0.08</v>
      </c>
      <c r="K125" s="479">
        <f>_xlfn.MAXIFS(R:R,C:C,C125,AD:AD,"Cupón de interés",X:X,"Vencido")</f>
        <v>46014</v>
      </c>
      <c r="L125" s="478">
        <f>+Tabla33[[#This Row],[Tasa de Interés]]*($U$5-Tabla33[[#This Row],[Last coupon]])/365</f>
        <v>1.5342465753424659E-3</v>
      </c>
      <c r="M125" s="480">
        <f>+Tabla33[[#This Row],[Precio Dirty]]-Tabla33[[#This Row],[Accrued]]</f>
        <v>1.0209864385321321</v>
      </c>
      <c r="N125" s="481">
        <f>SUMIFS(U:U,C:C,C125,Q:Q,Q125)/SUMIFS(T:T,C:C,C125,Q:Q,Q125,AD:AD,"Amortización de K")</f>
        <v>1.0225206851074746</v>
      </c>
      <c r="O125" s="482">
        <v>6.6653165221214283E-2</v>
      </c>
      <c r="P125" s="482">
        <v>6.5000000000000002E-2</v>
      </c>
      <c r="Q125" s="484">
        <v>45876</v>
      </c>
      <c r="R125" s="484">
        <v>46563</v>
      </c>
      <c r="S125" s="504" t="s">
        <v>146</v>
      </c>
      <c r="T125" s="505">
        <f>Tabla33[[#This Row],[Cantidad]]*Tabla33[[#This Row],[Cortes]]</f>
        <v>50000</v>
      </c>
      <c r="U125" s="506">
        <f t="shared" si="52"/>
        <v>45431.537286793551</v>
      </c>
      <c r="V125" s="506">
        <f t="shared" si="53"/>
        <v>45423.506464695194</v>
      </c>
      <c r="W125" s="487">
        <f>IF(Tabla33[[#This Row],[Fecha de operación]]=$C$1,0,U125-V125)</f>
        <v>8.0308220983570209</v>
      </c>
      <c r="X125" s="507" t="str">
        <f t="shared" si="64"/>
        <v>Vigente</v>
      </c>
      <c r="Y125" s="489" t="s">
        <v>450</v>
      </c>
      <c r="Z125" s="488">
        <f t="shared" si="65"/>
        <v>542</v>
      </c>
      <c r="AA125" s="508">
        <f t="shared" ref="AA125" si="86">IF(Y125="Mensual",DURATION($C$1,$C$1+Z125*12,J125/12,O125/12,1)/12,DURATION($C$1,R125,J125,O125,IF(Y125="Cupón cero",1,IF(Y125="Al vencimiento",1,IF(Y125="Anual",1,IF(Y125="Semestral",2,IF(Y125="Trimestral",4,"")))))))</f>
        <v>1.4152718886886415</v>
      </c>
      <c r="AB125" s="508">
        <f t="shared" ref="AB125" si="87">IF(Y125="Mensual",MDURATION($C$1,$C$1+Z125*12,J125/12,O125/12,1)/12,MDURATION($C$1,R125,J125,O125,IF(Y125="Cupón cero",1,IF(Y125="Al vencimiento",1,IF(Y125="Anual",1,IF(Y125="Semestral",2,IF(Y125="Trimestral",4,"")))))))</f>
        <v>1.3920753319140309</v>
      </c>
      <c r="AC125" s="488" t="s">
        <v>451</v>
      </c>
      <c r="AD125" s="488" t="s">
        <v>452</v>
      </c>
      <c r="AF125" s="444">
        <f>+IF(Tabla33[[#This Row],[Amortización k | cupón de intereses]]="Amortización de K",Tabla33[[#This Row],[Valor Nominal]],0)</f>
        <v>50000</v>
      </c>
      <c r="AG125" s="444">
        <f>+IF(AND(Tabla33[[#This Row],[Amortización k | cupón de intereses]]="Cupón de interés",Tabla33[[#This Row],[Estado]]="Vigente"),Tabla33[[#This Row],[Valor Nominal]],0)</f>
        <v>0</v>
      </c>
      <c r="AH125" s="444">
        <f>+IF(Tabla33[[#This Row],[Amortización k | cupón de intereses]]="Amortización de K",SUMIFS($AG$7:$AG$418,Tabla33[Código Emisión],Tabla33[[#This Row],[Código Emisión]],Tabla33[Fecha de operación],Tabla33[[#This Row],[Fecha de operación]]),0)-Tabla33[[#This Row],[Accrued]]*Tabla33[[#This Row],[Valor Nominal]]</f>
        <v>5939.7260273972606</v>
      </c>
      <c r="AI125" s="444">
        <f>+IF(Tabla33[[#This Row],[Amortización k | cupón de intereses]]="Amortización de K",IF(Tabla33[[#This Row],[Precio Clean]]&gt;1,Tabla33[[#This Row],[Valor Nominal]]*(Tabla33[[#This Row],[Precio Clean]]-1),0),0)</f>
        <v>1049.3219266066055</v>
      </c>
      <c r="AJ125" s="444">
        <f>+IF(Tabla33[[#This Row],[Amortización k | cupón de intereses]]="Amortización de K",IF(Tabla33[[#This Row],[Precio Clean]]&lt;1,Tabla33[[#This Row],[Valor Nominal]]*(Tabla33[[#This Row],[Precio Clean]]-1),0),0)</f>
        <v>0</v>
      </c>
    </row>
    <row r="126" spans="1:36">
      <c r="A126" s="502"/>
      <c r="B126" s="437" t="s">
        <v>505</v>
      </c>
      <c r="C126" s="437" t="str">
        <f t="shared" si="80"/>
        <v>CDA RIO UH1859-60</v>
      </c>
      <c r="D126" s="437" t="s">
        <v>453</v>
      </c>
      <c r="E126" s="437" t="s">
        <v>507</v>
      </c>
      <c r="F126" s="437" t="s">
        <v>297</v>
      </c>
      <c r="G126" s="437" t="s">
        <v>298</v>
      </c>
      <c r="H126" s="529">
        <f>+H125</f>
        <v>2</v>
      </c>
      <c r="I126" s="492">
        <v>515.06849315068496</v>
      </c>
      <c r="J126" s="451"/>
      <c r="K126" s="450"/>
      <c r="L126" s="451"/>
      <c r="M126" s="493"/>
      <c r="N126" s="493"/>
      <c r="O126" s="494">
        <f t="shared" ref="O126:Q133" si="88">+O125</f>
        <v>6.6653165221214283E-2</v>
      </c>
      <c r="P126" s="494">
        <f t="shared" si="88"/>
        <v>6.5000000000000002E-2</v>
      </c>
      <c r="Q126" s="450">
        <f t="shared" si="88"/>
        <v>45876</v>
      </c>
      <c r="R126" s="450">
        <v>46563</v>
      </c>
      <c r="S126" s="509" t="s">
        <v>146</v>
      </c>
      <c r="T126" s="510">
        <f>Tabla33[[#This Row],[Cantidad]]*Tabla33[[#This Row],[Cortes]]</f>
        <v>1030.1369863013699</v>
      </c>
      <c r="U126" s="511">
        <f t="shared" si="52"/>
        <v>936.01413807311656</v>
      </c>
      <c r="V126" s="511">
        <f t="shared" si="53"/>
        <v>935.84868113563812</v>
      </c>
      <c r="W126" s="497">
        <f>IF(Tabla33[[#This Row],[Fecha de operación]]=$C$1,0,U126-V126)</f>
        <v>0.1654569374784387</v>
      </c>
      <c r="X126" s="512" t="str">
        <f t="shared" si="64"/>
        <v>Vigente</v>
      </c>
      <c r="Y126" s="498" t="s">
        <v>450</v>
      </c>
      <c r="Z126" s="469">
        <f t="shared" si="65"/>
        <v>542</v>
      </c>
      <c r="AA126" s="499">
        <f>+AA125</f>
        <v>1.4152718886886415</v>
      </c>
      <c r="AB126" s="499">
        <f>+AB125</f>
        <v>1.3920753319140309</v>
      </c>
      <c r="AC126" s="469" t="s">
        <v>451</v>
      </c>
      <c r="AD126" s="469" t="s">
        <v>454</v>
      </c>
      <c r="AF126" s="444">
        <f>+IF(Tabla33[[#This Row],[Amortización k | cupón de intereses]]="Amortización de K",Tabla33[[#This Row],[Valor Nominal]],0)</f>
        <v>0</v>
      </c>
      <c r="AG126" s="444">
        <f>+IF(AND(Tabla33[[#This Row],[Amortización k | cupón de intereses]]="Cupón de interés",Tabla33[[#This Row],[Estado]]="Vigente"),Tabla33[[#This Row],[Valor Nominal]],0)</f>
        <v>1030.1369863013699</v>
      </c>
      <c r="AH126" s="444">
        <f>+IF(Tabla33[[#This Row],[Amortización k | cupón de intereses]]="Amortización de K",SUMIFS($AG$7:$AG$418,Tabla33[Código Emisión],Tabla33[[#This Row],[Código Emisión]],Tabla33[Fecha de operación],Tabla33[[#This Row],[Fecha de operación]]),0)-Tabla33[[#This Row],[Accrued]]*Tabla33[[#This Row],[Valor Nominal]]</f>
        <v>0</v>
      </c>
      <c r="AI126" s="444">
        <f>+IF(Tabla33[[#This Row],[Amortización k | cupón de intereses]]="Amortización de K",IF(Tabla33[[#This Row],[Precio Clean]]&gt;1,Tabla33[[#This Row],[Valor Nominal]]*(Tabla33[[#This Row],[Precio Clean]]-1),0),0)</f>
        <v>0</v>
      </c>
      <c r="AJ126" s="444">
        <f>+IF(Tabla33[[#This Row],[Amortización k | cupón de intereses]]="Amortización de K",IF(Tabla33[[#This Row],[Precio Clean]]&lt;1,Tabla33[[#This Row],[Valor Nominal]]*(Tabla33[[#This Row],[Precio Clean]]-1),0),0)</f>
        <v>0</v>
      </c>
    </row>
    <row r="127" spans="1:36">
      <c r="A127" s="502"/>
      <c r="B127" s="437" t="s">
        <v>505</v>
      </c>
      <c r="C127" s="437" t="str">
        <f t="shared" si="80"/>
        <v>CDA RIO UH1859-60</v>
      </c>
      <c r="D127" s="437" t="s">
        <v>453</v>
      </c>
      <c r="E127" s="437" t="s">
        <v>507</v>
      </c>
      <c r="F127" s="437" t="s">
        <v>297</v>
      </c>
      <c r="G127" s="437" t="s">
        <v>298</v>
      </c>
      <c r="H127" s="529">
        <f t="shared" ref="H127:H133" si="89">+H126</f>
        <v>2</v>
      </c>
      <c r="I127" s="492">
        <v>498.63013698630135</v>
      </c>
      <c r="J127" s="451"/>
      <c r="K127" s="450"/>
      <c r="L127" s="451"/>
      <c r="M127" s="493"/>
      <c r="N127" s="493"/>
      <c r="O127" s="494">
        <f t="shared" si="88"/>
        <v>6.6653165221214283E-2</v>
      </c>
      <c r="P127" s="494">
        <f t="shared" si="88"/>
        <v>6.5000000000000002E-2</v>
      </c>
      <c r="Q127" s="450">
        <f t="shared" si="88"/>
        <v>45876</v>
      </c>
      <c r="R127" s="450">
        <v>46469</v>
      </c>
      <c r="S127" s="509" t="s">
        <v>146</v>
      </c>
      <c r="T127" s="510">
        <f>Tabla33[[#This Row],[Cantidad]]*Tabla33[[#This Row],[Cortes]]</f>
        <v>997.2602739726027</v>
      </c>
      <c r="U127" s="511">
        <f t="shared" si="52"/>
        <v>921.3250679036172</v>
      </c>
      <c r="V127" s="511">
        <f t="shared" si="53"/>
        <v>921.16220751726541</v>
      </c>
      <c r="W127" s="497">
        <f>IF(Tabla33[[#This Row],[Fecha de operación]]=$C$1,0,U127-V127)</f>
        <v>0.16286038635178102</v>
      </c>
      <c r="X127" s="512" t="str">
        <f t="shared" si="64"/>
        <v>Vigente</v>
      </c>
      <c r="Y127" s="498" t="s">
        <v>450</v>
      </c>
      <c r="Z127" s="469">
        <f t="shared" si="65"/>
        <v>448</v>
      </c>
      <c r="AA127" s="499">
        <f t="shared" ref="AA127:AB133" si="90">+AA126</f>
        <v>1.4152718886886415</v>
      </c>
      <c r="AB127" s="499">
        <f t="shared" si="90"/>
        <v>1.3920753319140309</v>
      </c>
      <c r="AC127" s="469" t="s">
        <v>451</v>
      </c>
      <c r="AD127" s="469" t="s">
        <v>454</v>
      </c>
      <c r="AF127" s="444">
        <f>+IF(Tabla33[[#This Row],[Amortización k | cupón de intereses]]="Amortización de K",Tabla33[[#This Row],[Valor Nominal]],0)</f>
        <v>0</v>
      </c>
      <c r="AG127" s="444">
        <f>+IF(AND(Tabla33[[#This Row],[Amortización k | cupón de intereses]]="Cupón de interés",Tabla33[[#This Row],[Estado]]="Vigente"),Tabla33[[#This Row],[Valor Nominal]],0)</f>
        <v>997.2602739726027</v>
      </c>
      <c r="AH127" s="444">
        <f>+IF(Tabla33[[#This Row],[Amortización k | cupón de intereses]]="Amortización de K",SUMIFS($AG$7:$AG$418,Tabla33[Código Emisión],Tabla33[[#This Row],[Código Emisión]],Tabla33[Fecha de operación],Tabla33[[#This Row],[Fecha de operación]]),0)-Tabla33[[#This Row],[Accrued]]*Tabla33[[#This Row],[Valor Nominal]]</f>
        <v>0</v>
      </c>
      <c r="AI127" s="444">
        <f>+IF(Tabla33[[#This Row],[Amortización k | cupón de intereses]]="Amortización de K",IF(Tabla33[[#This Row],[Precio Clean]]&gt;1,Tabla33[[#This Row],[Valor Nominal]]*(Tabla33[[#This Row],[Precio Clean]]-1),0),0)</f>
        <v>0</v>
      </c>
      <c r="AJ127" s="444">
        <f>+IF(Tabla33[[#This Row],[Amortización k | cupón de intereses]]="Amortización de K",IF(Tabla33[[#This Row],[Precio Clean]]&lt;1,Tabla33[[#This Row],[Valor Nominal]]*(Tabla33[[#This Row],[Precio Clean]]-1),0),0)</f>
        <v>0</v>
      </c>
    </row>
    <row r="128" spans="1:36">
      <c r="A128" s="502"/>
      <c r="B128" s="437" t="s">
        <v>505</v>
      </c>
      <c r="C128" s="437" t="str">
        <f t="shared" si="80"/>
        <v>CDA RIO UH1859-60</v>
      </c>
      <c r="D128" s="437" t="s">
        <v>453</v>
      </c>
      <c r="E128" s="437" t="s">
        <v>507</v>
      </c>
      <c r="F128" s="437" t="s">
        <v>297</v>
      </c>
      <c r="G128" s="437" t="s">
        <v>298</v>
      </c>
      <c r="H128" s="529">
        <f t="shared" si="89"/>
        <v>2</v>
      </c>
      <c r="I128" s="492">
        <v>498.63013698630135</v>
      </c>
      <c r="J128" s="451"/>
      <c r="K128" s="450"/>
      <c r="L128" s="451"/>
      <c r="M128" s="493"/>
      <c r="N128" s="493"/>
      <c r="O128" s="494">
        <f t="shared" si="88"/>
        <v>6.6653165221214283E-2</v>
      </c>
      <c r="P128" s="494">
        <f t="shared" si="88"/>
        <v>6.5000000000000002E-2</v>
      </c>
      <c r="Q128" s="450">
        <f t="shared" si="88"/>
        <v>45876</v>
      </c>
      <c r="R128" s="450">
        <v>46378</v>
      </c>
      <c r="S128" s="509" t="s">
        <v>146</v>
      </c>
      <c r="T128" s="510">
        <f>Tabla33[[#This Row],[Cantidad]]*Tabla33[[#This Row],[Cortes]]</f>
        <v>997.2602739726027</v>
      </c>
      <c r="U128" s="511">
        <f t="shared" si="52"/>
        <v>936.26653455780854</v>
      </c>
      <c r="V128" s="511">
        <f t="shared" si="53"/>
        <v>936.10103300481865</v>
      </c>
      <c r="W128" s="497">
        <f>IF(Tabla33[[#This Row],[Fecha de operación]]=$C$1,0,U128-V128)</f>
        <v>0.16550155298989466</v>
      </c>
      <c r="X128" s="512" t="str">
        <f t="shared" si="64"/>
        <v>Vigente</v>
      </c>
      <c r="Y128" s="498" t="s">
        <v>450</v>
      </c>
      <c r="Z128" s="469">
        <f t="shared" si="65"/>
        <v>357</v>
      </c>
      <c r="AA128" s="499">
        <f t="shared" si="90"/>
        <v>1.4152718886886415</v>
      </c>
      <c r="AB128" s="499">
        <f t="shared" si="90"/>
        <v>1.3920753319140309</v>
      </c>
      <c r="AC128" s="469" t="s">
        <v>451</v>
      </c>
      <c r="AD128" s="469" t="s">
        <v>454</v>
      </c>
      <c r="AF128" s="444">
        <f>+IF(Tabla33[[#This Row],[Amortización k | cupón de intereses]]="Amortización de K",Tabla33[[#This Row],[Valor Nominal]],0)</f>
        <v>0</v>
      </c>
      <c r="AG128" s="444">
        <f>+IF(AND(Tabla33[[#This Row],[Amortización k | cupón de intereses]]="Cupón de interés",Tabla33[[#This Row],[Estado]]="Vigente"),Tabla33[[#This Row],[Valor Nominal]],0)</f>
        <v>997.2602739726027</v>
      </c>
      <c r="AH128" s="444">
        <f>+IF(Tabla33[[#This Row],[Amortización k | cupón de intereses]]="Amortización de K",SUMIFS($AG$7:$AG$418,Tabla33[Código Emisión],Tabla33[[#This Row],[Código Emisión]],Tabla33[Fecha de operación],Tabla33[[#This Row],[Fecha de operación]]),0)-Tabla33[[#This Row],[Accrued]]*Tabla33[[#This Row],[Valor Nominal]]</f>
        <v>0</v>
      </c>
      <c r="AI128" s="444">
        <f>+IF(Tabla33[[#This Row],[Amortización k | cupón de intereses]]="Amortización de K",IF(Tabla33[[#This Row],[Precio Clean]]&gt;1,Tabla33[[#This Row],[Valor Nominal]]*(Tabla33[[#This Row],[Precio Clean]]-1),0),0)</f>
        <v>0</v>
      </c>
      <c r="AJ128" s="444">
        <f>+IF(Tabla33[[#This Row],[Amortización k | cupón de intereses]]="Amortización de K",IF(Tabla33[[#This Row],[Precio Clean]]&lt;1,Tabla33[[#This Row],[Valor Nominal]]*(Tabla33[[#This Row],[Precio Clean]]-1),0),0)</f>
        <v>0</v>
      </c>
    </row>
    <row r="129" spans="1:36">
      <c r="A129" s="502"/>
      <c r="B129" s="437" t="s">
        <v>505</v>
      </c>
      <c r="C129" s="437" t="str">
        <f t="shared" si="80"/>
        <v>CDA RIO UH1859-60</v>
      </c>
      <c r="D129" s="437" t="s">
        <v>453</v>
      </c>
      <c r="E129" s="437" t="s">
        <v>507</v>
      </c>
      <c r="F129" s="437" t="s">
        <v>297</v>
      </c>
      <c r="G129" s="437" t="s">
        <v>298</v>
      </c>
      <c r="H129" s="529">
        <f t="shared" si="89"/>
        <v>2</v>
      </c>
      <c r="I129" s="492">
        <v>498.63013698630135</v>
      </c>
      <c r="J129" s="451"/>
      <c r="K129" s="450"/>
      <c r="L129" s="451"/>
      <c r="M129" s="493"/>
      <c r="N129" s="493"/>
      <c r="O129" s="494">
        <f t="shared" si="88"/>
        <v>6.6653165221214283E-2</v>
      </c>
      <c r="P129" s="494">
        <f t="shared" si="88"/>
        <v>6.5000000000000002E-2</v>
      </c>
      <c r="Q129" s="450">
        <f t="shared" si="88"/>
        <v>45876</v>
      </c>
      <c r="R129" s="450">
        <v>46287</v>
      </c>
      <c r="S129" s="509" t="s">
        <v>146</v>
      </c>
      <c r="T129" s="510">
        <f>Tabla33[[#This Row],[Cantidad]]*Tabla33[[#This Row],[Cortes]]</f>
        <v>997.2602739726027</v>
      </c>
      <c r="U129" s="511">
        <f t="shared" si="52"/>
        <v>951.45031245865482</v>
      </c>
      <c r="V129" s="511">
        <f t="shared" si="53"/>
        <v>951.28212690625878</v>
      </c>
      <c r="W129" s="497">
        <f>IF(Tabla33[[#This Row],[Fecha de operación]]=$C$1,0,U129-V129)</f>
        <v>0.16818555239603938</v>
      </c>
      <c r="X129" s="512" t="str">
        <f t="shared" si="64"/>
        <v>Vigente</v>
      </c>
      <c r="Y129" s="498" t="s">
        <v>450</v>
      </c>
      <c r="Z129" s="469">
        <f t="shared" si="65"/>
        <v>266</v>
      </c>
      <c r="AA129" s="499">
        <f t="shared" si="90"/>
        <v>1.4152718886886415</v>
      </c>
      <c r="AB129" s="499">
        <f t="shared" si="90"/>
        <v>1.3920753319140309</v>
      </c>
      <c r="AC129" s="469" t="s">
        <v>451</v>
      </c>
      <c r="AD129" s="469" t="s">
        <v>454</v>
      </c>
      <c r="AF129" s="444">
        <f>+IF(Tabla33[[#This Row],[Amortización k | cupón de intereses]]="Amortización de K",Tabla33[[#This Row],[Valor Nominal]],0)</f>
        <v>0</v>
      </c>
      <c r="AG129" s="444">
        <f>+IF(AND(Tabla33[[#This Row],[Amortización k | cupón de intereses]]="Cupón de interés",Tabla33[[#This Row],[Estado]]="Vigente"),Tabla33[[#This Row],[Valor Nominal]],0)</f>
        <v>997.2602739726027</v>
      </c>
      <c r="AH129" s="444">
        <f>+IF(Tabla33[[#This Row],[Amortización k | cupón de intereses]]="Amortización de K",SUMIFS($AG$7:$AG$418,Tabla33[Código Emisión],Tabla33[[#This Row],[Código Emisión]],Tabla33[Fecha de operación],Tabla33[[#This Row],[Fecha de operación]]),0)-Tabla33[[#This Row],[Accrued]]*Tabla33[[#This Row],[Valor Nominal]]</f>
        <v>0</v>
      </c>
      <c r="AI129" s="444">
        <f>+IF(Tabla33[[#This Row],[Amortización k | cupón de intereses]]="Amortización de K",IF(Tabla33[[#This Row],[Precio Clean]]&gt;1,Tabla33[[#This Row],[Valor Nominal]]*(Tabla33[[#This Row],[Precio Clean]]-1),0),0)</f>
        <v>0</v>
      </c>
      <c r="AJ129" s="444">
        <f>+IF(Tabla33[[#This Row],[Amortización k | cupón de intereses]]="Amortización de K",IF(Tabla33[[#This Row],[Precio Clean]]&lt;1,Tabla33[[#This Row],[Valor Nominal]]*(Tabla33[[#This Row],[Precio Clean]]-1),0),0)</f>
        <v>0</v>
      </c>
    </row>
    <row r="130" spans="1:36">
      <c r="A130" s="502"/>
      <c r="B130" s="437" t="s">
        <v>505</v>
      </c>
      <c r="C130" s="437" t="str">
        <f t="shared" si="80"/>
        <v>CDA RIO UH1859-60</v>
      </c>
      <c r="D130" s="437" t="s">
        <v>453</v>
      </c>
      <c r="E130" s="437" t="s">
        <v>507</v>
      </c>
      <c r="F130" s="437" t="s">
        <v>297</v>
      </c>
      <c r="G130" s="437" t="s">
        <v>298</v>
      </c>
      <c r="H130" s="529">
        <f t="shared" si="89"/>
        <v>2</v>
      </c>
      <c r="I130" s="492">
        <v>498.63013698630135</v>
      </c>
      <c r="J130" s="451"/>
      <c r="K130" s="450"/>
      <c r="L130" s="451"/>
      <c r="M130" s="493"/>
      <c r="N130" s="493"/>
      <c r="O130" s="494">
        <f t="shared" si="88"/>
        <v>6.6653165221214283E-2</v>
      </c>
      <c r="P130" s="494">
        <f t="shared" si="88"/>
        <v>6.5000000000000002E-2</v>
      </c>
      <c r="Q130" s="450">
        <f t="shared" si="88"/>
        <v>45876</v>
      </c>
      <c r="R130" s="450">
        <v>46196</v>
      </c>
      <c r="S130" s="509" t="s">
        <v>146</v>
      </c>
      <c r="T130" s="510">
        <f>Tabla33[[#This Row],[Cantidad]]*Tabla33[[#This Row],[Cortes]]</f>
        <v>997.2602739726027</v>
      </c>
      <c r="U130" s="511">
        <f t="shared" si="52"/>
        <v>966.88033125654545</v>
      </c>
      <c r="V130" s="511">
        <f t="shared" si="53"/>
        <v>966.70941817734013</v>
      </c>
      <c r="W130" s="497">
        <f>IF(Tabla33[[#This Row],[Fecha de operación]]=$C$1,0,U130-V130)</f>
        <v>0.17091307920532017</v>
      </c>
      <c r="X130" s="512" t="str">
        <f t="shared" si="64"/>
        <v>Vigente</v>
      </c>
      <c r="Y130" s="498" t="s">
        <v>450</v>
      </c>
      <c r="Z130" s="469">
        <f t="shared" si="65"/>
        <v>175</v>
      </c>
      <c r="AA130" s="499">
        <f t="shared" si="90"/>
        <v>1.4152718886886415</v>
      </c>
      <c r="AB130" s="499">
        <f t="shared" si="90"/>
        <v>1.3920753319140309</v>
      </c>
      <c r="AC130" s="469" t="s">
        <v>451</v>
      </c>
      <c r="AD130" s="469" t="s">
        <v>454</v>
      </c>
      <c r="AF130" s="444">
        <f>+IF(Tabla33[[#This Row],[Amortización k | cupón de intereses]]="Amortización de K",Tabla33[[#This Row],[Valor Nominal]],0)</f>
        <v>0</v>
      </c>
      <c r="AG130" s="444">
        <f>+IF(AND(Tabla33[[#This Row],[Amortización k | cupón de intereses]]="Cupón de interés",Tabla33[[#This Row],[Estado]]="Vigente"),Tabla33[[#This Row],[Valor Nominal]],0)</f>
        <v>997.2602739726027</v>
      </c>
      <c r="AH130" s="444">
        <f>+IF(Tabla33[[#This Row],[Amortización k | cupón de intereses]]="Amortización de K",SUMIFS($AG$7:$AG$418,Tabla33[Código Emisión],Tabla33[[#This Row],[Código Emisión]],Tabla33[Fecha de operación],Tabla33[[#This Row],[Fecha de operación]]),0)-Tabla33[[#This Row],[Accrued]]*Tabla33[[#This Row],[Valor Nominal]]</f>
        <v>0</v>
      </c>
      <c r="AI130" s="444">
        <f>+IF(Tabla33[[#This Row],[Amortización k | cupón de intereses]]="Amortización de K",IF(Tabla33[[#This Row],[Precio Clean]]&gt;1,Tabla33[[#This Row],[Valor Nominal]]*(Tabla33[[#This Row],[Precio Clean]]-1),0),0)</f>
        <v>0</v>
      </c>
      <c r="AJ130" s="444">
        <f>+IF(Tabla33[[#This Row],[Amortización k | cupón de intereses]]="Amortización de K",IF(Tabla33[[#This Row],[Precio Clean]]&lt;1,Tabla33[[#This Row],[Valor Nominal]]*(Tabla33[[#This Row],[Precio Clean]]-1),0),0)</f>
        <v>0</v>
      </c>
    </row>
    <row r="131" spans="1:36">
      <c r="A131" s="502"/>
      <c r="B131" s="437" t="s">
        <v>505</v>
      </c>
      <c r="C131" s="437" t="str">
        <f t="shared" si="80"/>
        <v>CDA RIO UH1859-60</v>
      </c>
      <c r="D131" s="437" t="s">
        <v>453</v>
      </c>
      <c r="E131" s="437" t="s">
        <v>507</v>
      </c>
      <c r="F131" s="437" t="s">
        <v>297</v>
      </c>
      <c r="G131" s="437" t="s">
        <v>298</v>
      </c>
      <c r="H131" s="529">
        <f t="shared" si="89"/>
        <v>2</v>
      </c>
      <c r="I131" s="492">
        <v>498.63013698630135</v>
      </c>
      <c r="J131" s="451"/>
      <c r="K131" s="450"/>
      <c r="L131" s="451"/>
      <c r="M131" s="493"/>
      <c r="N131" s="493"/>
      <c r="O131" s="494">
        <f t="shared" si="88"/>
        <v>6.6653165221214283E-2</v>
      </c>
      <c r="P131" s="494">
        <f t="shared" si="88"/>
        <v>6.5000000000000002E-2</v>
      </c>
      <c r="Q131" s="450">
        <f t="shared" si="88"/>
        <v>45876</v>
      </c>
      <c r="R131" s="450">
        <v>46105</v>
      </c>
      <c r="S131" s="509" t="s">
        <v>146</v>
      </c>
      <c r="T131" s="510">
        <f>Tabla33[[#This Row],[Cantidad]]*Tabla33[[#This Row],[Cortes]]</f>
        <v>997.2602739726027</v>
      </c>
      <c r="U131" s="511">
        <f t="shared" si="52"/>
        <v>982.56058433045223</v>
      </c>
      <c r="V131" s="511">
        <f t="shared" si="53"/>
        <v>982.3868994911345</v>
      </c>
      <c r="W131" s="497">
        <f>IF(Tabla33[[#This Row],[Fecha de operación]]=$C$1,0,U131-V131)</f>
        <v>0.17368483931772971</v>
      </c>
      <c r="X131" s="512" t="str">
        <f t="shared" si="64"/>
        <v>Vigente</v>
      </c>
      <c r="Y131" s="498" t="s">
        <v>450</v>
      </c>
      <c r="Z131" s="469">
        <f t="shared" si="65"/>
        <v>84</v>
      </c>
      <c r="AA131" s="499">
        <f t="shared" si="90"/>
        <v>1.4152718886886415</v>
      </c>
      <c r="AB131" s="499">
        <f t="shared" si="90"/>
        <v>1.3920753319140309</v>
      </c>
      <c r="AC131" s="469" t="s">
        <v>451</v>
      </c>
      <c r="AD131" s="469" t="s">
        <v>454</v>
      </c>
      <c r="AF131" s="444">
        <f>+IF(Tabla33[[#This Row],[Amortización k | cupón de intereses]]="Amortización de K",Tabla33[[#This Row],[Valor Nominal]],0)</f>
        <v>0</v>
      </c>
      <c r="AG131" s="444">
        <f>+IF(AND(Tabla33[[#This Row],[Amortización k | cupón de intereses]]="Cupón de interés",Tabla33[[#This Row],[Estado]]="Vigente"),Tabla33[[#This Row],[Valor Nominal]],0)</f>
        <v>997.2602739726027</v>
      </c>
      <c r="AH131" s="444">
        <f>+IF(Tabla33[[#This Row],[Amortización k | cupón de intereses]]="Amortización de K",SUMIFS($AG$7:$AG$418,Tabla33[Código Emisión],Tabla33[[#This Row],[Código Emisión]],Tabla33[Fecha de operación],Tabla33[[#This Row],[Fecha de operación]]),0)-Tabla33[[#This Row],[Accrued]]*Tabla33[[#This Row],[Valor Nominal]]</f>
        <v>0</v>
      </c>
      <c r="AI131" s="444">
        <f>+IF(Tabla33[[#This Row],[Amortización k | cupón de intereses]]="Amortización de K",IF(Tabla33[[#This Row],[Precio Clean]]&gt;1,Tabla33[[#This Row],[Valor Nominal]]*(Tabla33[[#This Row],[Precio Clean]]-1),0),0)</f>
        <v>0</v>
      </c>
      <c r="AJ131" s="444">
        <f>+IF(Tabla33[[#This Row],[Amortización k | cupón de intereses]]="Amortización de K",IF(Tabla33[[#This Row],[Precio Clean]]&lt;1,Tabla33[[#This Row],[Valor Nominal]]*(Tabla33[[#This Row],[Precio Clean]]-1),0),0)</f>
        <v>0</v>
      </c>
    </row>
    <row r="132" spans="1:36">
      <c r="A132" s="502"/>
      <c r="B132" s="437" t="s">
        <v>505</v>
      </c>
      <c r="C132" s="437" t="str">
        <f t="shared" si="80"/>
        <v>CDA RIO UH1859-60</v>
      </c>
      <c r="D132" s="437" t="s">
        <v>453</v>
      </c>
      <c r="E132" s="437" t="s">
        <v>507</v>
      </c>
      <c r="F132" s="437" t="s">
        <v>297</v>
      </c>
      <c r="G132" s="437" t="s">
        <v>298</v>
      </c>
      <c r="H132" s="529">
        <f t="shared" si="89"/>
        <v>2</v>
      </c>
      <c r="I132" s="492">
        <v>498.63013698630135</v>
      </c>
      <c r="J132" s="451"/>
      <c r="K132" s="450"/>
      <c r="L132" s="451"/>
      <c r="M132" s="493"/>
      <c r="N132" s="493"/>
      <c r="O132" s="494">
        <f t="shared" si="88"/>
        <v>6.6653165221214283E-2</v>
      </c>
      <c r="P132" s="494">
        <f t="shared" si="88"/>
        <v>6.5000000000000002E-2</v>
      </c>
      <c r="Q132" s="450">
        <f t="shared" si="88"/>
        <v>45876</v>
      </c>
      <c r="R132" s="450">
        <v>46014</v>
      </c>
      <c r="S132" s="509" t="s">
        <v>146</v>
      </c>
      <c r="T132" s="510">
        <f>Tabla33[[#This Row],[Cantidad]]*Tabla33[[#This Row],[Cortes]]</f>
        <v>997.2602739726027</v>
      </c>
      <c r="U132" s="511" t="b">
        <f t="shared" si="52"/>
        <v>0</v>
      </c>
      <c r="V132" s="511" t="b">
        <f t="shared" si="53"/>
        <v>0</v>
      </c>
      <c r="W132" s="497">
        <f>IF(Tabla33[[#This Row],[Fecha de operación]]=$C$1,0,U132-V132)</f>
        <v>0</v>
      </c>
      <c r="X132" s="512" t="str">
        <f t="shared" si="64"/>
        <v>Vencido</v>
      </c>
      <c r="Y132" s="498" t="s">
        <v>450</v>
      </c>
      <c r="Z132" s="469">
        <f t="shared" si="65"/>
        <v>-7</v>
      </c>
      <c r="AA132" s="499">
        <f t="shared" si="90"/>
        <v>1.4152718886886415</v>
      </c>
      <c r="AB132" s="499">
        <f t="shared" si="90"/>
        <v>1.3920753319140309</v>
      </c>
      <c r="AC132" s="469" t="s">
        <v>451</v>
      </c>
      <c r="AD132" s="469" t="s">
        <v>454</v>
      </c>
      <c r="AF132" s="444">
        <f>+IF(Tabla33[[#This Row],[Amortización k | cupón de intereses]]="Amortización de K",Tabla33[[#This Row],[Valor Nominal]],0)</f>
        <v>0</v>
      </c>
      <c r="AG132" s="444">
        <f>+IF(AND(Tabla33[[#This Row],[Amortización k | cupón de intereses]]="Cupón de interés",Tabla33[[#This Row],[Estado]]="Vigente"),Tabla33[[#This Row],[Valor Nominal]],0)</f>
        <v>0</v>
      </c>
      <c r="AH132" s="444">
        <f>+IF(Tabla33[[#This Row],[Amortización k | cupón de intereses]]="Amortización de K",SUMIFS($AG$7:$AG$418,Tabla33[Código Emisión],Tabla33[[#This Row],[Código Emisión]],Tabla33[Fecha de operación],Tabla33[[#This Row],[Fecha de operación]]),0)-Tabla33[[#This Row],[Accrued]]*Tabla33[[#This Row],[Valor Nominal]]</f>
        <v>0</v>
      </c>
      <c r="AI132" s="444">
        <f>+IF(Tabla33[[#This Row],[Amortización k | cupón de intereses]]="Amortización de K",IF(Tabla33[[#This Row],[Precio Clean]]&gt;1,Tabla33[[#This Row],[Valor Nominal]]*(Tabla33[[#This Row],[Precio Clean]]-1),0),0)</f>
        <v>0</v>
      </c>
      <c r="AJ132" s="444">
        <f>+IF(Tabla33[[#This Row],[Amortización k | cupón de intereses]]="Amortización de K",IF(Tabla33[[#This Row],[Precio Clean]]&lt;1,Tabla33[[#This Row],[Valor Nominal]]*(Tabla33[[#This Row],[Precio Clean]]-1),0),0)</f>
        <v>0</v>
      </c>
    </row>
    <row r="133" spans="1:36">
      <c r="A133" s="502"/>
      <c r="B133" s="437" t="s">
        <v>505</v>
      </c>
      <c r="C133" s="437" t="str">
        <f t="shared" si="80"/>
        <v>CDA RIO UH1859-60</v>
      </c>
      <c r="D133" s="437" t="s">
        <v>453</v>
      </c>
      <c r="E133" s="437" t="s">
        <v>507</v>
      </c>
      <c r="F133" s="437" t="s">
        <v>297</v>
      </c>
      <c r="G133" s="437" t="s">
        <v>298</v>
      </c>
      <c r="H133" s="529">
        <f t="shared" si="89"/>
        <v>2</v>
      </c>
      <c r="I133" s="492">
        <v>498.63013698630135</v>
      </c>
      <c r="J133" s="451"/>
      <c r="K133" s="450"/>
      <c r="L133" s="451"/>
      <c r="M133" s="493"/>
      <c r="N133" s="493"/>
      <c r="O133" s="494">
        <f t="shared" si="88"/>
        <v>6.6653165221214283E-2</v>
      </c>
      <c r="P133" s="494">
        <f t="shared" si="88"/>
        <v>6.5000000000000002E-2</v>
      </c>
      <c r="Q133" s="450">
        <f t="shared" si="88"/>
        <v>45876</v>
      </c>
      <c r="R133" s="450">
        <v>45923</v>
      </c>
      <c r="S133" s="509" t="s">
        <v>146</v>
      </c>
      <c r="T133" s="510">
        <f>Tabla33[[#This Row],[Cantidad]]*Tabla33[[#This Row],[Cortes]]</f>
        <v>997.2602739726027</v>
      </c>
      <c r="U133" s="511" t="b">
        <f t="shared" si="52"/>
        <v>0</v>
      </c>
      <c r="V133" s="511" t="b">
        <f t="shared" si="53"/>
        <v>0</v>
      </c>
      <c r="W133" s="497">
        <f>IF(Tabla33[[#This Row],[Fecha de operación]]=$C$1,0,U133-V133)</f>
        <v>0</v>
      </c>
      <c r="X133" s="512" t="str">
        <f t="shared" si="64"/>
        <v>Vencido</v>
      </c>
      <c r="Y133" s="498" t="s">
        <v>450</v>
      </c>
      <c r="Z133" s="469">
        <f t="shared" si="65"/>
        <v>-98</v>
      </c>
      <c r="AA133" s="499">
        <f t="shared" si="90"/>
        <v>1.4152718886886415</v>
      </c>
      <c r="AB133" s="499">
        <f t="shared" si="90"/>
        <v>1.3920753319140309</v>
      </c>
      <c r="AC133" s="469" t="s">
        <v>451</v>
      </c>
      <c r="AD133" s="469" t="s">
        <v>454</v>
      </c>
      <c r="AF133" s="444">
        <f>+IF(Tabla33[[#This Row],[Amortización k | cupón de intereses]]="Amortización de K",Tabla33[[#This Row],[Valor Nominal]],0)</f>
        <v>0</v>
      </c>
      <c r="AG133" s="444">
        <f>+IF(AND(Tabla33[[#This Row],[Amortización k | cupón de intereses]]="Cupón de interés",Tabla33[[#This Row],[Estado]]="Vigente"),Tabla33[[#This Row],[Valor Nominal]],0)</f>
        <v>0</v>
      </c>
      <c r="AH133" s="444">
        <f>+IF(Tabla33[[#This Row],[Amortización k | cupón de intereses]]="Amortización de K",SUMIFS($AG$7:$AG$418,Tabla33[Código Emisión],Tabla33[[#This Row],[Código Emisión]],Tabla33[Fecha de operación],Tabla33[[#This Row],[Fecha de operación]]),0)-Tabla33[[#This Row],[Accrued]]*Tabla33[[#This Row],[Valor Nominal]]</f>
        <v>0</v>
      </c>
      <c r="AI133" s="444">
        <f>+IF(Tabla33[[#This Row],[Amortización k | cupón de intereses]]="Amortización de K",IF(Tabla33[[#This Row],[Precio Clean]]&gt;1,Tabla33[[#This Row],[Valor Nominal]]*(Tabla33[[#This Row],[Precio Clean]]-1),0),0)</f>
        <v>0</v>
      </c>
      <c r="AJ133" s="444">
        <f>+IF(Tabla33[[#This Row],[Amortización k | cupón de intereses]]="Amortización de K",IF(Tabla33[[#This Row],[Precio Clean]]&lt;1,Tabla33[[#This Row],[Valor Nominal]]*(Tabla33[[#This Row],[Precio Clean]]-1),0),0)</f>
        <v>0</v>
      </c>
    </row>
    <row r="134" spans="1:36" ht="15">
      <c r="A134" s="500">
        <f>+A125+1</f>
        <v>17</v>
      </c>
      <c r="B134" s="475" t="s">
        <v>505</v>
      </c>
      <c r="C134" s="475" t="s">
        <v>508</v>
      </c>
      <c r="D134" s="475" t="s">
        <v>453</v>
      </c>
      <c r="E134" s="475" t="s">
        <v>507</v>
      </c>
      <c r="F134" s="475" t="s">
        <v>297</v>
      </c>
      <c r="G134" s="475" t="s">
        <v>298</v>
      </c>
      <c r="H134" s="476">
        <v>3</v>
      </c>
      <c r="I134" s="477">
        <v>40000</v>
      </c>
      <c r="J134" s="478">
        <v>0.08</v>
      </c>
      <c r="K134" s="479">
        <f>_xlfn.MAXIFS(R:R,C:C,C134,AD:AD,"Cupón de interés",X:X,"Vencido")</f>
        <v>45946</v>
      </c>
      <c r="L134" s="478">
        <f>+Tabla33[[#This Row],[Tasa de Interés]]*($U$5-Tabla33[[#This Row],[Last coupon]])/365</f>
        <v>1.643835616438356E-2</v>
      </c>
      <c r="M134" s="480">
        <f>+Tabla33[[#This Row],[Precio Dirty]]-Tabla33[[#This Row],[Accrued]]</f>
        <v>1.0217729032574872</v>
      </c>
      <c r="N134" s="481">
        <f>SUMIFS(U:U,C:C,C134,Q:Q,Q134)/SUMIFS(T:T,C:C,C134,Q:Q,Q134,AD:AD,"Amortización de K")</f>
        <v>1.0382112594218706</v>
      </c>
      <c r="O134" s="482">
        <v>6.6712483763694763E-2</v>
      </c>
      <c r="P134" s="482">
        <v>6.5011867724246386E-2</v>
      </c>
      <c r="Q134" s="484">
        <v>45876</v>
      </c>
      <c r="R134" s="484">
        <v>46587</v>
      </c>
      <c r="S134" s="504" t="s">
        <v>146</v>
      </c>
      <c r="T134" s="505">
        <f>Tabla33[[#This Row],[Cantidad]]*Tabla33[[#This Row],[Cortes]]</f>
        <v>120000</v>
      </c>
      <c r="U134" s="506">
        <f t="shared" si="52"/>
        <v>108564.69087763429</v>
      </c>
      <c r="V134" s="506">
        <f t="shared" si="53"/>
        <v>108545.4836242131</v>
      </c>
      <c r="W134" s="487">
        <f>IF(Tabla33[[#This Row],[Fecha de operación]]=$C$1,0,U134-V134)</f>
        <v>19.207253421191126</v>
      </c>
      <c r="X134" s="507" t="str">
        <f t="shared" si="64"/>
        <v>Vigente</v>
      </c>
      <c r="Y134" s="489" t="s">
        <v>450</v>
      </c>
      <c r="Z134" s="488">
        <f t="shared" si="65"/>
        <v>566</v>
      </c>
      <c r="AA134" s="508">
        <f t="shared" ref="AA134" si="91">IF(Y134="Mensual",DURATION($C$1,$C$1+Z134*12,J134/12,O134/12,1)/12,DURATION($C$1,R134,J134,O134,IF(Y134="Cupón cero",1,IF(Y134="Al vencimiento",1,IF(Y134="Anual",1,IF(Y134="Semestral",2,IF(Y134="Trimestral",4,"")))))))</f>
        <v>1.4544199592263254</v>
      </c>
      <c r="AB134" s="508">
        <f t="shared" ref="AB134" si="92">IF(Y134="Mensual",MDURATION($C$1,$C$1+Z134*12,J134/12,O134/12,1)/12,MDURATION($C$1,R134,J134,O134,IF(Y134="Cupón cero",1,IF(Y134="Al vencimiento",1,IF(Y134="Anual",1,IF(Y134="Semestral",2,IF(Y134="Trimestral",4,"")))))))</f>
        <v>1.4305608916618338</v>
      </c>
      <c r="AC134" s="488" t="s">
        <v>451</v>
      </c>
      <c r="AD134" s="488" t="s">
        <v>452</v>
      </c>
      <c r="AF134" s="444">
        <f>+IF(Tabla33[[#This Row],[Amortización k | cupón de intereses]]="Amortización de K",Tabla33[[#This Row],[Valor Nominal]],0)</f>
        <v>120000</v>
      </c>
      <c r="AG134" s="444">
        <f>+IF(AND(Tabla33[[#This Row],[Amortización k | cupón de intereses]]="Cupón de interés",Tabla33[[#This Row],[Estado]]="Vigente"),Tabla33[[#This Row],[Valor Nominal]],0)</f>
        <v>0</v>
      </c>
      <c r="AH134" s="444">
        <f>+IF(Tabla33[[#This Row],[Amortización k | cupón de intereses]]="Amortización de K",SUMIFS($AG$7:$AG$418,Tabla33[Código Emisión],Tabla33[[#This Row],[Código Emisión]],Tabla33[Fecha de operación],Tabla33[[#This Row],[Fecha de operación]]),0)-Tabla33[[#This Row],[Accrued]]*Tabla33[[#This Row],[Valor Nominal]]</f>
        <v>14886.525205479449</v>
      </c>
      <c r="AI134" s="444">
        <f>+IF(Tabla33[[#This Row],[Amortización k | cupón de intereses]]="Amortización de K",IF(Tabla33[[#This Row],[Precio Clean]]&gt;1,Tabla33[[#This Row],[Valor Nominal]]*(Tabla33[[#This Row],[Precio Clean]]-1),0),0)</f>
        <v>2612.7483908984582</v>
      </c>
      <c r="AJ134" s="444">
        <f>+IF(Tabla33[[#This Row],[Amortización k | cupón de intereses]]="Amortización de K",IF(Tabla33[[#This Row],[Precio Clean]]&lt;1,Tabla33[[#This Row],[Valor Nominal]]*(Tabla33[[#This Row],[Precio Clean]]-1),0),0)</f>
        <v>0</v>
      </c>
    </row>
    <row r="135" spans="1:36">
      <c r="A135" s="502"/>
      <c r="B135" s="437" t="s">
        <v>505</v>
      </c>
      <c r="C135" s="437" t="str">
        <f t="shared" si="80"/>
        <v>CDA RIO UH1890-92</v>
      </c>
      <c r="D135" s="437" t="s">
        <v>453</v>
      </c>
      <c r="E135" s="437" t="s">
        <v>507</v>
      </c>
      <c r="F135" s="437" t="s">
        <v>297</v>
      </c>
      <c r="G135" s="437" t="s">
        <v>298</v>
      </c>
      <c r="H135" s="529">
        <f>+H134</f>
        <v>3</v>
      </c>
      <c r="I135" s="492">
        <v>832.86</v>
      </c>
      <c r="J135" s="451"/>
      <c r="K135" s="450"/>
      <c r="L135" s="451"/>
      <c r="M135" s="493"/>
      <c r="N135" s="493"/>
      <c r="O135" s="494">
        <f t="shared" ref="O135:Q142" si="93">+O134</f>
        <v>6.6712483763694763E-2</v>
      </c>
      <c r="P135" s="494">
        <f t="shared" si="93"/>
        <v>6.5011867724246386E-2</v>
      </c>
      <c r="Q135" s="450">
        <f t="shared" si="93"/>
        <v>45876</v>
      </c>
      <c r="R135" s="450">
        <v>46587</v>
      </c>
      <c r="S135" s="509" t="s">
        <v>146</v>
      </c>
      <c r="T135" s="510">
        <f>Tabla33[[#This Row],[Cantidad]]*Tabla33[[#This Row],[Cortes]]</f>
        <v>2498.58</v>
      </c>
      <c r="U135" s="511">
        <f t="shared" si="52"/>
        <v>2260.4797111086623</v>
      </c>
      <c r="V135" s="511">
        <f t="shared" si="53"/>
        <v>2260.0797872815533</v>
      </c>
      <c r="W135" s="497">
        <f>IF(Tabla33[[#This Row],[Fecha de operación]]=$C$1,0,U135-V135)</f>
        <v>0.399923827108978</v>
      </c>
      <c r="X135" s="512" t="str">
        <f t="shared" si="64"/>
        <v>Vigente</v>
      </c>
      <c r="Y135" s="498" t="s">
        <v>450</v>
      </c>
      <c r="Z135" s="469">
        <f t="shared" si="65"/>
        <v>566</v>
      </c>
      <c r="AA135" s="499">
        <f>+AA134</f>
        <v>1.4544199592263254</v>
      </c>
      <c r="AB135" s="499">
        <f>+AB134</f>
        <v>1.4305608916618338</v>
      </c>
      <c r="AC135" s="469" t="s">
        <v>451</v>
      </c>
      <c r="AD135" s="469" t="s">
        <v>454</v>
      </c>
      <c r="AF135" s="444">
        <f>+IF(Tabla33[[#This Row],[Amortización k | cupón de intereses]]="Amortización de K",Tabla33[[#This Row],[Valor Nominal]],0)</f>
        <v>0</v>
      </c>
      <c r="AG135" s="444">
        <f>+IF(AND(Tabla33[[#This Row],[Amortización k | cupón de intereses]]="Cupón de interés",Tabla33[[#This Row],[Estado]]="Vigente"),Tabla33[[#This Row],[Valor Nominal]],0)</f>
        <v>2498.58</v>
      </c>
      <c r="AH135" s="444">
        <f>+IF(Tabla33[[#This Row],[Amortización k | cupón de intereses]]="Amortización de K",SUMIFS($AG$7:$AG$418,Tabla33[Código Emisión],Tabla33[[#This Row],[Código Emisión]],Tabla33[Fecha de operación],Tabla33[[#This Row],[Fecha de operación]]),0)-Tabla33[[#This Row],[Accrued]]*Tabla33[[#This Row],[Valor Nominal]]</f>
        <v>0</v>
      </c>
      <c r="AI135" s="444">
        <f>+IF(Tabla33[[#This Row],[Amortización k | cupón de intereses]]="Amortización de K",IF(Tabla33[[#This Row],[Precio Clean]]&gt;1,Tabla33[[#This Row],[Valor Nominal]]*(Tabla33[[#This Row],[Precio Clean]]-1),0),0)</f>
        <v>0</v>
      </c>
      <c r="AJ135" s="444">
        <f>+IF(Tabla33[[#This Row],[Amortización k | cupón de intereses]]="Amortización de K",IF(Tabla33[[#This Row],[Precio Clean]]&lt;1,Tabla33[[#This Row],[Valor Nominal]]*(Tabla33[[#This Row],[Precio Clean]]-1),0),0)</f>
        <v>0</v>
      </c>
    </row>
    <row r="136" spans="1:36">
      <c r="A136" s="502"/>
      <c r="B136" s="437" t="s">
        <v>505</v>
      </c>
      <c r="C136" s="437" t="str">
        <f t="shared" si="80"/>
        <v>CDA RIO UH1890-92</v>
      </c>
      <c r="D136" s="437" t="s">
        <v>453</v>
      </c>
      <c r="E136" s="437" t="s">
        <v>507</v>
      </c>
      <c r="F136" s="437" t="s">
        <v>297</v>
      </c>
      <c r="G136" s="437" t="s">
        <v>298</v>
      </c>
      <c r="H136" s="529">
        <f t="shared" ref="H136:H142" si="94">+H135</f>
        <v>3</v>
      </c>
      <c r="I136" s="492">
        <v>797.80821917808214</v>
      </c>
      <c r="J136" s="451"/>
      <c r="K136" s="450"/>
      <c r="L136" s="451"/>
      <c r="M136" s="493"/>
      <c r="N136" s="493"/>
      <c r="O136" s="494">
        <f t="shared" si="93"/>
        <v>6.6712483763694763E-2</v>
      </c>
      <c r="P136" s="494">
        <f t="shared" si="93"/>
        <v>6.5011867724246386E-2</v>
      </c>
      <c r="Q136" s="450">
        <f t="shared" si="93"/>
        <v>45876</v>
      </c>
      <c r="R136" s="450">
        <v>46492</v>
      </c>
      <c r="S136" s="509" t="s">
        <v>146</v>
      </c>
      <c r="T136" s="510">
        <f>Tabla33[[#This Row],[Cantidad]]*Tabla33[[#This Row],[Cortes]]</f>
        <v>2393.4246575342463</v>
      </c>
      <c r="U136" s="511">
        <f t="shared" si="52"/>
        <v>2202.0497033271827</v>
      </c>
      <c r="V136" s="511">
        <f t="shared" si="53"/>
        <v>2201.6601169307592</v>
      </c>
      <c r="W136" s="497">
        <f>IF(Tabla33[[#This Row],[Fecha de operación]]=$C$1,0,U136-V136)</f>
        <v>0.38958639642351045</v>
      </c>
      <c r="X136" s="512" t="str">
        <f t="shared" si="64"/>
        <v>Vigente</v>
      </c>
      <c r="Y136" s="498" t="s">
        <v>450</v>
      </c>
      <c r="Z136" s="469">
        <f t="shared" si="65"/>
        <v>471</v>
      </c>
      <c r="AA136" s="499">
        <f t="shared" ref="AA136:AB142" si="95">+AA135</f>
        <v>1.4544199592263254</v>
      </c>
      <c r="AB136" s="499">
        <f t="shared" si="95"/>
        <v>1.4305608916618338</v>
      </c>
      <c r="AC136" s="469" t="s">
        <v>451</v>
      </c>
      <c r="AD136" s="469" t="s">
        <v>454</v>
      </c>
      <c r="AF136" s="444">
        <f>+IF(Tabla33[[#This Row],[Amortización k | cupón de intereses]]="Amortización de K",Tabla33[[#This Row],[Valor Nominal]],0)</f>
        <v>0</v>
      </c>
      <c r="AG136" s="444">
        <f>+IF(AND(Tabla33[[#This Row],[Amortización k | cupón de intereses]]="Cupón de interés",Tabla33[[#This Row],[Estado]]="Vigente"),Tabla33[[#This Row],[Valor Nominal]],0)</f>
        <v>2393.4246575342463</v>
      </c>
      <c r="AH136" s="444">
        <f>+IF(Tabla33[[#This Row],[Amortización k | cupón de intereses]]="Amortización de K",SUMIFS($AG$7:$AG$418,Tabla33[Código Emisión],Tabla33[[#This Row],[Código Emisión]],Tabla33[Fecha de operación],Tabla33[[#This Row],[Fecha de operación]]),0)-Tabla33[[#This Row],[Accrued]]*Tabla33[[#This Row],[Valor Nominal]]</f>
        <v>0</v>
      </c>
      <c r="AI136" s="444">
        <f>+IF(Tabla33[[#This Row],[Amortización k | cupón de intereses]]="Amortización de K",IF(Tabla33[[#This Row],[Precio Clean]]&gt;1,Tabla33[[#This Row],[Valor Nominal]]*(Tabla33[[#This Row],[Precio Clean]]-1),0),0)</f>
        <v>0</v>
      </c>
      <c r="AJ136" s="444">
        <f>+IF(Tabla33[[#This Row],[Amortización k | cupón de intereses]]="Amortización de K",IF(Tabla33[[#This Row],[Precio Clean]]&lt;1,Tabla33[[#This Row],[Valor Nominal]]*(Tabla33[[#This Row],[Precio Clean]]-1),0),0)</f>
        <v>0</v>
      </c>
    </row>
    <row r="137" spans="1:36">
      <c r="A137" s="502"/>
      <c r="B137" s="437" t="s">
        <v>505</v>
      </c>
      <c r="C137" s="437" t="str">
        <f t="shared" si="80"/>
        <v>CDA RIO UH1890-92</v>
      </c>
      <c r="D137" s="437" t="s">
        <v>453</v>
      </c>
      <c r="E137" s="437" t="s">
        <v>507</v>
      </c>
      <c r="F137" s="437" t="s">
        <v>297</v>
      </c>
      <c r="G137" s="437" t="s">
        <v>298</v>
      </c>
      <c r="H137" s="529">
        <f t="shared" si="94"/>
        <v>3</v>
      </c>
      <c r="I137" s="492">
        <v>797.80821917808214</v>
      </c>
      <c r="J137" s="451"/>
      <c r="K137" s="450"/>
      <c r="L137" s="451"/>
      <c r="M137" s="493"/>
      <c r="N137" s="493"/>
      <c r="O137" s="494">
        <f t="shared" si="93"/>
        <v>6.6712483763694763E-2</v>
      </c>
      <c r="P137" s="494">
        <f t="shared" si="93"/>
        <v>6.5011867724246386E-2</v>
      </c>
      <c r="Q137" s="450">
        <f t="shared" si="93"/>
        <v>45876</v>
      </c>
      <c r="R137" s="450">
        <v>46401</v>
      </c>
      <c r="S137" s="509" t="s">
        <v>146</v>
      </c>
      <c r="T137" s="510">
        <f>Tabla33[[#This Row],[Cantidad]]*Tabla33[[#This Row],[Cortes]]</f>
        <v>2393.4246575342463</v>
      </c>
      <c r="U137" s="511">
        <f t="shared" si="52"/>
        <v>2237.7921769011036</v>
      </c>
      <c r="V137" s="511">
        <f t="shared" si="53"/>
        <v>2237.3962669501034</v>
      </c>
      <c r="W137" s="497">
        <f>IF(Tabla33[[#This Row],[Fecha de operación]]=$C$1,0,U137-V137)</f>
        <v>0.39590995100024884</v>
      </c>
      <c r="X137" s="512" t="str">
        <f t="shared" si="64"/>
        <v>Vigente</v>
      </c>
      <c r="Y137" s="498" t="s">
        <v>450</v>
      </c>
      <c r="Z137" s="469">
        <f t="shared" si="65"/>
        <v>380</v>
      </c>
      <c r="AA137" s="499">
        <f t="shared" si="95"/>
        <v>1.4544199592263254</v>
      </c>
      <c r="AB137" s="499">
        <f t="shared" si="95"/>
        <v>1.4305608916618338</v>
      </c>
      <c r="AC137" s="469" t="s">
        <v>451</v>
      </c>
      <c r="AD137" s="469" t="s">
        <v>454</v>
      </c>
      <c r="AF137" s="444">
        <f>+IF(Tabla33[[#This Row],[Amortización k | cupón de intereses]]="Amortización de K",Tabla33[[#This Row],[Valor Nominal]],0)</f>
        <v>0</v>
      </c>
      <c r="AG137" s="444">
        <f>+IF(AND(Tabla33[[#This Row],[Amortización k | cupón de intereses]]="Cupón de interés",Tabla33[[#This Row],[Estado]]="Vigente"),Tabla33[[#This Row],[Valor Nominal]],0)</f>
        <v>2393.4246575342463</v>
      </c>
      <c r="AH137" s="444">
        <f>+IF(Tabla33[[#This Row],[Amortización k | cupón de intereses]]="Amortización de K",SUMIFS($AG$7:$AG$418,Tabla33[Código Emisión],Tabla33[[#This Row],[Código Emisión]],Tabla33[Fecha de operación],Tabla33[[#This Row],[Fecha de operación]]),0)-Tabla33[[#This Row],[Accrued]]*Tabla33[[#This Row],[Valor Nominal]]</f>
        <v>0</v>
      </c>
      <c r="AI137" s="444">
        <f>+IF(Tabla33[[#This Row],[Amortización k | cupón de intereses]]="Amortización de K",IF(Tabla33[[#This Row],[Precio Clean]]&gt;1,Tabla33[[#This Row],[Valor Nominal]]*(Tabla33[[#This Row],[Precio Clean]]-1),0),0)</f>
        <v>0</v>
      </c>
      <c r="AJ137" s="444">
        <f>+IF(Tabla33[[#This Row],[Amortización k | cupón de intereses]]="Amortización de K",IF(Tabla33[[#This Row],[Precio Clean]]&lt;1,Tabla33[[#This Row],[Valor Nominal]]*(Tabla33[[#This Row],[Precio Clean]]-1),0),0)</f>
        <v>0</v>
      </c>
    </row>
    <row r="138" spans="1:36">
      <c r="A138" s="502"/>
      <c r="B138" s="437" t="s">
        <v>505</v>
      </c>
      <c r="C138" s="437" t="str">
        <f t="shared" si="80"/>
        <v>CDA RIO UH1890-92</v>
      </c>
      <c r="D138" s="437" t="s">
        <v>453</v>
      </c>
      <c r="E138" s="437" t="s">
        <v>507</v>
      </c>
      <c r="F138" s="437" t="s">
        <v>297</v>
      </c>
      <c r="G138" s="437" t="s">
        <v>298</v>
      </c>
      <c r="H138" s="529">
        <f t="shared" si="94"/>
        <v>3</v>
      </c>
      <c r="I138" s="492">
        <v>797.80821917808214</v>
      </c>
      <c r="J138" s="451"/>
      <c r="K138" s="450"/>
      <c r="L138" s="451"/>
      <c r="M138" s="493"/>
      <c r="N138" s="493"/>
      <c r="O138" s="494">
        <f t="shared" si="93"/>
        <v>6.6712483763694763E-2</v>
      </c>
      <c r="P138" s="494">
        <f t="shared" si="93"/>
        <v>6.5011867724246386E-2</v>
      </c>
      <c r="Q138" s="450">
        <f t="shared" si="93"/>
        <v>45876</v>
      </c>
      <c r="R138" s="450">
        <v>46310</v>
      </c>
      <c r="S138" s="509" t="s">
        <v>146</v>
      </c>
      <c r="T138" s="510">
        <f>Tabla33[[#This Row],[Cantidad]]*Tabla33[[#This Row],[Cortes]]</f>
        <v>2393.4246575342463</v>
      </c>
      <c r="U138" s="511">
        <f t="shared" si="52"/>
        <v>2274.1148028736061</v>
      </c>
      <c r="V138" s="511">
        <f t="shared" si="53"/>
        <v>2273.7124667275298</v>
      </c>
      <c r="W138" s="497">
        <f>IF(Tabla33[[#This Row],[Fecha de operación]]=$C$1,0,U138-V138)</f>
        <v>0.40233614607632262</v>
      </c>
      <c r="X138" s="512" t="str">
        <f t="shared" si="64"/>
        <v>Vigente</v>
      </c>
      <c r="Y138" s="498" t="s">
        <v>450</v>
      </c>
      <c r="Z138" s="469">
        <f t="shared" si="65"/>
        <v>289</v>
      </c>
      <c r="AA138" s="499">
        <f t="shared" si="95"/>
        <v>1.4544199592263254</v>
      </c>
      <c r="AB138" s="499">
        <f t="shared" si="95"/>
        <v>1.4305608916618338</v>
      </c>
      <c r="AC138" s="469" t="s">
        <v>451</v>
      </c>
      <c r="AD138" s="469" t="s">
        <v>454</v>
      </c>
      <c r="AF138" s="444">
        <f>+IF(Tabla33[[#This Row],[Amortización k | cupón de intereses]]="Amortización de K",Tabla33[[#This Row],[Valor Nominal]],0)</f>
        <v>0</v>
      </c>
      <c r="AG138" s="444">
        <f>+IF(AND(Tabla33[[#This Row],[Amortización k | cupón de intereses]]="Cupón de interés",Tabla33[[#This Row],[Estado]]="Vigente"),Tabla33[[#This Row],[Valor Nominal]],0)</f>
        <v>2393.4246575342463</v>
      </c>
      <c r="AH138" s="444">
        <f>+IF(Tabla33[[#This Row],[Amortización k | cupón de intereses]]="Amortización de K",SUMIFS($AG$7:$AG$418,Tabla33[Código Emisión],Tabla33[[#This Row],[Código Emisión]],Tabla33[Fecha de operación],Tabla33[[#This Row],[Fecha de operación]]),0)-Tabla33[[#This Row],[Accrued]]*Tabla33[[#This Row],[Valor Nominal]]</f>
        <v>0</v>
      </c>
      <c r="AI138" s="444">
        <f>+IF(Tabla33[[#This Row],[Amortización k | cupón de intereses]]="Amortización de K",IF(Tabla33[[#This Row],[Precio Clean]]&gt;1,Tabla33[[#This Row],[Valor Nominal]]*(Tabla33[[#This Row],[Precio Clean]]-1),0),0)</f>
        <v>0</v>
      </c>
      <c r="AJ138" s="444">
        <f>+IF(Tabla33[[#This Row],[Amortización k | cupón de intereses]]="Amortización de K",IF(Tabla33[[#This Row],[Precio Clean]]&lt;1,Tabla33[[#This Row],[Valor Nominal]]*(Tabla33[[#This Row],[Precio Clean]]-1),0),0)</f>
        <v>0</v>
      </c>
    </row>
    <row r="139" spans="1:36">
      <c r="A139" s="502"/>
      <c r="B139" s="437" t="s">
        <v>505</v>
      </c>
      <c r="C139" s="437" t="str">
        <f t="shared" si="80"/>
        <v>CDA RIO UH1890-92</v>
      </c>
      <c r="D139" s="437" t="s">
        <v>453</v>
      </c>
      <c r="E139" s="437" t="s">
        <v>507</v>
      </c>
      <c r="F139" s="437" t="s">
        <v>297</v>
      </c>
      <c r="G139" s="437" t="s">
        <v>298</v>
      </c>
      <c r="H139" s="529">
        <f t="shared" si="94"/>
        <v>3</v>
      </c>
      <c r="I139" s="492">
        <v>797.80821917808214</v>
      </c>
      <c r="J139" s="451"/>
      <c r="K139" s="450"/>
      <c r="L139" s="451"/>
      <c r="M139" s="493"/>
      <c r="N139" s="493"/>
      <c r="O139" s="494">
        <f t="shared" si="93"/>
        <v>6.6712483763694763E-2</v>
      </c>
      <c r="P139" s="494">
        <f t="shared" si="93"/>
        <v>6.5011867724246386E-2</v>
      </c>
      <c r="Q139" s="450">
        <f t="shared" si="93"/>
        <v>45876</v>
      </c>
      <c r="R139" s="450">
        <v>46219</v>
      </c>
      <c r="S139" s="509" t="s">
        <v>146</v>
      </c>
      <c r="T139" s="510">
        <f>Tabla33[[#This Row],[Cantidad]]*Tabla33[[#This Row],[Cortes]]</f>
        <v>2393.4246575342463</v>
      </c>
      <c r="U139" s="511">
        <f t="shared" si="52"/>
        <v>2311.0269979630079</v>
      </c>
      <c r="V139" s="511">
        <f t="shared" si="53"/>
        <v>2310.6181313153506</v>
      </c>
      <c r="W139" s="497">
        <f>IF(Tabla33[[#This Row],[Fecha de operación]]=$C$1,0,U139-V139)</f>
        <v>0.40886664765730529</v>
      </c>
      <c r="X139" s="512" t="str">
        <f t="shared" si="64"/>
        <v>Vigente</v>
      </c>
      <c r="Y139" s="498" t="s">
        <v>450</v>
      </c>
      <c r="Z139" s="469">
        <f t="shared" si="65"/>
        <v>198</v>
      </c>
      <c r="AA139" s="499">
        <f t="shared" si="95"/>
        <v>1.4544199592263254</v>
      </c>
      <c r="AB139" s="499">
        <f t="shared" si="95"/>
        <v>1.4305608916618338</v>
      </c>
      <c r="AC139" s="469" t="s">
        <v>451</v>
      </c>
      <c r="AD139" s="469" t="s">
        <v>454</v>
      </c>
      <c r="AF139" s="444">
        <f>+IF(Tabla33[[#This Row],[Amortización k | cupón de intereses]]="Amortización de K",Tabla33[[#This Row],[Valor Nominal]],0)</f>
        <v>0</v>
      </c>
      <c r="AG139" s="444">
        <f>+IF(AND(Tabla33[[#This Row],[Amortización k | cupón de intereses]]="Cupón de interés",Tabla33[[#This Row],[Estado]]="Vigente"),Tabla33[[#This Row],[Valor Nominal]],0)</f>
        <v>2393.4246575342463</v>
      </c>
      <c r="AH139" s="444">
        <f>+IF(Tabla33[[#This Row],[Amortización k | cupón de intereses]]="Amortización de K",SUMIFS($AG$7:$AG$418,Tabla33[Código Emisión],Tabla33[[#This Row],[Código Emisión]],Tabla33[Fecha de operación],Tabla33[[#This Row],[Fecha de operación]]),0)-Tabla33[[#This Row],[Accrued]]*Tabla33[[#This Row],[Valor Nominal]]</f>
        <v>0</v>
      </c>
      <c r="AI139" s="444">
        <f>+IF(Tabla33[[#This Row],[Amortización k | cupón de intereses]]="Amortización de K",IF(Tabla33[[#This Row],[Precio Clean]]&gt;1,Tabla33[[#This Row],[Valor Nominal]]*(Tabla33[[#This Row],[Precio Clean]]-1),0),0)</f>
        <v>0</v>
      </c>
      <c r="AJ139" s="444">
        <f>+IF(Tabla33[[#This Row],[Amortización k | cupón de intereses]]="Amortización de K",IF(Tabla33[[#This Row],[Precio Clean]]&lt;1,Tabla33[[#This Row],[Valor Nominal]]*(Tabla33[[#This Row],[Precio Clean]]-1),0),0)</f>
        <v>0</v>
      </c>
    </row>
    <row r="140" spans="1:36">
      <c r="A140" s="502"/>
      <c r="B140" s="437" t="s">
        <v>505</v>
      </c>
      <c r="C140" s="437" t="str">
        <f t="shared" si="80"/>
        <v>CDA RIO UH1890-92</v>
      </c>
      <c r="D140" s="437" t="s">
        <v>453</v>
      </c>
      <c r="E140" s="437" t="s">
        <v>507</v>
      </c>
      <c r="F140" s="437" t="s">
        <v>297</v>
      </c>
      <c r="G140" s="437" t="s">
        <v>298</v>
      </c>
      <c r="H140" s="529">
        <f t="shared" si="94"/>
        <v>3</v>
      </c>
      <c r="I140" s="492">
        <v>797.80821917808214</v>
      </c>
      <c r="J140" s="451"/>
      <c r="K140" s="450"/>
      <c r="L140" s="451"/>
      <c r="M140" s="493"/>
      <c r="N140" s="493"/>
      <c r="O140" s="494">
        <f t="shared" si="93"/>
        <v>6.6712483763694763E-2</v>
      </c>
      <c r="P140" s="494">
        <f t="shared" si="93"/>
        <v>6.5011867724246386E-2</v>
      </c>
      <c r="Q140" s="450">
        <f t="shared" si="93"/>
        <v>45876</v>
      </c>
      <c r="R140" s="450">
        <v>46128</v>
      </c>
      <c r="S140" s="509" t="s">
        <v>146</v>
      </c>
      <c r="T140" s="510">
        <f>Tabla33[[#This Row],[Cantidad]]*Tabla33[[#This Row],[Cortes]]</f>
        <v>2393.4246575342463</v>
      </c>
      <c r="U140" s="511">
        <f t="shared" si="52"/>
        <v>2348.5383317346768</v>
      </c>
      <c r="V140" s="511">
        <f t="shared" si="53"/>
        <v>2348.1228285858874</v>
      </c>
      <c r="W140" s="497">
        <f>IF(Tabla33[[#This Row],[Fecha de operación]]=$C$1,0,U140-V140)</f>
        <v>0.41550314878941208</v>
      </c>
      <c r="X140" s="512" t="str">
        <f t="shared" si="64"/>
        <v>Vigente</v>
      </c>
      <c r="Y140" s="498" t="s">
        <v>450</v>
      </c>
      <c r="Z140" s="469">
        <f t="shared" si="65"/>
        <v>107</v>
      </c>
      <c r="AA140" s="499">
        <f t="shared" si="95"/>
        <v>1.4544199592263254</v>
      </c>
      <c r="AB140" s="499">
        <f t="shared" si="95"/>
        <v>1.4305608916618338</v>
      </c>
      <c r="AC140" s="469" t="s">
        <v>451</v>
      </c>
      <c r="AD140" s="469" t="s">
        <v>454</v>
      </c>
      <c r="AF140" s="444">
        <f>+IF(Tabla33[[#This Row],[Amortización k | cupón de intereses]]="Amortización de K",Tabla33[[#This Row],[Valor Nominal]],0)</f>
        <v>0</v>
      </c>
      <c r="AG140" s="444">
        <f>+IF(AND(Tabla33[[#This Row],[Amortización k | cupón de intereses]]="Cupón de interés",Tabla33[[#This Row],[Estado]]="Vigente"),Tabla33[[#This Row],[Valor Nominal]],0)</f>
        <v>2393.4246575342463</v>
      </c>
      <c r="AH140" s="444">
        <f>+IF(Tabla33[[#This Row],[Amortización k | cupón de intereses]]="Amortización de K",SUMIFS($AG$7:$AG$418,Tabla33[Código Emisión],Tabla33[[#This Row],[Código Emisión]],Tabla33[Fecha de operación],Tabla33[[#This Row],[Fecha de operación]]),0)-Tabla33[[#This Row],[Accrued]]*Tabla33[[#This Row],[Valor Nominal]]</f>
        <v>0</v>
      </c>
      <c r="AI140" s="444">
        <f>+IF(Tabla33[[#This Row],[Amortización k | cupón de intereses]]="Amortización de K",IF(Tabla33[[#This Row],[Precio Clean]]&gt;1,Tabla33[[#This Row],[Valor Nominal]]*(Tabla33[[#This Row],[Precio Clean]]-1),0),0)</f>
        <v>0</v>
      </c>
      <c r="AJ140" s="444">
        <f>+IF(Tabla33[[#This Row],[Amortización k | cupón de intereses]]="Amortización de K",IF(Tabla33[[#This Row],[Precio Clean]]&lt;1,Tabla33[[#This Row],[Valor Nominal]]*(Tabla33[[#This Row],[Precio Clean]]-1),0),0)</f>
        <v>0</v>
      </c>
    </row>
    <row r="141" spans="1:36">
      <c r="A141" s="502"/>
      <c r="B141" s="437" t="s">
        <v>505</v>
      </c>
      <c r="C141" s="437" t="str">
        <f t="shared" si="80"/>
        <v>CDA RIO UH1890-92</v>
      </c>
      <c r="D141" s="437" t="s">
        <v>453</v>
      </c>
      <c r="E141" s="437" t="s">
        <v>507</v>
      </c>
      <c r="F141" s="437" t="s">
        <v>297</v>
      </c>
      <c r="G141" s="437" t="s">
        <v>298</v>
      </c>
      <c r="H141" s="529">
        <f t="shared" si="94"/>
        <v>3</v>
      </c>
      <c r="I141" s="492">
        <v>797.80821917808214</v>
      </c>
      <c r="J141" s="451"/>
      <c r="K141" s="450"/>
      <c r="L141" s="451"/>
      <c r="M141" s="493"/>
      <c r="N141" s="493"/>
      <c r="O141" s="494">
        <f t="shared" si="93"/>
        <v>6.6712483763694763E-2</v>
      </c>
      <c r="P141" s="494">
        <f t="shared" si="93"/>
        <v>6.5011867724246386E-2</v>
      </c>
      <c r="Q141" s="450">
        <f t="shared" si="93"/>
        <v>45876</v>
      </c>
      <c r="R141" s="450">
        <v>46037</v>
      </c>
      <c r="S141" s="509" t="s">
        <v>146</v>
      </c>
      <c r="T141" s="510">
        <f>Tabla33[[#This Row],[Cantidad]]*Tabla33[[#This Row],[Cortes]]</f>
        <v>2393.4246575342463</v>
      </c>
      <c r="U141" s="511">
        <f t="shared" si="52"/>
        <v>2386.658529081963</v>
      </c>
      <c r="V141" s="511">
        <f t="shared" si="53"/>
        <v>2386.2362817119638</v>
      </c>
      <c r="W141" s="497">
        <f>IF(Tabla33[[#This Row],[Fecha de operación]]=$C$1,0,U141-V141)</f>
        <v>0.42224736999924062</v>
      </c>
      <c r="X141" s="512" t="str">
        <f t="shared" si="64"/>
        <v>Vigente</v>
      </c>
      <c r="Y141" s="498" t="s">
        <v>450</v>
      </c>
      <c r="Z141" s="469">
        <f t="shared" si="65"/>
        <v>16</v>
      </c>
      <c r="AA141" s="499">
        <f t="shared" si="95"/>
        <v>1.4544199592263254</v>
      </c>
      <c r="AB141" s="499">
        <f t="shared" si="95"/>
        <v>1.4305608916618338</v>
      </c>
      <c r="AC141" s="469" t="s">
        <v>451</v>
      </c>
      <c r="AD141" s="469" t="s">
        <v>454</v>
      </c>
      <c r="AF141" s="444">
        <f>+IF(Tabla33[[#This Row],[Amortización k | cupón de intereses]]="Amortización de K",Tabla33[[#This Row],[Valor Nominal]],0)</f>
        <v>0</v>
      </c>
      <c r="AG141" s="444">
        <f>+IF(AND(Tabla33[[#This Row],[Amortización k | cupón de intereses]]="Cupón de interés",Tabla33[[#This Row],[Estado]]="Vigente"),Tabla33[[#This Row],[Valor Nominal]],0)</f>
        <v>2393.4246575342463</v>
      </c>
      <c r="AH141" s="444">
        <f>+IF(Tabla33[[#This Row],[Amortización k | cupón de intereses]]="Amortización de K",SUMIFS($AG$7:$AG$418,Tabla33[Código Emisión],Tabla33[[#This Row],[Código Emisión]],Tabla33[Fecha de operación],Tabla33[[#This Row],[Fecha de operación]]),0)-Tabla33[[#This Row],[Accrued]]*Tabla33[[#This Row],[Valor Nominal]]</f>
        <v>0</v>
      </c>
      <c r="AI141" s="444">
        <f>+IF(Tabla33[[#This Row],[Amortización k | cupón de intereses]]="Amortización de K",IF(Tabla33[[#This Row],[Precio Clean]]&gt;1,Tabla33[[#This Row],[Valor Nominal]]*(Tabla33[[#This Row],[Precio Clean]]-1),0),0)</f>
        <v>0</v>
      </c>
      <c r="AJ141" s="444">
        <f>+IF(Tabla33[[#This Row],[Amortización k | cupón de intereses]]="Amortización de K",IF(Tabla33[[#This Row],[Precio Clean]]&lt;1,Tabla33[[#This Row],[Valor Nominal]]*(Tabla33[[#This Row],[Precio Clean]]-1),0),0)</f>
        <v>0</v>
      </c>
    </row>
    <row r="142" spans="1:36">
      <c r="A142" s="502"/>
      <c r="B142" s="437" t="s">
        <v>505</v>
      </c>
      <c r="C142" s="437" t="str">
        <f t="shared" si="80"/>
        <v>CDA RIO UH1890-92</v>
      </c>
      <c r="D142" s="437" t="s">
        <v>453</v>
      </c>
      <c r="E142" s="437" t="s">
        <v>507</v>
      </c>
      <c r="F142" s="437" t="s">
        <v>297</v>
      </c>
      <c r="G142" s="437" t="s">
        <v>298</v>
      </c>
      <c r="H142" s="529">
        <f t="shared" si="94"/>
        <v>3</v>
      </c>
      <c r="I142" s="492">
        <v>797.80821917808214</v>
      </c>
      <c r="J142" s="451"/>
      <c r="K142" s="450"/>
      <c r="L142" s="451"/>
      <c r="M142" s="493"/>
      <c r="N142" s="493"/>
      <c r="O142" s="494">
        <f t="shared" si="93"/>
        <v>6.6712483763694763E-2</v>
      </c>
      <c r="P142" s="494">
        <f t="shared" si="93"/>
        <v>6.5011867724246386E-2</v>
      </c>
      <c r="Q142" s="450">
        <f t="shared" si="93"/>
        <v>45876</v>
      </c>
      <c r="R142" s="450">
        <v>45946</v>
      </c>
      <c r="S142" s="509" t="s">
        <v>146</v>
      </c>
      <c r="T142" s="510">
        <f>Tabla33[[#This Row],[Cantidad]]*Tabla33[[#This Row],[Cortes]]</f>
        <v>2393.4246575342463</v>
      </c>
      <c r="U142" s="511" t="b">
        <f t="shared" si="52"/>
        <v>0</v>
      </c>
      <c r="V142" s="511" t="b">
        <f t="shared" si="53"/>
        <v>0</v>
      </c>
      <c r="W142" s="497">
        <f>IF(Tabla33[[#This Row],[Fecha de operación]]=$C$1,0,U142-V142)</f>
        <v>0</v>
      </c>
      <c r="X142" s="512" t="str">
        <f t="shared" si="64"/>
        <v>Vencido</v>
      </c>
      <c r="Y142" s="498" t="s">
        <v>450</v>
      </c>
      <c r="Z142" s="469">
        <f t="shared" si="65"/>
        <v>-75</v>
      </c>
      <c r="AA142" s="499">
        <f t="shared" si="95"/>
        <v>1.4544199592263254</v>
      </c>
      <c r="AB142" s="499">
        <f t="shared" si="95"/>
        <v>1.4305608916618338</v>
      </c>
      <c r="AC142" s="469" t="s">
        <v>451</v>
      </c>
      <c r="AD142" s="469" t="s">
        <v>454</v>
      </c>
      <c r="AF142" s="444">
        <f>+IF(Tabla33[[#This Row],[Amortización k | cupón de intereses]]="Amortización de K",Tabla33[[#This Row],[Valor Nominal]],0)</f>
        <v>0</v>
      </c>
      <c r="AG142" s="444">
        <f>+IF(AND(Tabla33[[#This Row],[Amortización k | cupón de intereses]]="Cupón de interés",Tabla33[[#This Row],[Estado]]="Vigente"),Tabla33[[#This Row],[Valor Nominal]],0)</f>
        <v>0</v>
      </c>
      <c r="AH142" s="444">
        <f>+IF(Tabla33[[#This Row],[Amortización k | cupón de intereses]]="Amortización de K",SUMIFS($AG$7:$AG$418,Tabla33[Código Emisión],Tabla33[[#This Row],[Código Emisión]],Tabla33[Fecha de operación],Tabla33[[#This Row],[Fecha de operación]]),0)-Tabla33[[#This Row],[Accrued]]*Tabla33[[#This Row],[Valor Nominal]]</f>
        <v>0</v>
      </c>
      <c r="AI142" s="444">
        <f>+IF(Tabla33[[#This Row],[Amortización k | cupón de intereses]]="Amortización de K",IF(Tabla33[[#This Row],[Precio Clean]]&gt;1,Tabla33[[#This Row],[Valor Nominal]]*(Tabla33[[#This Row],[Precio Clean]]-1),0),0)</f>
        <v>0</v>
      </c>
      <c r="AJ142" s="444">
        <f>+IF(Tabla33[[#This Row],[Amortización k | cupón de intereses]]="Amortización de K",IF(Tabla33[[#This Row],[Precio Clean]]&lt;1,Tabla33[[#This Row],[Valor Nominal]]*(Tabla33[[#This Row],[Precio Clean]]-1),0),0)</f>
        <v>0</v>
      </c>
    </row>
    <row r="143" spans="1:36" ht="15">
      <c r="A143" s="500">
        <f>+A134+1</f>
        <v>18</v>
      </c>
      <c r="B143" s="475" t="s">
        <v>505</v>
      </c>
      <c r="C143" s="475" t="s">
        <v>509</v>
      </c>
      <c r="D143" s="475" t="s">
        <v>453</v>
      </c>
      <c r="E143" s="475" t="s">
        <v>507</v>
      </c>
      <c r="F143" s="475" t="s">
        <v>297</v>
      </c>
      <c r="G143" s="475" t="s">
        <v>298</v>
      </c>
      <c r="H143" s="476">
        <v>3</v>
      </c>
      <c r="I143" s="477">
        <v>50000</v>
      </c>
      <c r="J143" s="478">
        <v>0.08</v>
      </c>
      <c r="K143" s="479">
        <f>_xlfn.MAXIFS(R:R,C:C,C143,AD:AD,"Cupón de interés",X:X,"Vencido")</f>
        <v>45985</v>
      </c>
      <c r="L143" s="478">
        <f>+Tabla33[[#This Row],[Tasa de Interés]]*($U$5-Tabla33[[#This Row],[Last coupon]])/365</f>
        <v>7.8904109589041094E-3</v>
      </c>
      <c r="M143" s="480">
        <f>+Tabla33[[#This Row],[Precio Dirty]]-Tabla33[[#This Row],[Accrued]]</f>
        <v>1.0233269152420936</v>
      </c>
      <c r="N143" s="481">
        <f>SUMIFS(U:U,C:C,C143,Q:Q,Q143)/SUMIFS(T:T,C:C,C143,Q:Q,Q143,AD:AD,"Amortización de K")</f>
        <v>1.0312173262009978</v>
      </c>
      <c r="O143" s="482">
        <v>6.6592928767204282E-2</v>
      </c>
      <c r="P143" s="482">
        <v>6.4991729712817303E-2</v>
      </c>
      <c r="Q143" s="484">
        <v>45876</v>
      </c>
      <c r="R143" s="484">
        <v>46625</v>
      </c>
      <c r="S143" s="504" t="s">
        <v>146</v>
      </c>
      <c r="T143" s="505">
        <f>Tabla33[[#This Row],[Cantidad]]*Tabla33[[#This Row],[Cortes]]</f>
        <v>150000</v>
      </c>
      <c r="U143" s="506">
        <f t="shared" si="52"/>
        <v>134821.50274410474</v>
      </c>
      <c r="V143" s="506">
        <f t="shared" si="53"/>
        <v>134797.69153205206</v>
      </c>
      <c r="W143" s="487">
        <f>IF(Tabla33[[#This Row],[Fecha de operación]]=$C$1,0,U143-V143)</f>
        <v>23.811212052678457</v>
      </c>
      <c r="X143" s="507" t="str">
        <f t="shared" si="64"/>
        <v>Vigente</v>
      </c>
      <c r="Y143" s="489" t="s">
        <v>450</v>
      </c>
      <c r="Z143" s="488">
        <f t="shared" si="65"/>
        <v>604</v>
      </c>
      <c r="AA143" s="508">
        <f t="shared" ref="AA143" si="96">IF(Y143="Mensual",DURATION($C$1,$C$1+Z143*12,J143/12,O143/12,1)/12,DURATION($C$1,R143,J143,O143,IF(Y143="Cupón cero",1,IF(Y143="Al vencimiento",1,IF(Y143="Anual",1,IF(Y143="Semestral",2,IF(Y143="Trimestral",4,"")))))))</f>
        <v>1.5572092344781057</v>
      </c>
      <c r="AB143" s="508">
        <f t="shared" ref="AB143" si="97">IF(Y143="Mensual",MDURATION($C$1,$C$1+Z143*12,J143/12,O143/12,1)/12,MDURATION($C$1,R143,J143,O143,IF(Y143="Cupón cero",1,IF(Y143="Al vencimiento",1,IF(Y143="Anual",1,IF(Y143="Semestral",2,IF(Y143="Trimestral",4,"")))))))</f>
        <v>1.531708987602235</v>
      </c>
      <c r="AC143" s="488" t="s">
        <v>451</v>
      </c>
      <c r="AD143" s="488" t="s">
        <v>452</v>
      </c>
      <c r="AF143" s="444">
        <f>+IF(Tabla33[[#This Row],[Amortización k | cupón de intereses]]="Amortización de K",Tabla33[[#This Row],[Valor Nominal]],0)</f>
        <v>150000</v>
      </c>
      <c r="AG143" s="444">
        <f>+IF(AND(Tabla33[[#This Row],[Amortización k | cupón de intereses]]="Cupón de interés",Tabla33[[#This Row],[Estado]]="Vigente"),Tabla33[[#This Row],[Valor Nominal]],0)</f>
        <v>0</v>
      </c>
      <c r="AH143" s="444">
        <f>+IF(Tabla33[[#This Row],[Amortización k | cupón de intereses]]="Amortización de K",SUMIFS($AG$7:$AG$418,Tabla33[Código Emisión],Tabla33[[#This Row],[Código Emisión]],Tabla33[Fecha de operación],Tabla33[[#This Row],[Fecha de operación]]),0)-Tabla33[[#This Row],[Accrued]]*Tabla33[[#This Row],[Valor Nominal]]</f>
        <v>19857.534246575342</v>
      </c>
      <c r="AI143" s="444">
        <f>+IF(Tabla33[[#This Row],[Amortización k | cupón de intereses]]="Amortización de K",IF(Tabla33[[#This Row],[Precio Clean]]&gt;1,Tabla33[[#This Row],[Valor Nominal]]*(Tabla33[[#This Row],[Precio Clean]]-1),0),0)</f>
        <v>3499.0372863140442</v>
      </c>
      <c r="AJ143" s="444">
        <f>+IF(Tabla33[[#This Row],[Amortización k | cupón de intereses]]="Amortización de K",IF(Tabla33[[#This Row],[Precio Clean]]&lt;1,Tabla33[[#This Row],[Valor Nominal]]*(Tabla33[[#This Row],[Precio Clean]]-1),0),0)</f>
        <v>0</v>
      </c>
    </row>
    <row r="144" spans="1:36">
      <c r="A144" s="502"/>
      <c r="B144" s="437" t="s">
        <v>505</v>
      </c>
      <c r="C144" s="437" t="str">
        <f t="shared" si="80"/>
        <v>CDA RIO UH1947-48-49</v>
      </c>
      <c r="D144" s="437" t="s">
        <v>453</v>
      </c>
      <c r="E144" s="437" t="s">
        <v>507</v>
      </c>
      <c r="F144" s="437" t="s">
        <v>297</v>
      </c>
      <c r="G144" s="437" t="s">
        <v>298</v>
      </c>
      <c r="H144" s="529">
        <f>+H143</f>
        <v>3</v>
      </c>
      <c r="I144" s="492">
        <v>1030.1369863013699</v>
      </c>
      <c r="J144" s="451"/>
      <c r="K144" s="450"/>
      <c r="L144" s="451"/>
      <c r="M144" s="493"/>
      <c r="N144" s="493"/>
      <c r="O144" s="494">
        <f t="shared" ref="O144:Q151" si="98">+O143</f>
        <v>6.6592928767204282E-2</v>
      </c>
      <c r="P144" s="494">
        <f t="shared" si="98"/>
        <v>6.4991729712817303E-2</v>
      </c>
      <c r="Q144" s="450">
        <f t="shared" si="98"/>
        <v>45876</v>
      </c>
      <c r="R144" s="450">
        <v>46625</v>
      </c>
      <c r="S144" s="509" t="s">
        <v>146</v>
      </c>
      <c r="T144" s="510">
        <f>Tabla33[[#This Row],[Cantidad]]*Tabla33[[#This Row],[Cortes]]</f>
        <v>3090.41095890411</v>
      </c>
      <c r="U144" s="511">
        <f t="shared" si="52"/>
        <v>2777.6923305086789</v>
      </c>
      <c r="V144" s="511">
        <f t="shared" si="53"/>
        <v>2777.2017543041961</v>
      </c>
      <c r="W144" s="497">
        <f>IF(Tabla33[[#This Row],[Fecha de operación]]=$C$1,0,U144-V144)</f>
        <v>0.49057620448274974</v>
      </c>
      <c r="X144" s="512" t="str">
        <f t="shared" si="64"/>
        <v>Vigente</v>
      </c>
      <c r="Y144" s="498" t="s">
        <v>450</v>
      </c>
      <c r="Z144" s="469">
        <f t="shared" si="65"/>
        <v>604</v>
      </c>
      <c r="AA144" s="499">
        <f>+AA143</f>
        <v>1.5572092344781057</v>
      </c>
      <c r="AB144" s="499">
        <f>+AB143</f>
        <v>1.531708987602235</v>
      </c>
      <c r="AC144" s="469" t="s">
        <v>451</v>
      </c>
      <c r="AD144" s="469" t="s">
        <v>454</v>
      </c>
      <c r="AF144" s="444">
        <f>+IF(Tabla33[[#This Row],[Amortización k | cupón de intereses]]="Amortización de K",Tabla33[[#This Row],[Valor Nominal]],0)</f>
        <v>0</v>
      </c>
      <c r="AG144" s="444">
        <f>+IF(AND(Tabla33[[#This Row],[Amortización k | cupón de intereses]]="Cupón de interés",Tabla33[[#This Row],[Estado]]="Vigente"),Tabla33[[#This Row],[Valor Nominal]],0)</f>
        <v>3090.41095890411</v>
      </c>
      <c r="AH144" s="444">
        <f>+IF(Tabla33[[#This Row],[Amortización k | cupón de intereses]]="Amortización de K",SUMIFS($AG$7:$AG$418,Tabla33[Código Emisión],Tabla33[[#This Row],[Código Emisión]],Tabla33[Fecha de operación],Tabla33[[#This Row],[Fecha de operación]]),0)-Tabla33[[#This Row],[Accrued]]*Tabla33[[#This Row],[Valor Nominal]]</f>
        <v>0</v>
      </c>
      <c r="AI144" s="444">
        <f>+IF(Tabla33[[#This Row],[Amortización k | cupón de intereses]]="Amortización de K",IF(Tabla33[[#This Row],[Precio Clean]]&gt;1,Tabla33[[#This Row],[Valor Nominal]]*(Tabla33[[#This Row],[Precio Clean]]-1),0),0)</f>
        <v>0</v>
      </c>
      <c r="AJ144" s="444">
        <f>+IF(Tabla33[[#This Row],[Amortización k | cupón de intereses]]="Amortización de K",IF(Tabla33[[#This Row],[Precio Clean]]&lt;1,Tabla33[[#This Row],[Valor Nominal]]*(Tabla33[[#This Row],[Precio Clean]]-1),0),0)</f>
        <v>0</v>
      </c>
    </row>
    <row r="145" spans="1:36">
      <c r="A145" s="502"/>
      <c r="B145" s="437" t="s">
        <v>505</v>
      </c>
      <c r="C145" s="437" t="str">
        <f t="shared" si="80"/>
        <v>CDA RIO UH1947-48-49</v>
      </c>
      <c r="D145" s="437" t="s">
        <v>453</v>
      </c>
      <c r="E145" s="437" t="s">
        <v>507</v>
      </c>
      <c r="F145" s="437" t="s">
        <v>297</v>
      </c>
      <c r="G145" s="437" t="s">
        <v>298</v>
      </c>
      <c r="H145" s="529">
        <f t="shared" ref="H145:H151" si="99">+H144</f>
        <v>3</v>
      </c>
      <c r="I145" s="492">
        <v>997.2602739726027</v>
      </c>
      <c r="J145" s="451"/>
      <c r="K145" s="450"/>
      <c r="L145" s="451"/>
      <c r="M145" s="493"/>
      <c r="N145" s="493"/>
      <c r="O145" s="494">
        <f t="shared" si="98"/>
        <v>6.6592928767204282E-2</v>
      </c>
      <c r="P145" s="494">
        <f t="shared" si="98"/>
        <v>6.4991729712817303E-2</v>
      </c>
      <c r="Q145" s="450">
        <f t="shared" si="98"/>
        <v>45876</v>
      </c>
      <c r="R145" s="450">
        <v>46531</v>
      </c>
      <c r="S145" s="509" t="s">
        <v>146</v>
      </c>
      <c r="T145" s="510">
        <f>Tabla33[[#This Row],[Cantidad]]*Tabla33[[#This Row],[Cortes]]</f>
        <v>2991.7808219178082</v>
      </c>
      <c r="U145" s="511">
        <f t="shared" si="52"/>
        <v>2734.0616459172998</v>
      </c>
      <c r="V145" s="511">
        <f t="shared" si="53"/>
        <v>2733.5787754530861</v>
      </c>
      <c r="W145" s="497">
        <f>IF(Tabla33[[#This Row],[Fecha de operación]]=$C$1,0,U145-V145)</f>
        <v>0.48287046421364721</v>
      </c>
      <c r="X145" s="512" t="str">
        <f t="shared" si="64"/>
        <v>Vigente</v>
      </c>
      <c r="Y145" s="498" t="s">
        <v>450</v>
      </c>
      <c r="Z145" s="469">
        <f t="shared" si="65"/>
        <v>510</v>
      </c>
      <c r="AA145" s="499">
        <f t="shared" ref="AA145:AB151" si="100">+AA144</f>
        <v>1.5572092344781057</v>
      </c>
      <c r="AB145" s="499">
        <f t="shared" si="100"/>
        <v>1.531708987602235</v>
      </c>
      <c r="AC145" s="469" t="s">
        <v>451</v>
      </c>
      <c r="AD145" s="469" t="s">
        <v>454</v>
      </c>
      <c r="AF145" s="444">
        <f>+IF(Tabla33[[#This Row],[Amortización k | cupón de intereses]]="Amortización de K",Tabla33[[#This Row],[Valor Nominal]],0)</f>
        <v>0</v>
      </c>
      <c r="AG145" s="444">
        <f>+IF(AND(Tabla33[[#This Row],[Amortización k | cupón de intereses]]="Cupón de interés",Tabla33[[#This Row],[Estado]]="Vigente"),Tabla33[[#This Row],[Valor Nominal]],0)</f>
        <v>2991.7808219178082</v>
      </c>
      <c r="AH145" s="444">
        <f>+IF(Tabla33[[#This Row],[Amortización k | cupón de intereses]]="Amortización de K",SUMIFS($AG$7:$AG$418,Tabla33[Código Emisión],Tabla33[[#This Row],[Código Emisión]],Tabla33[Fecha de operación],Tabla33[[#This Row],[Fecha de operación]]),0)-Tabla33[[#This Row],[Accrued]]*Tabla33[[#This Row],[Valor Nominal]]</f>
        <v>0</v>
      </c>
      <c r="AI145" s="444">
        <f>+IF(Tabla33[[#This Row],[Amortización k | cupón de intereses]]="Amortización de K",IF(Tabla33[[#This Row],[Precio Clean]]&gt;1,Tabla33[[#This Row],[Valor Nominal]]*(Tabla33[[#This Row],[Precio Clean]]-1),0),0)</f>
        <v>0</v>
      </c>
      <c r="AJ145" s="444">
        <f>+IF(Tabla33[[#This Row],[Amortización k | cupón de intereses]]="Amortización de K",IF(Tabla33[[#This Row],[Precio Clean]]&lt;1,Tabla33[[#This Row],[Valor Nominal]]*(Tabla33[[#This Row],[Precio Clean]]-1),0),0)</f>
        <v>0</v>
      </c>
    </row>
    <row r="146" spans="1:36">
      <c r="A146" s="502"/>
      <c r="B146" s="437" t="s">
        <v>505</v>
      </c>
      <c r="C146" s="437" t="str">
        <f t="shared" si="80"/>
        <v>CDA RIO UH1947-48-49</v>
      </c>
      <c r="D146" s="437" t="s">
        <v>453</v>
      </c>
      <c r="E146" s="437" t="s">
        <v>507</v>
      </c>
      <c r="F146" s="437" t="s">
        <v>297</v>
      </c>
      <c r="G146" s="437" t="s">
        <v>298</v>
      </c>
      <c r="H146" s="529">
        <f t="shared" si="99"/>
        <v>3</v>
      </c>
      <c r="I146" s="492">
        <v>997.2602739726027</v>
      </c>
      <c r="J146" s="451"/>
      <c r="K146" s="450"/>
      <c r="L146" s="451"/>
      <c r="M146" s="493"/>
      <c r="N146" s="493"/>
      <c r="O146" s="494">
        <f t="shared" si="98"/>
        <v>6.6592928767204282E-2</v>
      </c>
      <c r="P146" s="494">
        <f t="shared" si="98"/>
        <v>6.4991729712817303E-2</v>
      </c>
      <c r="Q146" s="450">
        <f t="shared" si="98"/>
        <v>45876</v>
      </c>
      <c r="R146" s="450">
        <v>46440</v>
      </c>
      <c r="S146" s="509" t="s">
        <v>146</v>
      </c>
      <c r="T146" s="510">
        <f>Tabla33[[#This Row],[Cantidad]]*Tabla33[[#This Row],[Cortes]]</f>
        <v>2991.7808219178082</v>
      </c>
      <c r="U146" s="511">
        <f t="shared" si="52"/>
        <v>2778.3618076411394</v>
      </c>
      <c r="V146" s="511">
        <f t="shared" si="53"/>
        <v>2777.8711131983814</v>
      </c>
      <c r="W146" s="497">
        <f>IF(Tabla33[[#This Row],[Fecha de operación]]=$C$1,0,U146-V146)</f>
        <v>0.49069444275801288</v>
      </c>
      <c r="X146" s="512" t="str">
        <f t="shared" si="64"/>
        <v>Vigente</v>
      </c>
      <c r="Y146" s="498" t="s">
        <v>450</v>
      </c>
      <c r="Z146" s="469">
        <f t="shared" si="65"/>
        <v>419</v>
      </c>
      <c r="AA146" s="499">
        <f t="shared" si="100"/>
        <v>1.5572092344781057</v>
      </c>
      <c r="AB146" s="499">
        <f t="shared" si="100"/>
        <v>1.531708987602235</v>
      </c>
      <c r="AC146" s="469" t="s">
        <v>451</v>
      </c>
      <c r="AD146" s="469" t="s">
        <v>454</v>
      </c>
      <c r="AF146" s="444">
        <f>+IF(Tabla33[[#This Row],[Amortización k | cupón de intereses]]="Amortización de K",Tabla33[[#This Row],[Valor Nominal]],0)</f>
        <v>0</v>
      </c>
      <c r="AG146" s="444">
        <f>+IF(AND(Tabla33[[#This Row],[Amortización k | cupón de intereses]]="Cupón de interés",Tabla33[[#This Row],[Estado]]="Vigente"),Tabla33[[#This Row],[Valor Nominal]],0)</f>
        <v>2991.7808219178082</v>
      </c>
      <c r="AH146" s="444">
        <f>+IF(Tabla33[[#This Row],[Amortización k | cupón de intereses]]="Amortización de K",SUMIFS($AG$7:$AG$418,Tabla33[Código Emisión],Tabla33[[#This Row],[Código Emisión]],Tabla33[Fecha de operación],Tabla33[[#This Row],[Fecha de operación]]),0)-Tabla33[[#This Row],[Accrued]]*Tabla33[[#This Row],[Valor Nominal]]</f>
        <v>0</v>
      </c>
      <c r="AI146" s="444">
        <f>+IF(Tabla33[[#This Row],[Amortización k | cupón de intereses]]="Amortización de K",IF(Tabla33[[#This Row],[Precio Clean]]&gt;1,Tabla33[[#This Row],[Valor Nominal]]*(Tabla33[[#This Row],[Precio Clean]]-1),0),0)</f>
        <v>0</v>
      </c>
      <c r="AJ146" s="444">
        <f>+IF(Tabla33[[#This Row],[Amortización k | cupón de intereses]]="Amortización de K",IF(Tabla33[[#This Row],[Precio Clean]]&lt;1,Tabla33[[#This Row],[Valor Nominal]]*(Tabla33[[#This Row],[Precio Clean]]-1),0),0)</f>
        <v>0</v>
      </c>
    </row>
    <row r="147" spans="1:36">
      <c r="A147" s="502"/>
      <c r="B147" s="437" t="s">
        <v>505</v>
      </c>
      <c r="C147" s="437" t="str">
        <f t="shared" si="80"/>
        <v>CDA RIO UH1947-48-49</v>
      </c>
      <c r="D147" s="437" t="s">
        <v>453</v>
      </c>
      <c r="E147" s="437" t="s">
        <v>507</v>
      </c>
      <c r="F147" s="437" t="s">
        <v>297</v>
      </c>
      <c r="G147" s="437" t="s">
        <v>298</v>
      </c>
      <c r="H147" s="529">
        <f t="shared" si="99"/>
        <v>3</v>
      </c>
      <c r="I147" s="492">
        <v>997.2602739726027</v>
      </c>
      <c r="J147" s="451"/>
      <c r="K147" s="450"/>
      <c r="L147" s="451"/>
      <c r="M147" s="493"/>
      <c r="N147" s="493"/>
      <c r="O147" s="494">
        <f t="shared" si="98"/>
        <v>6.6592928767204282E-2</v>
      </c>
      <c r="P147" s="494">
        <f t="shared" si="98"/>
        <v>6.4991729712817303E-2</v>
      </c>
      <c r="Q147" s="450">
        <f t="shared" si="98"/>
        <v>45876</v>
      </c>
      <c r="R147" s="450">
        <v>46349</v>
      </c>
      <c r="S147" s="509" t="s">
        <v>146</v>
      </c>
      <c r="T147" s="510">
        <f>Tabla33[[#This Row],[Cantidad]]*Tabla33[[#This Row],[Cortes]]</f>
        <v>2991.7808219178082</v>
      </c>
      <c r="U147" s="511">
        <f t="shared" si="52"/>
        <v>2823.3797674920584</v>
      </c>
      <c r="V147" s="511">
        <f t="shared" si="53"/>
        <v>2822.8811222983713</v>
      </c>
      <c r="W147" s="497">
        <f>IF(Tabla33[[#This Row],[Fecha de operación]]=$C$1,0,U147-V147)</f>
        <v>0.49864519368702531</v>
      </c>
      <c r="X147" s="512" t="str">
        <f t="shared" si="64"/>
        <v>Vigente</v>
      </c>
      <c r="Y147" s="498" t="s">
        <v>450</v>
      </c>
      <c r="Z147" s="469">
        <f t="shared" si="65"/>
        <v>328</v>
      </c>
      <c r="AA147" s="499">
        <f t="shared" si="100"/>
        <v>1.5572092344781057</v>
      </c>
      <c r="AB147" s="499">
        <f t="shared" si="100"/>
        <v>1.531708987602235</v>
      </c>
      <c r="AC147" s="469" t="s">
        <v>451</v>
      </c>
      <c r="AD147" s="469" t="s">
        <v>454</v>
      </c>
      <c r="AF147" s="444">
        <f>+IF(Tabla33[[#This Row],[Amortización k | cupón de intereses]]="Amortización de K",Tabla33[[#This Row],[Valor Nominal]],0)</f>
        <v>0</v>
      </c>
      <c r="AG147" s="444">
        <f>+IF(AND(Tabla33[[#This Row],[Amortización k | cupón de intereses]]="Cupón de interés",Tabla33[[#This Row],[Estado]]="Vigente"),Tabla33[[#This Row],[Valor Nominal]],0)</f>
        <v>2991.7808219178082</v>
      </c>
      <c r="AH147" s="444">
        <f>+IF(Tabla33[[#This Row],[Amortización k | cupón de intereses]]="Amortización de K",SUMIFS($AG$7:$AG$418,Tabla33[Código Emisión],Tabla33[[#This Row],[Código Emisión]],Tabla33[Fecha de operación],Tabla33[[#This Row],[Fecha de operación]]),0)-Tabla33[[#This Row],[Accrued]]*Tabla33[[#This Row],[Valor Nominal]]</f>
        <v>0</v>
      </c>
      <c r="AI147" s="444">
        <f>+IF(Tabla33[[#This Row],[Amortización k | cupón de intereses]]="Amortización de K",IF(Tabla33[[#This Row],[Precio Clean]]&gt;1,Tabla33[[#This Row],[Valor Nominal]]*(Tabla33[[#This Row],[Precio Clean]]-1),0),0)</f>
        <v>0</v>
      </c>
      <c r="AJ147" s="444">
        <f>+IF(Tabla33[[#This Row],[Amortización k | cupón de intereses]]="Amortización de K",IF(Tabla33[[#This Row],[Precio Clean]]&lt;1,Tabla33[[#This Row],[Valor Nominal]]*(Tabla33[[#This Row],[Precio Clean]]-1),0),0)</f>
        <v>0</v>
      </c>
    </row>
    <row r="148" spans="1:36">
      <c r="A148" s="502"/>
      <c r="B148" s="437" t="s">
        <v>505</v>
      </c>
      <c r="C148" s="437" t="str">
        <f t="shared" si="80"/>
        <v>CDA RIO UH1947-48-49</v>
      </c>
      <c r="D148" s="437" t="s">
        <v>453</v>
      </c>
      <c r="E148" s="437" t="s">
        <v>507</v>
      </c>
      <c r="F148" s="437" t="s">
        <v>297</v>
      </c>
      <c r="G148" s="437" t="s">
        <v>298</v>
      </c>
      <c r="H148" s="529">
        <f t="shared" si="99"/>
        <v>3</v>
      </c>
      <c r="I148" s="492">
        <v>997.2602739726027</v>
      </c>
      <c r="J148" s="451"/>
      <c r="K148" s="450"/>
      <c r="L148" s="451"/>
      <c r="M148" s="493"/>
      <c r="N148" s="493"/>
      <c r="O148" s="494">
        <f t="shared" si="98"/>
        <v>6.6592928767204282E-2</v>
      </c>
      <c r="P148" s="494">
        <f t="shared" si="98"/>
        <v>6.4991729712817303E-2</v>
      </c>
      <c r="Q148" s="450">
        <f t="shared" si="98"/>
        <v>45876</v>
      </c>
      <c r="R148" s="450">
        <v>46258</v>
      </c>
      <c r="S148" s="509" t="s">
        <v>146</v>
      </c>
      <c r="T148" s="510">
        <f>Tabla33[[#This Row],[Cantidad]]*Tabla33[[#This Row],[Cortes]]</f>
        <v>2991.7808219178082</v>
      </c>
      <c r="U148" s="511">
        <f t="shared" si="52"/>
        <v>2869.1271559953452</v>
      </c>
      <c r="V148" s="511">
        <f t="shared" si="53"/>
        <v>2868.6204312242444</v>
      </c>
      <c r="W148" s="497">
        <f>IF(Tabla33[[#This Row],[Fecha de operación]]=$C$1,0,U148-V148)</f>
        <v>0.50672477110083491</v>
      </c>
      <c r="X148" s="512" t="str">
        <f t="shared" si="64"/>
        <v>Vigente</v>
      </c>
      <c r="Y148" s="498" t="s">
        <v>450</v>
      </c>
      <c r="Z148" s="469">
        <f t="shared" si="65"/>
        <v>237</v>
      </c>
      <c r="AA148" s="499">
        <f t="shared" si="100"/>
        <v>1.5572092344781057</v>
      </c>
      <c r="AB148" s="499">
        <f t="shared" si="100"/>
        <v>1.531708987602235</v>
      </c>
      <c r="AC148" s="469" t="s">
        <v>451</v>
      </c>
      <c r="AD148" s="469" t="s">
        <v>454</v>
      </c>
      <c r="AF148" s="444">
        <f>+IF(Tabla33[[#This Row],[Amortización k | cupón de intereses]]="Amortización de K",Tabla33[[#This Row],[Valor Nominal]],0)</f>
        <v>0</v>
      </c>
      <c r="AG148" s="444">
        <f>+IF(AND(Tabla33[[#This Row],[Amortización k | cupón de intereses]]="Cupón de interés",Tabla33[[#This Row],[Estado]]="Vigente"),Tabla33[[#This Row],[Valor Nominal]],0)</f>
        <v>2991.7808219178082</v>
      </c>
      <c r="AH148" s="444">
        <f>+IF(Tabla33[[#This Row],[Amortización k | cupón de intereses]]="Amortización de K",SUMIFS($AG$7:$AG$418,Tabla33[Código Emisión],Tabla33[[#This Row],[Código Emisión]],Tabla33[Fecha de operación],Tabla33[[#This Row],[Fecha de operación]]),0)-Tabla33[[#This Row],[Accrued]]*Tabla33[[#This Row],[Valor Nominal]]</f>
        <v>0</v>
      </c>
      <c r="AI148" s="444">
        <f>+IF(Tabla33[[#This Row],[Amortización k | cupón de intereses]]="Amortización de K",IF(Tabla33[[#This Row],[Precio Clean]]&gt;1,Tabla33[[#This Row],[Valor Nominal]]*(Tabla33[[#This Row],[Precio Clean]]-1),0),0)</f>
        <v>0</v>
      </c>
      <c r="AJ148" s="444">
        <f>+IF(Tabla33[[#This Row],[Amortización k | cupón de intereses]]="Amortización de K",IF(Tabla33[[#This Row],[Precio Clean]]&lt;1,Tabla33[[#This Row],[Valor Nominal]]*(Tabla33[[#This Row],[Precio Clean]]-1),0),0)</f>
        <v>0</v>
      </c>
    </row>
    <row r="149" spans="1:36">
      <c r="A149" s="502"/>
      <c r="B149" s="437" t="s">
        <v>505</v>
      </c>
      <c r="C149" s="437" t="str">
        <f t="shared" si="80"/>
        <v>CDA RIO UH1947-48-49</v>
      </c>
      <c r="D149" s="437" t="s">
        <v>453</v>
      </c>
      <c r="E149" s="437" t="s">
        <v>507</v>
      </c>
      <c r="F149" s="437" t="s">
        <v>297</v>
      </c>
      <c r="G149" s="437" t="s">
        <v>298</v>
      </c>
      <c r="H149" s="529">
        <f t="shared" si="99"/>
        <v>3</v>
      </c>
      <c r="I149" s="492">
        <v>997.2602739726027</v>
      </c>
      <c r="J149" s="451"/>
      <c r="K149" s="450"/>
      <c r="L149" s="451"/>
      <c r="M149" s="493"/>
      <c r="N149" s="493"/>
      <c r="O149" s="494">
        <f t="shared" si="98"/>
        <v>6.6592928767204282E-2</v>
      </c>
      <c r="P149" s="494">
        <f t="shared" si="98"/>
        <v>6.4991729712817303E-2</v>
      </c>
      <c r="Q149" s="450">
        <f t="shared" si="98"/>
        <v>45876</v>
      </c>
      <c r="R149" s="450">
        <v>46167</v>
      </c>
      <c r="S149" s="509" t="s">
        <v>146</v>
      </c>
      <c r="T149" s="510">
        <f>Tabla33[[#This Row],[Cantidad]]*Tabla33[[#This Row],[Cortes]]</f>
        <v>2991.7808219178082</v>
      </c>
      <c r="U149" s="511">
        <f t="shared" si="52"/>
        <v>2915.6157921263748</v>
      </c>
      <c r="V149" s="511">
        <f t="shared" si="53"/>
        <v>2915.1008568639913</v>
      </c>
      <c r="W149" s="497">
        <f>IF(Tabla33[[#This Row],[Fecha de operación]]=$C$1,0,U149-V149)</f>
        <v>0.51493526238346021</v>
      </c>
      <c r="X149" s="512" t="str">
        <f t="shared" si="64"/>
        <v>Vigente</v>
      </c>
      <c r="Y149" s="498" t="s">
        <v>450</v>
      </c>
      <c r="Z149" s="469">
        <f t="shared" si="65"/>
        <v>146</v>
      </c>
      <c r="AA149" s="499">
        <f t="shared" si="100"/>
        <v>1.5572092344781057</v>
      </c>
      <c r="AB149" s="499">
        <f t="shared" si="100"/>
        <v>1.531708987602235</v>
      </c>
      <c r="AC149" s="469" t="s">
        <v>451</v>
      </c>
      <c r="AD149" s="469" t="s">
        <v>454</v>
      </c>
      <c r="AF149" s="444">
        <f>+IF(Tabla33[[#This Row],[Amortización k | cupón de intereses]]="Amortización de K",Tabla33[[#This Row],[Valor Nominal]],0)</f>
        <v>0</v>
      </c>
      <c r="AG149" s="444">
        <f>+IF(AND(Tabla33[[#This Row],[Amortización k | cupón de intereses]]="Cupón de interés",Tabla33[[#This Row],[Estado]]="Vigente"),Tabla33[[#This Row],[Valor Nominal]],0)</f>
        <v>2991.7808219178082</v>
      </c>
      <c r="AH149" s="444">
        <f>+IF(Tabla33[[#This Row],[Amortización k | cupón de intereses]]="Amortización de K",SUMIFS($AG$7:$AG$418,Tabla33[Código Emisión],Tabla33[[#This Row],[Código Emisión]],Tabla33[Fecha de operación],Tabla33[[#This Row],[Fecha de operación]]),0)-Tabla33[[#This Row],[Accrued]]*Tabla33[[#This Row],[Valor Nominal]]</f>
        <v>0</v>
      </c>
      <c r="AI149" s="444">
        <f>+IF(Tabla33[[#This Row],[Amortización k | cupón de intereses]]="Amortización de K",IF(Tabla33[[#This Row],[Precio Clean]]&gt;1,Tabla33[[#This Row],[Valor Nominal]]*(Tabla33[[#This Row],[Precio Clean]]-1),0),0)</f>
        <v>0</v>
      </c>
      <c r="AJ149" s="444">
        <f>+IF(Tabla33[[#This Row],[Amortización k | cupón de intereses]]="Amortización de K",IF(Tabla33[[#This Row],[Precio Clean]]&lt;1,Tabla33[[#This Row],[Valor Nominal]]*(Tabla33[[#This Row],[Precio Clean]]-1),0),0)</f>
        <v>0</v>
      </c>
    </row>
    <row r="150" spans="1:36">
      <c r="A150" s="502"/>
      <c r="B150" s="437" t="s">
        <v>505</v>
      </c>
      <c r="C150" s="437" t="str">
        <f t="shared" si="80"/>
        <v>CDA RIO UH1947-48-49</v>
      </c>
      <c r="D150" s="437" t="s">
        <v>453</v>
      </c>
      <c r="E150" s="437" t="s">
        <v>507</v>
      </c>
      <c r="F150" s="437" t="s">
        <v>297</v>
      </c>
      <c r="G150" s="437" t="s">
        <v>298</v>
      </c>
      <c r="H150" s="529">
        <f t="shared" si="99"/>
        <v>3</v>
      </c>
      <c r="I150" s="492">
        <v>997.2602739726027</v>
      </c>
      <c r="J150" s="451"/>
      <c r="K150" s="450"/>
      <c r="L150" s="451"/>
      <c r="M150" s="493"/>
      <c r="N150" s="493"/>
      <c r="O150" s="494">
        <f t="shared" si="98"/>
        <v>6.6592928767204282E-2</v>
      </c>
      <c r="P150" s="494">
        <f t="shared" si="98"/>
        <v>6.4991729712817303E-2</v>
      </c>
      <c r="Q150" s="450">
        <f t="shared" si="98"/>
        <v>45876</v>
      </c>
      <c r="R150" s="450">
        <v>46076</v>
      </c>
      <c r="S150" s="509" t="s">
        <v>146</v>
      </c>
      <c r="T150" s="510">
        <f>Tabla33[[#This Row],[Cantidad]]*Tabla33[[#This Row],[Cortes]]</f>
        <v>2991.7808219178082</v>
      </c>
      <c r="U150" s="511">
        <f t="shared" si="52"/>
        <v>2962.857686364076</v>
      </c>
      <c r="V150" s="511">
        <f t="shared" si="53"/>
        <v>2962.3344075753362</v>
      </c>
      <c r="W150" s="497">
        <f>IF(Tabla33[[#This Row],[Fecha de operación]]=$C$1,0,U150-V150)</f>
        <v>0.52327878873984446</v>
      </c>
      <c r="X150" s="512" t="str">
        <f t="shared" si="64"/>
        <v>Vigente</v>
      </c>
      <c r="Y150" s="498" t="s">
        <v>450</v>
      </c>
      <c r="Z150" s="469">
        <f t="shared" si="65"/>
        <v>55</v>
      </c>
      <c r="AA150" s="499">
        <f t="shared" si="100"/>
        <v>1.5572092344781057</v>
      </c>
      <c r="AB150" s="499">
        <f t="shared" si="100"/>
        <v>1.531708987602235</v>
      </c>
      <c r="AC150" s="469" t="s">
        <v>451</v>
      </c>
      <c r="AD150" s="469" t="s">
        <v>454</v>
      </c>
      <c r="AF150" s="444">
        <f>+IF(Tabla33[[#This Row],[Amortización k | cupón de intereses]]="Amortización de K",Tabla33[[#This Row],[Valor Nominal]],0)</f>
        <v>0</v>
      </c>
      <c r="AG150" s="444">
        <f>+IF(AND(Tabla33[[#This Row],[Amortización k | cupón de intereses]]="Cupón de interés",Tabla33[[#This Row],[Estado]]="Vigente"),Tabla33[[#This Row],[Valor Nominal]],0)</f>
        <v>2991.7808219178082</v>
      </c>
      <c r="AH150" s="444">
        <f>+IF(Tabla33[[#This Row],[Amortización k | cupón de intereses]]="Amortización de K",SUMIFS($AG$7:$AG$418,Tabla33[Código Emisión],Tabla33[[#This Row],[Código Emisión]],Tabla33[Fecha de operación],Tabla33[[#This Row],[Fecha de operación]]),0)-Tabla33[[#This Row],[Accrued]]*Tabla33[[#This Row],[Valor Nominal]]</f>
        <v>0</v>
      </c>
      <c r="AI150" s="444">
        <f>+IF(Tabla33[[#This Row],[Amortización k | cupón de intereses]]="Amortización de K",IF(Tabla33[[#This Row],[Precio Clean]]&gt;1,Tabla33[[#This Row],[Valor Nominal]]*(Tabla33[[#This Row],[Precio Clean]]-1),0),0)</f>
        <v>0</v>
      </c>
      <c r="AJ150" s="444">
        <f>+IF(Tabla33[[#This Row],[Amortización k | cupón de intereses]]="Amortización de K",IF(Tabla33[[#This Row],[Precio Clean]]&lt;1,Tabla33[[#This Row],[Valor Nominal]]*(Tabla33[[#This Row],[Precio Clean]]-1),0),0)</f>
        <v>0</v>
      </c>
    </row>
    <row r="151" spans="1:36">
      <c r="A151" s="502"/>
      <c r="B151" s="437" t="s">
        <v>505</v>
      </c>
      <c r="C151" s="437" t="str">
        <f t="shared" si="80"/>
        <v>CDA RIO UH1947-48-49</v>
      </c>
      <c r="D151" s="437" t="s">
        <v>453</v>
      </c>
      <c r="E151" s="437" t="s">
        <v>507</v>
      </c>
      <c r="F151" s="437" t="s">
        <v>297</v>
      </c>
      <c r="G151" s="437" t="s">
        <v>298</v>
      </c>
      <c r="H151" s="529">
        <f t="shared" si="99"/>
        <v>3</v>
      </c>
      <c r="I151" s="492">
        <v>997.2602739726027</v>
      </c>
      <c r="J151" s="451"/>
      <c r="K151" s="450"/>
      <c r="L151" s="451"/>
      <c r="M151" s="493"/>
      <c r="N151" s="493"/>
      <c r="O151" s="494">
        <f t="shared" si="98"/>
        <v>6.6592928767204282E-2</v>
      </c>
      <c r="P151" s="494">
        <f t="shared" si="98"/>
        <v>6.4991729712817303E-2</v>
      </c>
      <c r="Q151" s="450">
        <f t="shared" si="98"/>
        <v>45876</v>
      </c>
      <c r="R151" s="450">
        <v>45985</v>
      </c>
      <c r="S151" s="509" t="s">
        <v>146</v>
      </c>
      <c r="T151" s="510">
        <f>Tabla33[[#This Row],[Cantidad]]*Tabla33[[#This Row],[Cortes]]</f>
        <v>2991.7808219178082</v>
      </c>
      <c r="U151" s="511" t="b">
        <f t="shared" si="52"/>
        <v>0</v>
      </c>
      <c r="V151" s="511" t="b">
        <f t="shared" si="53"/>
        <v>0</v>
      </c>
      <c r="W151" s="497">
        <f>IF(Tabla33[[#This Row],[Fecha de operación]]=$C$1,0,U151-V151)</f>
        <v>0</v>
      </c>
      <c r="X151" s="512" t="str">
        <f t="shared" si="64"/>
        <v>Vencido</v>
      </c>
      <c r="Y151" s="498" t="s">
        <v>450</v>
      </c>
      <c r="Z151" s="469">
        <f t="shared" si="65"/>
        <v>-36</v>
      </c>
      <c r="AA151" s="499">
        <f t="shared" si="100"/>
        <v>1.5572092344781057</v>
      </c>
      <c r="AB151" s="499">
        <f t="shared" si="100"/>
        <v>1.531708987602235</v>
      </c>
      <c r="AC151" s="469" t="s">
        <v>451</v>
      </c>
      <c r="AD151" s="469" t="s">
        <v>454</v>
      </c>
      <c r="AF151" s="444">
        <f>+IF(Tabla33[[#This Row],[Amortización k | cupón de intereses]]="Amortización de K",Tabla33[[#This Row],[Valor Nominal]],0)</f>
        <v>0</v>
      </c>
      <c r="AG151" s="444">
        <f>+IF(AND(Tabla33[[#This Row],[Amortización k | cupón de intereses]]="Cupón de interés",Tabla33[[#This Row],[Estado]]="Vigente"),Tabla33[[#This Row],[Valor Nominal]],0)</f>
        <v>0</v>
      </c>
      <c r="AH151" s="444">
        <f>+IF(Tabla33[[#This Row],[Amortización k | cupón de intereses]]="Amortización de K",SUMIFS($AG$7:$AG$418,Tabla33[Código Emisión],Tabla33[[#This Row],[Código Emisión]],Tabla33[Fecha de operación],Tabla33[[#This Row],[Fecha de operación]]),0)-Tabla33[[#This Row],[Accrued]]*Tabla33[[#This Row],[Valor Nominal]]</f>
        <v>0</v>
      </c>
      <c r="AI151" s="444">
        <f>+IF(Tabla33[[#This Row],[Amortización k | cupón de intereses]]="Amortización de K",IF(Tabla33[[#This Row],[Precio Clean]]&gt;1,Tabla33[[#This Row],[Valor Nominal]]*(Tabla33[[#This Row],[Precio Clean]]-1),0),0)</f>
        <v>0</v>
      </c>
      <c r="AJ151" s="444">
        <f>+IF(Tabla33[[#This Row],[Amortización k | cupón de intereses]]="Amortización de K",IF(Tabla33[[#This Row],[Precio Clean]]&lt;1,Tabla33[[#This Row],[Valor Nominal]]*(Tabla33[[#This Row],[Precio Clean]]-1),0),0)</f>
        <v>0</v>
      </c>
    </row>
    <row r="152" spans="1:36" ht="15">
      <c r="A152" s="500">
        <f>+A143+1</f>
        <v>19</v>
      </c>
      <c r="B152" s="475" t="s">
        <v>505</v>
      </c>
      <c r="C152" s="475" t="s">
        <v>510</v>
      </c>
      <c r="D152" s="475" t="s">
        <v>453</v>
      </c>
      <c r="E152" s="475" t="s">
        <v>507</v>
      </c>
      <c r="F152" s="475" t="s">
        <v>297</v>
      </c>
      <c r="G152" s="475" t="s">
        <v>298</v>
      </c>
      <c r="H152" s="476">
        <v>1</v>
      </c>
      <c r="I152" s="477">
        <v>54000</v>
      </c>
      <c r="J152" s="478">
        <v>0.08</v>
      </c>
      <c r="K152" s="479">
        <f>_xlfn.MAXIFS(R:R,C:C,C152,AD:AD,"Cupón de interés",X:X,"Vencido")</f>
        <v>45985</v>
      </c>
      <c r="L152" s="478">
        <f>+Tabla33[[#This Row],[Tasa de Interés]]*($U$5-Tabla33[[#This Row],[Last coupon]])/365</f>
        <v>7.8904109589041094E-3</v>
      </c>
      <c r="M152" s="480">
        <f>+Tabla33[[#This Row],[Precio Dirty]]-Tabla33[[#This Row],[Accrued]]</f>
        <v>1.0233271786668956</v>
      </c>
      <c r="N152" s="481">
        <f>SUMIFS(U:U,C:C,C152,Q:Q,Q152)/SUMIFS(T:T,C:C,C152,Q:Q,Q152,AD:AD,"Amortización de K")</f>
        <v>1.0312175896257998</v>
      </c>
      <c r="O152" s="482">
        <v>6.6592887043952956E-2</v>
      </c>
      <c r="P152" s="482">
        <v>6.4991689958973531E-2</v>
      </c>
      <c r="Q152" s="484">
        <v>45876</v>
      </c>
      <c r="R152" s="484">
        <v>46625</v>
      </c>
      <c r="S152" s="504" t="s">
        <v>146</v>
      </c>
      <c r="T152" s="505">
        <f>Tabla33[[#This Row],[Cantidad]]*Tabla33[[#This Row],[Cortes]]</f>
        <v>54000</v>
      </c>
      <c r="U152" s="506">
        <f t="shared" si="52"/>
        <v>48535.744129725957</v>
      </c>
      <c r="V152" s="506">
        <f t="shared" si="53"/>
        <v>48527.172098032919</v>
      </c>
      <c r="W152" s="487">
        <f>IF(Tabla33[[#This Row],[Fecha de operación]]=$C$1,0,U152-V152)</f>
        <v>8.5720316930382978</v>
      </c>
      <c r="X152" s="507" t="str">
        <f t="shared" si="64"/>
        <v>Vigente</v>
      </c>
      <c r="Y152" s="489" t="s">
        <v>450</v>
      </c>
      <c r="Z152" s="488">
        <f t="shared" si="65"/>
        <v>604</v>
      </c>
      <c r="AA152" s="508">
        <f t="shared" ref="AA152" si="101">IF(Y152="Mensual",DURATION($C$1,$C$1+Z152*12,J152/12,O152/12,1)/12,DURATION($C$1,R152,J152,O152,IF(Y152="Cupón cero",1,IF(Y152="Al vencimiento",1,IF(Y152="Anual",1,IF(Y152="Semestral",2,IF(Y152="Trimestral",4,"")))))))</f>
        <v>1.5572092384903999</v>
      </c>
      <c r="AB152" s="508">
        <f t="shared" ref="AB152" si="102">IF(Y152="Mensual",MDURATION($C$1,$C$1+Z152*12,J152/12,O152/12,1)/12,MDURATION($C$1,R152,J152,O152,IF(Y152="Cupón cero",1,IF(Y152="Al vencimiento",1,IF(Y152="Anual",1,IF(Y152="Semestral",2,IF(Y152="Trimestral",4,"")))))))</f>
        <v>1.531709007264163</v>
      </c>
      <c r="AC152" s="488" t="s">
        <v>451</v>
      </c>
      <c r="AD152" s="488" t="s">
        <v>452</v>
      </c>
      <c r="AF152" s="444">
        <f>+IF(Tabla33[[#This Row],[Amortización k | cupón de intereses]]="Amortización de K",Tabla33[[#This Row],[Valor Nominal]],0)</f>
        <v>54000</v>
      </c>
      <c r="AG152" s="444">
        <f>+IF(AND(Tabla33[[#This Row],[Amortización k | cupón de intereses]]="Cupón de interés",Tabla33[[#This Row],[Estado]]="Vigente"),Tabla33[[#This Row],[Valor Nominal]],0)</f>
        <v>0</v>
      </c>
      <c r="AH152" s="444">
        <f>+IF(Tabla33[[#This Row],[Amortización k | cupón de intereses]]="Amortización de K",SUMIFS($AG$7:$AG$418,Tabla33[Código Emisión],Tabla33[[#This Row],[Código Emisión]],Tabla33[Fecha de operación],Tabla33[[#This Row],[Fecha de operación]]),0)-Tabla33[[#This Row],[Accrued]]*Tabla33[[#This Row],[Valor Nominal]]</f>
        <v>7148.7243835616418</v>
      </c>
      <c r="AI152" s="444">
        <f>+IF(Tabla33[[#This Row],[Amortización k | cupón de intereses]]="Amortización de K",IF(Tabla33[[#This Row],[Precio Clean]]&gt;1,Tabla33[[#This Row],[Valor Nominal]]*(Tabla33[[#This Row],[Precio Clean]]-1),0),0)</f>
        <v>1259.6676480123624</v>
      </c>
      <c r="AJ152" s="444">
        <f>+IF(Tabla33[[#This Row],[Amortización k | cupón de intereses]]="Amortización de K",IF(Tabla33[[#This Row],[Precio Clean]]&lt;1,Tabla33[[#This Row],[Valor Nominal]]*(Tabla33[[#This Row],[Precio Clean]]-1),0),0)</f>
        <v>0</v>
      </c>
    </row>
    <row r="153" spans="1:36">
      <c r="A153" s="502"/>
      <c r="B153" s="437" t="s">
        <v>505</v>
      </c>
      <c r="C153" s="437" t="str">
        <f t="shared" si="80"/>
        <v>CDA RIO UH1950</v>
      </c>
      <c r="D153" s="437" t="s">
        <v>453</v>
      </c>
      <c r="E153" s="437" t="s">
        <v>507</v>
      </c>
      <c r="F153" s="437" t="s">
        <v>297</v>
      </c>
      <c r="G153" s="437" t="s">
        <v>298</v>
      </c>
      <c r="H153" s="529">
        <f>+H152</f>
        <v>1</v>
      </c>
      <c r="I153" s="492">
        <v>1112.56</v>
      </c>
      <c r="J153" s="451"/>
      <c r="K153" s="450"/>
      <c r="L153" s="451"/>
      <c r="M153" s="493"/>
      <c r="N153" s="493"/>
      <c r="O153" s="494">
        <f t="shared" ref="O153:Q160" si="103">+O152</f>
        <v>6.6592887043952956E-2</v>
      </c>
      <c r="P153" s="494">
        <f t="shared" si="103"/>
        <v>6.4991689958973531E-2</v>
      </c>
      <c r="Q153" s="450">
        <f t="shared" si="103"/>
        <v>45876</v>
      </c>
      <c r="R153" s="450">
        <v>46625</v>
      </c>
      <c r="S153" s="509" t="s">
        <v>146</v>
      </c>
      <c r="T153" s="510">
        <f>Tabla33[[#This Row],[Cantidad]]*Tabla33[[#This Row],[Cortes]]</f>
        <v>1112.56</v>
      </c>
      <c r="U153" s="511">
        <f t="shared" si="52"/>
        <v>999.980138684591</v>
      </c>
      <c r="V153" s="511">
        <f t="shared" si="53"/>
        <v>999.80352943310186</v>
      </c>
      <c r="W153" s="497">
        <f>IF(Tabla33[[#This Row],[Fecha de operación]]=$C$1,0,U153-V153)</f>
        <v>0.17660925148913975</v>
      </c>
      <c r="X153" s="512" t="str">
        <f t="shared" si="64"/>
        <v>Vigente</v>
      </c>
      <c r="Y153" s="498" t="s">
        <v>450</v>
      </c>
      <c r="Z153" s="469">
        <f t="shared" si="65"/>
        <v>604</v>
      </c>
      <c r="AA153" s="499">
        <f>+AA152</f>
        <v>1.5572092384903999</v>
      </c>
      <c r="AB153" s="499">
        <f>+AB152</f>
        <v>1.531709007264163</v>
      </c>
      <c r="AC153" s="469" t="s">
        <v>451</v>
      </c>
      <c r="AD153" s="469" t="s">
        <v>454</v>
      </c>
      <c r="AF153" s="444">
        <f>+IF(Tabla33[[#This Row],[Amortización k | cupón de intereses]]="Amortización de K",Tabla33[[#This Row],[Valor Nominal]],0)</f>
        <v>0</v>
      </c>
      <c r="AG153" s="444">
        <f>+IF(AND(Tabla33[[#This Row],[Amortización k | cupón de intereses]]="Cupón de interés",Tabla33[[#This Row],[Estado]]="Vigente"),Tabla33[[#This Row],[Valor Nominal]],0)</f>
        <v>1112.56</v>
      </c>
      <c r="AH153" s="444">
        <f>+IF(Tabla33[[#This Row],[Amortización k | cupón de intereses]]="Amortización de K",SUMIFS($AG$7:$AG$418,Tabla33[Código Emisión],Tabla33[[#This Row],[Código Emisión]],Tabla33[Fecha de operación],Tabla33[[#This Row],[Fecha de operación]]),0)-Tabla33[[#This Row],[Accrued]]*Tabla33[[#This Row],[Valor Nominal]]</f>
        <v>0</v>
      </c>
      <c r="AI153" s="444">
        <f>+IF(Tabla33[[#This Row],[Amortización k | cupón de intereses]]="Amortización de K",IF(Tabla33[[#This Row],[Precio Clean]]&gt;1,Tabla33[[#This Row],[Valor Nominal]]*(Tabla33[[#This Row],[Precio Clean]]-1),0),0)</f>
        <v>0</v>
      </c>
      <c r="AJ153" s="444">
        <f>+IF(Tabla33[[#This Row],[Amortización k | cupón de intereses]]="Amortización de K",IF(Tabla33[[#This Row],[Precio Clean]]&lt;1,Tabla33[[#This Row],[Valor Nominal]]*(Tabla33[[#This Row],[Precio Clean]]-1),0),0)</f>
        <v>0</v>
      </c>
    </row>
    <row r="154" spans="1:36">
      <c r="A154" s="502"/>
      <c r="B154" s="437" t="s">
        <v>505</v>
      </c>
      <c r="C154" s="437" t="str">
        <f t="shared" si="80"/>
        <v>CDA RIO UH1950</v>
      </c>
      <c r="D154" s="437" t="s">
        <v>453</v>
      </c>
      <c r="E154" s="437" t="s">
        <v>507</v>
      </c>
      <c r="F154" s="437" t="s">
        <v>297</v>
      </c>
      <c r="G154" s="437" t="s">
        <v>298</v>
      </c>
      <c r="H154" s="529">
        <f t="shared" ref="H154:H160" si="104">+H153</f>
        <v>1</v>
      </c>
      <c r="I154" s="492">
        <v>1077.0410958904108</v>
      </c>
      <c r="J154" s="451"/>
      <c r="K154" s="450"/>
      <c r="L154" s="451"/>
      <c r="M154" s="493"/>
      <c r="N154" s="493"/>
      <c r="O154" s="494">
        <f t="shared" si="103"/>
        <v>6.6592887043952956E-2</v>
      </c>
      <c r="P154" s="494">
        <f t="shared" si="103"/>
        <v>6.4991689958973531E-2</v>
      </c>
      <c r="Q154" s="450">
        <f t="shared" si="103"/>
        <v>45876</v>
      </c>
      <c r="R154" s="450">
        <v>46531</v>
      </c>
      <c r="S154" s="509" t="s">
        <v>146</v>
      </c>
      <c r="T154" s="510">
        <f>Tabla33[[#This Row],[Cantidad]]*Tabla33[[#This Row],[Cortes]]</f>
        <v>1077.0410958904108</v>
      </c>
      <c r="U154" s="511">
        <f t="shared" ref="U154:U217" si="105">IF(X154="VIgente",(T154/(1+O154)^((R154-$U$5)/365)))</f>
        <v>984.26224632840729</v>
      </c>
      <c r="V154" s="511">
        <f t="shared" ref="V154:V217" si="106">IF(X154="VIgente",(T154/(1+O154)^((R154-$V$5)/365)))</f>
        <v>984.08841305725673</v>
      </c>
      <c r="W154" s="497">
        <f>IF(Tabla33[[#This Row],[Fecha de operación]]=$C$1,0,U154-V154)</f>
        <v>0.17383327115055636</v>
      </c>
      <c r="X154" s="512" t="str">
        <f t="shared" si="64"/>
        <v>Vigente</v>
      </c>
      <c r="Y154" s="498" t="s">
        <v>450</v>
      </c>
      <c r="Z154" s="469">
        <f t="shared" si="65"/>
        <v>510</v>
      </c>
      <c r="AA154" s="499">
        <f t="shared" ref="AA154:AB160" si="107">+AA153</f>
        <v>1.5572092384903999</v>
      </c>
      <c r="AB154" s="499">
        <f t="shared" si="107"/>
        <v>1.531709007264163</v>
      </c>
      <c r="AC154" s="469" t="s">
        <v>451</v>
      </c>
      <c r="AD154" s="469" t="s">
        <v>454</v>
      </c>
      <c r="AF154" s="444">
        <f>+IF(Tabla33[[#This Row],[Amortización k | cupón de intereses]]="Amortización de K",Tabla33[[#This Row],[Valor Nominal]],0)</f>
        <v>0</v>
      </c>
      <c r="AG154" s="444">
        <f>+IF(AND(Tabla33[[#This Row],[Amortización k | cupón de intereses]]="Cupón de interés",Tabla33[[#This Row],[Estado]]="Vigente"),Tabla33[[#This Row],[Valor Nominal]],0)</f>
        <v>1077.0410958904108</v>
      </c>
      <c r="AH154" s="444">
        <f>+IF(Tabla33[[#This Row],[Amortización k | cupón de intereses]]="Amortización de K",SUMIFS($AG$7:$AG$418,Tabla33[Código Emisión],Tabla33[[#This Row],[Código Emisión]],Tabla33[Fecha de operación],Tabla33[[#This Row],[Fecha de operación]]),0)-Tabla33[[#This Row],[Accrued]]*Tabla33[[#This Row],[Valor Nominal]]</f>
        <v>0</v>
      </c>
      <c r="AI154" s="444">
        <f>+IF(Tabla33[[#This Row],[Amortización k | cupón de intereses]]="Amortización de K",IF(Tabla33[[#This Row],[Precio Clean]]&gt;1,Tabla33[[#This Row],[Valor Nominal]]*(Tabla33[[#This Row],[Precio Clean]]-1),0),0)</f>
        <v>0</v>
      </c>
      <c r="AJ154" s="444">
        <f>+IF(Tabla33[[#This Row],[Amortización k | cupón de intereses]]="Amortización de K",IF(Tabla33[[#This Row],[Precio Clean]]&lt;1,Tabla33[[#This Row],[Valor Nominal]]*(Tabla33[[#This Row],[Precio Clean]]-1),0),0)</f>
        <v>0</v>
      </c>
    </row>
    <row r="155" spans="1:36">
      <c r="A155" s="502"/>
      <c r="B155" s="437" t="s">
        <v>505</v>
      </c>
      <c r="C155" s="437" t="str">
        <f t="shared" si="80"/>
        <v>CDA RIO UH1950</v>
      </c>
      <c r="D155" s="437" t="s">
        <v>453</v>
      </c>
      <c r="E155" s="437" t="s">
        <v>507</v>
      </c>
      <c r="F155" s="437" t="s">
        <v>297</v>
      </c>
      <c r="G155" s="437" t="s">
        <v>298</v>
      </c>
      <c r="H155" s="529">
        <f t="shared" si="104"/>
        <v>1</v>
      </c>
      <c r="I155" s="492">
        <v>1077.0410958904108</v>
      </c>
      <c r="J155" s="451"/>
      <c r="K155" s="450"/>
      <c r="L155" s="451"/>
      <c r="M155" s="493"/>
      <c r="N155" s="493"/>
      <c r="O155" s="494">
        <f t="shared" si="103"/>
        <v>6.6592887043952956E-2</v>
      </c>
      <c r="P155" s="494">
        <f t="shared" si="103"/>
        <v>6.4991689958973531E-2</v>
      </c>
      <c r="Q155" s="450">
        <f t="shared" si="103"/>
        <v>45876</v>
      </c>
      <c r="R155" s="450">
        <v>46440</v>
      </c>
      <c r="S155" s="509" t="s">
        <v>146</v>
      </c>
      <c r="T155" s="510">
        <f>Tabla33[[#This Row],[Cantidad]]*Tabla33[[#This Row],[Cortes]]</f>
        <v>1077.0410958904108</v>
      </c>
      <c r="U155" s="511">
        <f t="shared" si="105"/>
        <v>1000.2102956658637</v>
      </c>
      <c r="V155" s="511">
        <f t="shared" si="106"/>
        <v>1000.0336457657151</v>
      </c>
      <c r="W155" s="497">
        <f>IF(Tabla33[[#This Row],[Fecha de operación]]=$C$1,0,U155-V155)</f>
        <v>0.17664990014861814</v>
      </c>
      <c r="X155" s="512" t="str">
        <f t="shared" si="64"/>
        <v>Vigente</v>
      </c>
      <c r="Y155" s="498" t="s">
        <v>450</v>
      </c>
      <c r="Z155" s="469">
        <f t="shared" si="65"/>
        <v>419</v>
      </c>
      <c r="AA155" s="499">
        <f t="shared" si="107"/>
        <v>1.5572092384903999</v>
      </c>
      <c r="AB155" s="499">
        <f t="shared" si="107"/>
        <v>1.531709007264163</v>
      </c>
      <c r="AC155" s="469" t="s">
        <v>451</v>
      </c>
      <c r="AD155" s="469" t="s">
        <v>454</v>
      </c>
      <c r="AF155" s="444">
        <f>+IF(Tabla33[[#This Row],[Amortización k | cupón de intereses]]="Amortización de K",Tabla33[[#This Row],[Valor Nominal]],0)</f>
        <v>0</v>
      </c>
      <c r="AG155" s="444">
        <f>+IF(AND(Tabla33[[#This Row],[Amortización k | cupón de intereses]]="Cupón de interés",Tabla33[[#This Row],[Estado]]="Vigente"),Tabla33[[#This Row],[Valor Nominal]],0)</f>
        <v>1077.0410958904108</v>
      </c>
      <c r="AH155" s="444">
        <f>+IF(Tabla33[[#This Row],[Amortización k | cupón de intereses]]="Amortización de K",SUMIFS($AG$7:$AG$418,Tabla33[Código Emisión],Tabla33[[#This Row],[Código Emisión]],Tabla33[Fecha de operación],Tabla33[[#This Row],[Fecha de operación]]),0)-Tabla33[[#This Row],[Accrued]]*Tabla33[[#This Row],[Valor Nominal]]</f>
        <v>0</v>
      </c>
      <c r="AI155" s="444">
        <f>+IF(Tabla33[[#This Row],[Amortización k | cupón de intereses]]="Amortización de K",IF(Tabla33[[#This Row],[Precio Clean]]&gt;1,Tabla33[[#This Row],[Valor Nominal]]*(Tabla33[[#This Row],[Precio Clean]]-1),0),0)</f>
        <v>0</v>
      </c>
      <c r="AJ155" s="444">
        <f>+IF(Tabla33[[#This Row],[Amortización k | cupón de intereses]]="Amortización de K",IF(Tabla33[[#This Row],[Precio Clean]]&lt;1,Tabla33[[#This Row],[Valor Nominal]]*(Tabla33[[#This Row],[Precio Clean]]-1),0),0)</f>
        <v>0</v>
      </c>
    </row>
    <row r="156" spans="1:36">
      <c r="A156" s="502"/>
      <c r="B156" s="437" t="s">
        <v>505</v>
      </c>
      <c r="C156" s="437" t="str">
        <f t="shared" si="80"/>
        <v>CDA RIO UH1950</v>
      </c>
      <c r="D156" s="437" t="s">
        <v>453</v>
      </c>
      <c r="E156" s="437" t="s">
        <v>507</v>
      </c>
      <c r="F156" s="437" t="s">
        <v>297</v>
      </c>
      <c r="G156" s="437" t="s">
        <v>298</v>
      </c>
      <c r="H156" s="529">
        <f t="shared" si="104"/>
        <v>1</v>
      </c>
      <c r="I156" s="492">
        <v>1077.0410958904108</v>
      </c>
      <c r="J156" s="451"/>
      <c r="K156" s="450"/>
      <c r="L156" s="451"/>
      <c r="M156" s="493"/>
      <c r="N156" s="493"/>
      <c r="O156" s="494">
        <f t="shared" si="103"/>
        <v>6.6592887043952956E-2</v>
      </c>
      <c r="P156" s="494">
        <f t="shared" si="103"/>
        <v>6.4991689958973531E-2</v>
      </c>
      <c r="Q156" s="450">
        <f t="shared" si="103"/>
        <v>45876</v>
      </c>
      <c r="R156" s="450">
        <v>46349</v>
      </c>
      <c r="S156" s="509" t="s">
        <v>146</v>
      </c>
      <c r="T156" s="510">
        <f>Tabla33[[#This Row],[Cantidad]]*Tabla33[[#This Row],[Cortes]]</f>
        <v>1077.0410958904108</v>
      </c>
      <c r="U156" s="511">
        <f t="shared" si="105"/>
        <v>1016.4167520270769</v>
      </c>
      <c r="V156" s="511">
        <f t="shared" si="106"/>
        <v>1016.2372398599526</v>
      </c>
      <c r="W156" s="497">
        <f>IF(Tabla33[[#This Row],[Fecha de operación]]=$C$1,0,U156-V156)</f>
        <v>0.17951216712424412</v>
      </c>
      <c r="X156" s="512" t="str">
        <f t="shared" si="64"/>
        <v>Vigente</v>
      </c>
      <c r="Y156" s="498" t="s">
        <v>450</v>
      </c>
      <c r="Z156" s="469">
        <f t="shared" si="65"/>
        <v>328</v>
      </c>
      <c r="AA156" s="499">
        <f t="shared" si="107"/>
        <v>1.5572092384903999</v>
      </c>
      <c r="AB156" s="499">
        <f t="shared" si="107"/>
        <v>1.531709007264163</v>
      </c>
      <c r="AC156" s="469" t="s">
        <v>451</v>
      </c>
      <c r="AD156" s="469" t="s">
        <v>454</v>
      </c>
      <c r="AF156" s="444">
        <f>+IF(Tabla33[[#This Row],[Amortización k | cupón de intereses]]="Amortización de K",Tabla33[[#This Row],[Valor Nominal]],0)</f>
        <v>0</v>
      </c>
      <c r="AG156" s="444">
        <f>+IF(AND(Tabla33[[#This Row],[Amortización k | cupón de intereses]]="Cupón de interés",Tabla33[[#This Row],[Estado]]="Vigente"),Tabla33[[#This Row],[Valor Nominal]],0)</f>
        <v>1077.0410958904108</v>
      </c>
      <c r="AH156" s="444">
        <f>+IF(Tabla33[[#This Row],[Amortización k | cupón de intereses]]="Amortización de K",SUMIFS($AG$7:$AG$418,Tabla33[Código Emisión],Tabla33[[#This Row],[Código Emisión]],Tabla33[Fecha de operación],Tabla33[[#This Row],[Fecha de operación]]),0)-Tabla33[[#This Row],[Accrued]]*Tabla33[[#This Row],[Valor Nominal]]</f>
        <v>0</v>
      </c>
      <c r="AI156" s="444">
        <f>+IF(Tabla33[[#This Row],[Amortización k | cupón de intereses]]="Amortización de K",IF(Tabla33[[#This Row],[Precio Clean]]&gt;1,Tabla33[[#This Row],[Valor Nominal]]*(Tabla33[[#This Row],[Precio Clean]]-1),0),0)</f>
        <v>0</v>
      </c>
      <c r="AJ156" s="444">
        <f>+IF(Tabla33[[#This Row],[Amortización k | cupón de intereses]]="Amortización de K",IF(Tabla33[[#This Row],[Precio Clean]]&lt;1,Tabla33[[#This Row],[Valor Nominal]]*(Tabla33[[#This Row],[Precio Clean]]-1),0),0)</f>
        <v>0</v>
      </c>
    </row>
    <row r="157" spans="1:36">
      <c r="A157" s="502"/>
      <c r="B157" s="437" t="s">
        <v>505</v>
      </c>
      <c r="C157" s="437" t="str">
        <f t="shared" si="80"/>
        <v>CDA RIO UH1950</v>
      </c>
      <c r="D157" s="437" t="s">
        <v>453</v>
      </c>
      <c r="E157" s="437" t="s">
        <v>507</v>
      </c>
      <c r="F157" s="437" t="s">
        <v>297</v>
      </c>
      <c r="G157" s="437" t="s">
        <v>298</v>
      </c>
      <c r="H157" s="529">
        <f t="shared" si="104"/>
        <v>1</v>
      </c>
      <c r="I157" s="492">
        <v>1077.0410958904108</v>
      </c>
      <c r="J157" s="451"/>
      <c r="K157" s="450"/>
      <c r="L157" s="451"/>
      <c r="M157" s="493"/>
      <c r="N157" s="493"/>
      <c r="O157" s="494">
        <f t="shared" si="103"/>
        <v>6.6592887043952956E-2</v>
      </c>
      <c r="P157" s="494">
        <f t="shared" si="103"/>
        <v>6.4991689958973531E-2</v>
      </c>
      <c r="Q157" s="450">
        <f t="shared" si="103"/>
        <v>45876</v>
      </c>
      <c r="R157" s="450">
        <v>46258</v>
      </c>
      <c r="S157" s="509" t="s">
        <v>146</v>
      </c>
      <c r="T157" s="510">
        <f>Tabla33[[#This Row],[Cantidad]]*Tabla33[[#This Row],[Cortes]]</f>
        <v>1077.0410958904108</v>
      </c>
      <c r="U157" s="511">
        <f t="shared" si="105"/>
        <v>1032.8858023936966</v>
      </c>
      <c r="V157" s="511">
        <f t="shared" si="106"/>
        <v>1032.7033815821451</v>
      </c>
      <c r="W157" s="497">
        <f>IF(Tabla33[[#This Row],[Fecha de operación]]=$C$1,0,U157-V157)</f>
        <v>0.18242081155153755</v>
      </c>
      <c r="X157" s="512" t="str">
        <f t="shared" si="64"/>
        <v>Vigente</v>
      </c>
      <c r="Y157" s="498" t="s">
        <v>450</v>
      </c>
      <c r="Z157" s="469">
        <f t="shared" si="65"/>
        <v>237</v>
      </c>
      <c r="AA157" s="499">
        <f t="shared" si="107"/>
        <v>1.5572092384903999</v>
      </c>
      <c r="AB157" s="499">
        <f t="shared" si="107"/>
        <v>1.531709007264163</v>
      </c>
      <c r="AC157" s="469" t="s">
        <v>451</v>
      </c>
      <c r="AD157" s="469" t="s">
        <v>454</v>
      </c>
      <c r="AF157" s="444">
        <f>+IF(Tabla33[[#This Row],[Amortización k | cupón de intereses]]="Amortización de K",Tabla33[[#This Row],[Valor Nominal]],0)</f>
        <v>0</v>
      </c>
      <c r="AG157" s="444">
        <f>+IF(AND(Tabla33[[#This Row],[Amortización k | cupón de intereses]]="Cupón de interés",Tabla33[[#This Row],[Estado]]="Vigente"),Tabla33[[#This Row],[Valor Nominal]],0)</f>
        <v>1077.0410958904108</v>
      </c>
      <c r="AH157" s="444">
        <f>+IF(Tabla33[[#This Row],[Amortización k | cupón de intereses]]="Amortización de K",SUMIFS($AG$7:$AG$418,Tabla33[Código Emisión],Tabla33[[#This Row],[Código Emisión]],Tabla33[Fecha de operación],Tabla33[[#This Row],[Fecha de operación]]),0)-Tabla33[[#This Row],[Accrued]]*Tabla33[[#This Row],[Valor Nominal]]</f>
        <v>0</v>
      </c>
      <c r="AI157" s="444">
        <f>+IF(Tabla33[[#This Row],[Amortización k | cupón de intereses]]="Amortización de K",IF(Tabla33[[#This Row],[Precio Clean]]&gt;1,Tabla33[[#This Row],[Valor Nominal]]*(Tabla33[[#This Row],[Precio Clean]]-1),0),0)</f>
        <v>0</v>
      </c>
      <c r="AJ157" s="444">
        <f>+IF(Tabla33[[#This Row],[Amortización k | cupón de intereses]]="Amortización de K",IF(Tabla33[[#This Row],[Precio Clean]]&lt;1,Tabla33[[#This Row],[Valor Nominal]]*(Tabla33[[#This Row],[Precio Clean]]-1),0),0)</f>
        <v>0</v>
      </c>
    </row>
    <row r="158" spans="1:36">
      <c r="A158" s="502"/>
      <c r="B158" s="437" t="s">
        <v>505</v>
      </c>
      <c r="C158" s="437" t="str">
        <f t="shared" si="80"/>
        <v>CDA RIO UH1950</v>
      </c>
      <c r="D158" s="437" t="s">
        <v>453</v>
      </c>
      <c r="E158" s="437" t="s">
        <v>507</v>
      </c>
      <c r="F158" s="437" t="s">
        <v>297</v>
      </c>
      <c r="G158" s="437" t="s">
        <v>298</v>
      </c>
      <c r="H158" s="529">
        <f t="shared" si="104"/>
        <v>1</v>
      </c>
      <c r="I158" s="492">
        <v>1077.0410958904108</v>
      </c>
      <c r="J158" s="451"/>
      <c r="K158" s="450"/>
      <c r="L158" s="451"/>
      <c r="M158" s="493"/>
      <c r="N158" s="493"/>
      <c r="O158" s="494">
        <f t="shared" si="103"/>
        <v>6.6592887043952956E-2</v>
      </c>
      <c r="P158" s="494">
        <f t="shared" si="103"/>
        <v>6.4991689958973531E-2</v>
      </c>
      <c r="Q158" s="450">
        <f t="shared" si="103"/>
        <v>45876</v>
      </c>
      <c r="R158" s="450">
        <v>46167</v>
      </c>
      <c r="S158" s="509" t="s">
        <v>146</v>
      </c>
      <c r="T158" s="510">
        <f>Tabla33[[#This Row],[Cantidad]]*Tabla33[[#This Row],[Cortes]]</f>
        <v>1077.0410958904108</v>
      </c>
      <c r="U158" s="511">
        <f t="shared" si="105"/>
        <v>1049.6217015892416</v>
      </c>
      <c r="V158" s="511">
        <f t="shared" si="106"/>
        <v>1049.4363250043546</v>
      </c>
      <c r="W158" s="497">
        <f>IF(Tabla33[[#This Row],[Fecha de operación]]=$C$1,0,U158-V158)</f>
        <v>0.18537658488708075</v>
      </c>
      <c r="X158" s="512" t="str">
        <f t="shared" si="64"/>
        <v>Vigente</v>
      </c>
      <c r="Y158" s="498" t="s">
        <v>450</v>
      </c>
      <c r="Z158" s="469">
        <f t="shared" si="65"/>
        <v>146</v>
      </c>
      <c r="AA158" s="499">
        <f t="shared" si="107"/>
        <v>1.5572092384903999</v>
      </c>
      <c r="AB158" s="499">
        <f t="shared" si="107"/>
        <v>1.531709007264163</v>
      </c>
      <c r="AC158" s="469" t="s">
        <v>451</v>
      </c>
      <c r="AD158" s="469" t="s">
        <v>454</v>
      </c>
      <c r="AF158" s="444">
        <f>+IF(Tabla33[[#This Row],[Amortización k | cupón de intereses]]="Amortización de K",Tabla33[[#This Row],[Valor Nominal]],0)</f>
        <v>0</v>
      </c>
      <c r="AG158" s="444">
        <f>+IF(AND(Tabla33[[#This Row],[Amortización k | cupón de intereses]]="Cupón de interés",Tabla33[[#This Row],[Estado]]="Vigente"),Tabla33[[#This Row],[Valor Nominal]],0)</f>
        <v>1077.0410958904108</v>
      </c>
      <c r="AH158" s="444">
        <f>+IF(Tabla33[[#This Row],[Amortización k | cupón de intereses]]="Amortización de K",SUMIFS($AG$7:$AG$418,Tabla33[Código Emisión],Tabla33[[#This Row],[Código Emisión]],Tabla33[Fecha de operación],Tabla33[[#This Row],[Fecha de operación]]),0)-Tabla33[[#This Row],[Accrued]]*Tabla33[[#This Row],[Valor Nominal]]</f>
        <v>0</v>
      </c>
      <c r="AI158" s="444">
        <f>+IF(Tabla33[[#This Row],[Amortización k | cupón de intereses]]="Amortización de K",IF(Tabla33[[#This Row],[Precio Clean]]&gt;1,Tabla33[[#This Row],[Valor Nominal]]*(Tabla33[[#This Row],[Precio Clean]]-1),0),0)</f>
        <v>0</v>
      </c>
      <c r="AJ158" s="444">
        <f>+IF(Tabla33[[#This Row],[Amortización k | cupón de intereses]]="Amortización de K",IF(Tabla33[[#This Row],[Precio Clean]]&lt;1,Tabla33[[#This Row],[Valor Nominal]]*(Tabla33[[#This Row],[Precio Clean]]-1),0),0)</f>
        <v>0</v>
      </c>
    </row>
    <row r="159" spans="1:36">
      <c r="A159" s="502"/>
      <c r="B159" s="437" t="s">
        <v>505</v>
      </c>
      <c r="C159" s="437" t="str">
        <f t="shared" si="80"/>
        <v>CDA RIO UH1950</v>
      </c>
      <c r="D159" s="437" t="s">
        <v>453</v>
      </c>
      <c r="E159" s="437" t="s">
        <v>507</v>
      </c>
      <c r="F159" s="437" t="s">
        <v>297</v>
      </c>
      <c r="G159" s="437" t="s">
        <v>298</v>
      </c>
      <c r="H159" s="529">
        <f t="shared" si="104"/>
        <v>1</v>
      </c>
      <c r="I159" s="492">
        <v>1077.0410958904108</v>
      </c>
      <c r="J159" s="451"/>
      <c r="K159" s="450"/>
      <c r="L159" s="451"/>
      <c r="M159" s="493"/>
      <c r="N159" s="493"/>
      <c r="O159" s="494">
        <f t="shared" si="103"/>
        <v>6.6592887043952956E-2</v>
      </c>
      <c r="P159" s="494">
        <f t="shared" si="103"/>
        <v>6.4991689958973531E-2</v>
      </c>
      <c r="Q159" s="450">
        <f t="shared" si="103"/>
        <v>45876</v>
      </c>
      <c r="R159" s="450">
        <v>46076</v>
      </c>
      <c r="S159" s="509" t="s">
        <v>146</v>
      </c>
      <c r="T159" s="510">
        <f>Tabla33[[#This Row],[Cantidad]]*Tabla33[[#This Row],[Cortes]]</f>
        <v>1077.0410958904108</v>
      </c>
      <c r="U159" s="511">
        <f t="shared" si="105"/>
        <v>1066.6287733783438</v>
      </c>
      <c r="V159" s="511">
        <f t="shared" si="106"/>
        <v>1066.4403931275813</v>
      </c>
      <c r="W159" s="497">
        <f>IF(Tabla33[[#This Row],[Fecha de operación]]=$C$1,0,U159-V159)</f>
        <v>0.18838025076252052</v>
      </c>
      <c r="X159" s="512" t="str">
        <f t="shared" si="64"/>
        <v>Vigente</v>
      </c>
      <c r="Y159" s="498" t="s">
        <v>450</v>
      </c>
      <c r="Z159" s="469">
        <f t="shared" si="65"/>
        <v>55</v>
      </c>
      <c r="AA159" s="499">
        <f t="shared" si="107"/>
        <v>1.5572092384903999</v>
      </c>
      <c r="AB159" s="499">
        <f t="shared" si="107"/>
        <v>1.531709007264163</v>
      </c>
      <c r="AC159" s="469" t="s">
        <v>451</v>
      </c>
      <c r="AD159" s="469" t="s">
        <v>454</v>
      </c>
      <c r="AF159" s="444">
        <f>+IF(Tabla33[[#This Row],[Amortización k | cupón de intereses]]="Amortización de K",Tabla33[[#This Row],[Valor Nominal]],0)</f>
        <v>0</v>
      </c>
      <c r="AG159" s="444">
        <f>+IF(AND(Tabla33[[#This Row],[Amortización k | cupón de intereses]]="Cupón de interés",Tabla33[[#This Row],[Estado]]="Vigente"),Tabla33[[#This Row],[Valor Nominal]],0)</f>
        <v>1077.0410958904108</v>
      </c>
      <c r="AH159" s="444">
        <f>+IF(Tabla33[[#This Row],[Amortización k | cupón de intereses]]="Amortización de K",SUMIFS($AG$7:$AG$418,Tabla33[Código Emisión],Tabla33[[#This Row],[Código Emisión]],Tabla33[Fecha de operación],Tabla33[[#This Row],[Fecha de operación]]),0)-Tabla33[[#This Row],[Accrued]]*Tabla33[[#This Row],[Valor Nominal]]</f>
        <v>0</v>
      </c>
      <c r="AI159" s="444">
        <f>+IF(Tabla33[[#This Row],[Amortización k | cupón de intereses]]="Amortización de K",IF(Tabla33[[#This Row],[Precio Clean]]&gt;1,Tabla33[[#This Row],[Valor Nominal]]*(Tabla33[[#This Row],[Precio Clean]]-1),0),0)</f>
        <v>0</v>
      </c>
      <c r="AJ159" s="444">
        <f>+IF(Tabla33[[#This Row],[Amortización k | cupón de intereses]]="Amortización de K",IF(Tabla33[[#This Row],[Precio Clean]]&lt;1,Tabla33[[#This Row],[Valor Nominal]]*(Tabla33[[#This Row],[Precio Clean]]-1),0),0)</f>
        <v>0</v>
      </c>
    </row>
    <row r="160" spans="1:36">
      <c r="A160" s="502"/>
      <c r="B160" s="437" t="s">
        <v>505</v>
      </c>
      <c r="C160" s="437" t="str">
        <f t="shared" si="80"/>
        <v>CDA RIO UH1950</v>
      </c>
      <c r="D160" s="437" t="s">
        <v>453</v>
      </c>
      <c r="E160" s="437" t="s">
        <v>507</v>
      </c>
      <c r="F160" s="437" t="s">
        <v>297</v>
      </c>
      <c r="G160" s="437" t="s">
        <v>298</v>
      </c>
      <c r="H160" s="529">
        <f t="shared" si="104"/>
        <v>1</v>
      </c>
      <c r="I160" s="492">
        <v>1077.0410958904108</v>
      </c>
      <c r="J160" s="451"/>
      <c r="K160" s="450"/>
      <c r="L160" s="451"/>
      <c r="M160" s="493"/>
      <c r="N160" s="493"/>
      <c r="O160" s="494">
        <f t="shared" si="103"/>
        <v>6.6592887043952956E-2</v>
      </c>
      <c r="P160" s="494">
        <f t="shared" si="103"/>
        <v>6.4991689958973531E-2</v>
      </c>
      <c r="Q160" s="450">
        <f t="shared" si="103"/>
        <v>45876</v>
      </c>
      <c r="R160" s="450">
        <v>45985</v>
      </c>
      <c r="S160" s="509" t="s">
        <v>146</v>
      </c>
      <c r="T160" s="510">
        <f>Tabla33[[#This Row],[Cantidad]]*Tabla33[[#This Row],[Cortes]]</f>
        <v>1077.0410958904108</v>
      </c>
      <c r="U160" s="511" t="b">
        <f t="shared" si="105"/>
        <v>0</v>
      </c>
      <c r="V160" s="511" t="b">
        <f t="shared" si="106"/>
        <v>0</v>
      </c>
      <c r="W160" s="497">
        <f>IF(Tabla33[[#This Row],[Fecha de operación]]=$C$1,0,U160-V160)</f>
        <v>0</v>
      </c>
      <c r="X160" s="512" t="str">
        <f t="shared" si="64"/>
        <v>Vencido</v>
      </c>
      <c r="Y160" s="498" t="s">
        <v>450</v>
      </c>
      <c r="Z160" s="469">
        <f t="shared" si="65"/>
        <v>-36</v>
      </c>
      <c r="AA160" s="499">
        <f t="shared" si="107"/>
        <v>1.5572092384903999</v>
      </c>
      <c r="AB160" s="499">
        <f t="shared" si="107"/>
        <v>1.531709007264163</v>
      </c>
      <c r="AC160" s="469" t="s">
        <v>451</v>
      </c>
      <c r="AD160" s="469" t="s">
        <v>454</v>
      </c>
      <c r="AF160" s="444">
        <f>+IF(Tabla33[[#This Row],[Amortización k | cupón de intereses]]="Amortización de K",Tabla33[[#This Row],[Valor Nominal]],0)</f>
        <v>0</v>
      </c>
      <c r="AG160" s="444">
        <f>+IF(AND(Tabla33[[#This Row],[Amortización k | cupón de intereses]]="Cupón de interés",Tabla33[[#This Row],[Estado]]="Vigente"),Tabla33[[#This Row],[Valor Nominal]],0)</f>
        <v>0</v>
      </c>
      <c r="AH160" s="444">
        <f>+IF(Tabla33[[#This Row],[Amortización k | cupón de intereses]]="Amortización de K",SUMIFS($AG$7:$AG$418,Tabla33[Código Emisión],Tabla33[[#This Row],[Código Emisión]],Tabla33[Fecha de operación],Tabla33[[#This Row],[Fecha de operación]]),0)-Tabla33[[#This Row],[Accrued]]*Tabla33[[#This Row],[Valor Nominal]]</f>
        <v>0</v>
      </c>
      <c r="AI160" s="444">
        <f>+IF(Tabla33[[#This Row],[Amortización k | cupón de intereses]]="Amortización de K",IF(Tabla33[[#This Row],[Precio Clean]]&gt;1,Tabla33[[#This Row],[Valor Nominal]]*(Tabla33[[#This Row],[Precio Clean]]-1),0),0)</f>
        <v>0</v>
      </c>
      <c r="AJ160" s="444">
        <f>+IF(Tabla33[[#This Row],[Amortización k | cupón de intereses]]="Amortización de K",IF(Tabla33[[#This Row],[Precio Clean]]&lt;1,Tabla33[[#This Row],[Valor Nominal]]*(Tabla33[[#This Row],[Precio Clean]]-1),0),0)</f>
        <v>0</v>
      </c>
    </row>
    <row r="161" spans="1:36" ht="15">
      <c r="A161" s="500">
        <f>+A152+1</f>
        <v>20</v>
      </c>
      <c r="B161" s="475" t="s">
        <v>511</v>
      </c>
      <c r="C161" s="475" t="s">
        <v>512</v>
      </c>
      <c r="D161" s="475" t="s">
        <v>359</v>
      </c>
      <c r="E161" s="475" t="s">
        <v>449</v>
      </c>
      <c r="F161" s="475" t="s">
        <v>513</v>
      </c>
      <c r="G161" s="475" t="s">
        <v>298</v>
      </c>
      <c r="H161" s="476">
        <v>200</v>
      </c>
      <c r="I161" s="477">
        <v>1000</v>
      </c>
      <c r="J161" s="478">
        <v>0.06</v>
      </c>
      <c r="K161" s="479">
        <f>_xlfn.MAXIFS(R:R,C:C,C161,AD:AD,"Cupón de interés",X:X,"Vencido")</f>
        <v>45954</v>
      </c>
      <c r="L161" s="478">
        <f>+Tabla33[[#This Row],[Tasa de Interés]]*($U$5-Tabla33[[#This Row],[Last coupon]])/365</f>
        <v>1.1013698630136985E-2</v>
      </c>
      <c r="M161" s="480">
        <f>+Tabla33[[#This Row],[Precio Dirty]]-Tabla33[[#This Row],[Accrued]]</f>
        <v>0.97916132742380979</v>
      </c>
      <c r="N161" s="481">
        <f>SUMIFS(U:U,C:C,C161,Q:Q,Q161)/SUMIFS(T:T,C:C,C161,Q:Q,Q161,AD:AD,"Amortización de K")</f>
        <v>0.99017502605394681</v>
      </c>
      <c r="O161" s="482">
        <v>7.1688202023506162E-2</v>
      </c>
      <c r="P161" s="482">
        <v>6.9837824599981779E-2</v>
      </c>
      <c r="Q161" s="484">
        <v>45888</v>
      </c>
      <c r="R161" s="484">
        <v>46864</v>
      </c>
      <c r="S161" s="504" t="s">
        <v>146</v>
      </c>
      <c r="T161" s="505">
        <f>Tabla33[[#This Row],[Cantidad]]*Tabla33[[#This Row],[Cortes]]</f>
        <v>200000</v>
      </c>
      <c r="U161" s="506">
        <f t="shared" si="105"/>
        <v>170444.98746037486</v>
      </c>
      <c r="V161" s="506">
        <f t="shared" si="106"/>
        <v>170412.65960416754</v>
      </c>
      <c r="W161" s="487">
        <f>IF(Tabla33[[#This Row],[Fecha de operación]]=$C$1,0,U161-V161)</f>
        <v>32.327856207324658</v>
      </c>
      <c r="X161" s="507" t="str">
        <f t="shared" si="64"/>
        <v>Vigente</v>
      </c>
      <c r="Y161" s="489" t="s">
        <v>450</v>
      </c>
      <c r="Z161" s="488">
        <f t="shared" si="65"/>
        <v>843</v>
      </c>
      <c r="AA161" s="508">
        <f t="shared" ref="AA161" si="108">IF(Y161="Mensual",DURATION($C$1,$C$1+Z161*12,J161/12,O161/12,1)/12,DURATION($C$1,R161,J161,O161,IF(Y161="Cupón cero",1,IF(Y161="Al vencimiento",1,IF(Y161="Anual",1,IF(Y161="Semestral",2,IF(Y161="Trimestral",4,"")))))))</f>
        <v>2.1457899104164175</v>
      </c>
      <c r="AB161" s="508">
        <f t="shared" ref="AB161" si="109">IF(Y161="Mensual",MDURATION($C$1,$C$1+Z161*12,J161/12,O161/12,1)/12,MDURATION($C$1,R161,J161,O161,IF(Y161="Cupón cero",1,IF(Y161="Al vencimiento",1,IF(Y161="Anual",1,IF(Y161="Semestral",2,IF(Y161="Trimestral",4,"")))))))</f>
        <v>2.1080100478715678</v>
      </c>
      <c r="AC161" s="488" t="s">
        <v>451</v>
      </c>
      <c r="AD161" s="488" t="s">
        <v>452</v>
      </c>
      <c r="AF161" s="444">
        <f>+IF(Tabla33[[#This Row],[Amortización k | cupón de intereses]]="Amortización de K",Tabla33[[#This Row],[Valor Nominal]],0)</f>
        <v>200000</v>
      </c>
      <c r="AG161" s="444">
        <f>+IF(AND(Tabla33[[#This Row],[Amortización k | cupón de intereses]]="Cupón de interés",Tabla33[[#This Row],[Estado]]="Vigente"),Tabla33[[#This Row],[Valor Nominal]],0)</f>
        <v>0</v>
      </c>
      <c r="AH161" s="444">
        <f>+IF(Tabla33[[#This Row],[Amortización k | cupón de intereses]]="Amortización de K",SUMIFS($AG$7:$AG$418,Tabla33[Código Emisión],Tabla33[[#This Row],[Código Emisión]],Tabla33[Fecha de operación],Tabla33[[#This Row],[Fecha de operación]]),0)-Tabla33[[#This Row],[Accrued]]*Tabla33[[#This Row],[Valor Nominal]]</f>
        <v>27715.068273972603</v>
      </c>
      <c r="AI161" s="444">
        <f>+IF(Tabla33[[#This Row],[Amortización k | cupón de intereses]]="Amortización de K",IF(Tabla33[[#This Row],[Precio Clean]]&gt;1,Tabla33[[#This Row],[Valor Nominal]]*(Tabla33[[#This Row],[Precio Clean]]-1),0),0)</f>
        <v>0</v>
      </c>
      <c r="AJ161" s="444">
        <f>+IF(Tabla33[[#This Row],[Amortización k | cupón de intereses]]="Amortización de K",IF(Tabla33[[#This Row],[Precio Clean]]&lt;1,Tabla33[[#This Row],[Valor Nominal]]*(Tabla33[[#This Row],[Precio Clean]]-1),0),0)</f>
        <v>-4167.7345152380421</v>
      </c>
    </row>
    <row r="162" spans="1:36">
      <c r="A162" s="502"/>
      <c r="B162" s="437" t="str">
        <f>+B161</f>
        <v>CECON SAE</v>
      </c>
      <c r="C162" s="437" t="str">
        <f t="shared" ref="C162:E172" si="110">+C161</f>
        <v>PYCEC01F3409</v>
      </c>
      <c r="D162" s="437" t="str">
        <f>+D161</f>
        <v>Bonos Corporativos</v>
      </c>
      <c r="E162" s="437" t="str">
        <f>+E161</f>
        <v>AA-py</v>
      </c>
      <c r="F162" s="437" t="s">
        <v>297</v>
      </c>
      <c r="G162" s="437" t="s">
        <v>298</v>
      </c>
      <c r="H162" s="529">
        <f>+H161</f>
        <v>200</v>
      </c>
      <c r="I162" s="492">
        <v>14.958904</v>
      </c>
      <c r="J162" s="451"/>
      <c r="K162" s="450"/>
      <c r="L162" s="451"/>
      <c r="M162" s="493"/>
      <c r="N162" s="493"/>
      <c r="O162" s="494">
        <f t="shared" ref="O162:Q172" si="111">+O161</f>
        <v>7.1688202023506162E-2</v>
      </c>
      <c r="P162" s="494">
        <f t="shared" si="111"/>
        <v>6.9837824599981779E-2</v>
      </c>
      <c r="Q162" s="450">
        <f t="shared" si="111"/>
        <v>45888</v>
      </c>
      <c r="R162" s="450">
        <v>46864</v>
      </c>
      <c r="S162" s="509" t="s">
        <v>146</v>
      </c>
      <c r="T162" s="510">
        <f>Tabla33[[#This Row],[Cantidad]]*Tabla33[[#This Row],[Cortes]]</f>
        <v>2991.7808</v>
      </c>
      <c r="U162" s="511">
        <f t="shared" si="105"/>
        <v>2549.6702047009512</v>
      </c>
      <c r="V162" s="511">
        <f t="shared" si="106"/>
        <v>2549.1866154034201</v>
      </c>
      <c r="W162" s="497">
        <f>IF(Tabla33[[#This Row],[Fecha de operación]]=$C$1,0,U162-V162)</f>
        <v>0.48358929753112534</v>
      </c>
      <c r="X162" s="512" t="str">
        <f t="shared" si="64"/>
        <v>Vigente</v>
      </c>
      <c r="Y162" s="498" t="s">
        <v>450</v>
      </c>
      <c r="Z162" s="469">
        <f t="shared" si="65"/>
        <v>843</v>
      </c>
      <c r="AA162" s="499">
        <f>+AA161</f>
        <v>2.1457899104164175</v>
      </c>
      <c r="AB162" s="499">
        <f>+AB161</f>
        <v>2.1080100478715678</v>
      </c>
      <c r="AC162" s="469" t="s">
        <v>451</v>
      </c>
      <c r="AD162" s="469" t="s">
        <v>454</v>
      </c>
      <c r="AF162" s="444">
        <f>+IF(Tabla33[[#This Row],[Amortización k | cupón de intereses]]="Amortización de K",Tabla33[[#This Row],[Valor Nominal]],0)</f>
        <v>0</v>
      </c>
      <c r="AG162" s="444">
        <f>+IF(AND(Tabla33[[#This Row],[Amortización k | cupón de intereses]]="Cupón de interés",Tabla33[[#This Row],[Estado]]="Vigente"),Tabla33[[#This Row],[Valor Nominal]],0)</f>
        <v>2991.7808</v>
      </c>
      <c r="AH162" s="444">
        <f>+IF(Tabla33[[#This Row],[Amortización k | cupón de intereses]]="Amortización de K",SUMIFS($AG$7:$AG$418,Tabla33[Código Emisión],Tabla33[[#This Row],[Código Emisión]],Tabla33[Fecha de operación],Tabla33[[#This Row],[Fecha de operación]]),0)-Tabla33[[#This Row],[Accrued]]*Tabla33[[#This Row],[Valor Nominal]]</f>
        <v>0</v>
      </c>
      <c r="AI162" s="444">
        <f>+IF(Tabla33[[#This Row],[Amortización k | cupón de intereses]]="Amortización de K",IF(Tabla33[[#This Row],[Precio Clean]]&gt;1,Tabla33[[#This Row],[Valor Nominal]]*(Tabla33[[#This Row],[Precio Clean]]-1),0),0)</f>
        <v>0</v>
      </c>
      <c r="AJ162" s="444">
        <f>+IF(Tabla33[[#This Row],[Amortización k | cupón de intereses]]="Amortización de K",IF(Tabla33[[#This Row],[Precio Clean]]&lt;1,Tabla33[[#This Row],[Valor Nominal]]*(Tabla33[[#This Row],[Precio Clean]]-1),0),0)</f>
        <v>0</v>
      </c>
    </row>
    <row r="163" spans="1:36">
      <c r="A163" s="502"/>
      <c r="B163" s="437" t="str">
        <f t="shared" ref="B163:B172" si="112">+B162</f>
        <v>CECON SAE</v>
      </c>
      <c r="C163" s="437" t="str">
        <f t="shared" si="110"/>
        <v>PYCEC01F3409</v>
      </c>
      <c r="D163" s="437" t="str">
        <f t="shared" si="110"/>
        <v>Bonos Corporativos</v>
      </c>
      <c r="E163" s="437" t="str">
        <f t="shared" si="110"/>
        <v>AA-py</v>
      </c>
      <c r="F163" s="437" t="s">
        <v>297</v>
      </c>
      <c r="G163" s="437" t="s">
        <v>298</v>
      </c>
      <c r="H163" s="529">
        <f t="shared" ref="H163:H172" si="113">+H162</f>
        <v>200</v>
      </c>
      <c r="I163" s="492">
        <v>14.958904</v>
      </c>
      <c r="J163" s="451"/>
      <c r="K163" s="450"/>
      <c r="L163" s="451"/>
      <c r="M163" s="493"/>
      <c r="N163" s="493"/>
      <c r="O163" s="494">
        <f t="shared" si="111"/>
        <v>7.1688202023506162E-2</v>
      </c>
      <c r="P163" s="494">
        <f t="shared" si="111"/>
        <v>6.9837824599981779E-2</v>
      </c>
      <c r="Q163" s="450">
        <f t="shared" si="111"/>
        <v>45888</v>
      </c>
      <c r="R163" s="450">
        <v>46773</v>
      </c>
      <c r="S163" s="509" t="s">
        <v>146</v>
      </c>
      <c r="T163" s="510">
        <f>Tabla33[[#This Row],[Cantidad]]*Tabla33[[#This Row],[Cortes]]</f>
        <v>2991.7808</v>
      </c>
      <c r="U163" s="511">
        <f t="shared" si="105"/>
        <v>2594.0630429610064</v>
      </c>
      <c r="V163" s="511">
        <f t="shared" si="106"/>
        <v>2593.5710337896303</v>
      </c>
      <c r="W163" s="497">
        <f>IF(Tabla33[[#This Row],[Fecha de operación]]=$C$1,0,U163-V163)</f>
        <v>0.49200917137613942</v>
      </c>
      <c r="X163" s="512" t="str">
        <f t="shared" si="64"/>
        <v>Vigente</v>
      </c>
      <c r="Y163" s="498" t="s">
        <v>450</v>
      </c>
      <c r="Z163" s="469">
        <f t="shared" si="65"/>
        <v>752</v>
      </c>
      <c r="AA163" s="499">
        <f t="shared" ref="AA163:AB172" si="114">+AA162</f>
        <v>2.1457899104164175</v>
      </c>
      <c r="AB163" s="499">
        <f t="shared" si="114"/>
        <v>2.1080100478715678</v>
      </c>
      <c r="AC163" s="469" t="s">
        <v>451</v>
      </c>
      <c r="AD163" s="469" t="s">
        <v>454</v>
      </c>
      <c r="AF163" s="444">
        <f>+IF(Tabla33[[#This Row],[Amortización k | cupón de intereses]]="Amortización de K",Tabla33[[#This Row],[Valor Nominal]],0)</f>
        <v>0</v>
      </c>
      <c r="AG163" s="444">
        <f>+IF(AND(Tabla33[[#This Row],[Amortización k | cupón de intereses]]="Cupón de interés",Tabla33[[#This Row],[Estado]]="Vigente"),Tabla33[[#This Row],[Valor Nominal]],0)</f>
        <v>2991.7808</v>
      </c>
      <c r="AH163" s="444">
        <f>+IF(Tabla33[[#This Row],[Amortización k | cupón de intereses]]="Amortización de K",SUMIFS($AG$7:$AG$418,Tabla33[Código Emisión],Tabla33[[#This Row],[Código Emisión]],Tabla33[Fecha de operación],Tabla33[[#This Row],[Fecha de operación]]),0)-Tabla33[[#This Row],[Accrued]]*Tabla33[[#This Row],[Valor Nominal]]</f>
        <v>0</v>
      </c>
      <c r="AI163" s="444">
        <f>+IF(Tabla33[[#This Row],[Amortización k | cupón de intereses]]="Amortización de K",IF(Tabla33[[#This Row],[Precio Clean]]&gt;1,Tabla33[[#This Row],[Valor Nominal]]*(Tabla33[[#This Row],[Precio Clean]]-1),0),0)</f>
        <v>0</v>
      </c>
      <c r="AJ163" s="444">
        <f>+IF(Tabla33[[#This Row],[Amortización k | cupón de intereses]]="Amortización de K",IF(Tabla33[[#This Row],[Precio Clean]]&lt;1,Tabla33[[#This Row],[Valor Nominal]]*(Tabla33[[#This Row],[Precio Clean]]-1),0),0)</f>
        <v>0</v>
      </c>
    </row>
    <row r="164" spans="1:36">
      <c r="A164" s="502"/>
      <c r="B164" s="437" t="str">
        <f t="shared" si="112"/>
        <v>CECON SAE</v>
      </c>
      <c r="C164" s="437" t="str">
        <f t="shared" si="110"/>
        <v>PYCEC01F3409</v>
      </c>
      <c r="D164" s="437" t="str">
        <f t="shared" si="110"/>
        <v>Bonos Corporativos</v>
      </c>
      <c r="E164" s="437" t="str">
        <f t="shared" si="110"/>
        <v>AA-py</v>
      </c>
      <c r="F164" s="437" t="s">
        <v>297</v>
      </c>
      <c r="G164" s="437" t="s">
        <v>298</v>
      </c>
      <c r="H164" s="529">
        <f t="shared" si="113"/>
        <v>200</v>
      </c>
      <c r="I164" s="492">
        <v>14.958904</v>
      </c>
      <c r="J164" s="451"/>
      <c r="K164" s="450"/>
      <c r="L164" s="451"/>
      <c r="M164" s="493"/>
      <c r="N164" s="493"/>
      <c r="O164" s="494">
        <f t="shared" si="111"/>
        <v>7.1688202023506162E-2</v>
      </c>
      <c r="P164" s="494">
        <f t="shared" si="111"/>
        <v>6.9837824599981779E-2</v>
      </c>
      <c r="Q164" s="450">
        <f t="shared" si="111"/>
        <v>45888</v>
      </c>
      <c r="R164" s="450">
        <v>46682</v>
      </c>
      <c r="S164" s="509" t="s">
        <v>146</v>
      </c>
      <c r="T164" s="510">
        <f>Tabla33[[#This Row],[Cantidad]]*Tabla33[[#This Row],[Cortes]]</f>
        <v>2991.7808</v>
      </c>
      <c r="U164" s="511">
        <f t="shared" si="105"/>
        <v>2639.2288141616232</v>
      </c>
      <c r="V164" s="511">
        <f t="shared" si="106"/>
        <v>2638.728238516228</v>
      </c>
      <c r="W164" s="497">
        <f>IF(Tabla33[[#This Row],[Fecha de operación]]=$C$1,0,U164-V164)</f>
        <v>0.50057564539520172</v>
      </c>
      <c r="X164" s="512" t="str">
        <f t="shared" si="64"/>
        <v>Vigente</v>
      </c>
      <c r="Y164" s="498" t="s">
        <v>450</v>
      </c>
      <c r="Z164" s="469">
        <f t="shared" si="65"/>
        <v>661</v>
      </c>
      <c r="AA164" s="499">
        <f t="shared" si="114"/>
        <v>2.1457899104164175</v>
      </c>
      <c r="AB164" s="499">
        <f t="shared" si="114"/>
        <v>2.1080100478715678</v>
      </c>
      <c r="AC164" s="469" t="s">
        <v>451</v>
      </c>
      <c r="AD164" s="469" t="s">
        <v>454</v>
      </c>
      <c r="AF164" s="444">
        <f>+IF(Tabla33[[#This Row],[Amortización k | cupón de intereses]]="Amortización de K",Tabla33[[#This Row],[Valor Nominal]],0)</f>
        <v>0</v>
      </c>
      <c r="AG164" s="444">
        <f>+IF(AND(Tabla33[[#This Row],[Amortización k | cupón de intereses]]="Cupón de interés",Tabla33[[#This Row],[Estado]]="Vigente"),Tabla33[[#This Row],[Valor Nominal]],0)</f>
        <v>2991.7808</v>
      </c>
      <c r="AH164" s="444">
        <f>+IF(Tabla33[[#This Row],[Amortización k | cupón de intereses]]="Amortización de K",SUMIFS($AG$7:$AG$418,Tabla33[Código Emisión],Tabla33[[#This Row],[Código Emisión]],Tabla33[Fecha de operación],Tabla33[[#This Row],[Fecha de operación]]),0)-Tabla33[[#This Row],[Accrued]]*Tabla33[[#This Row],[Valor Nominal]]</f>
        <v>0</v>
      </c>
      <c r="AI164" s="444">
        <f>+IF(Tabla33[[#This Row],[Amortización k | cupón de intereses]]="Amortización de K",IF(Tabla33[[#This Row],[Precio Clean]]&gt;1,Tabla33[[#This Row],[Valor Nominal]]*(Tabla33[[#This Row],[Precio Clean]]-1),0),0)</f>
        <v>0</v>
      </c>
      <c r="AJ164" s="444">
        <f>+IF(Tabla33[[#This Row],[Amortización k | cupón de intereses]]="Amortización de K",IF(Tabla33[[#This Row],[Precio Clean]]&lt;1,Tabla33[[#This Row],[Valor Nominal]]*(Tabla33[[#This Row],[Precio Clean]]-1),0),0)</f>
        <v>0</v>
      </c>
    </row>
    <row r="165" spans="1:36">
      <c r="A165" s="502"/>
      <c r="B165" s="437" t="str">
        <f t="shared" si="112"/>
        <v>CECON SAE</v>
      </c>
      <c r="C165" s="437" t="str">
        <f t="shared" si="110"/>
        <v>PYCEC01F3409</v>
      </c>
      <c r="D165" s="437" t="str">
        <f t="shared" si="110"/>
        <v>Bonos Corporativos</v>
      </c>
      <c r="E165" s="437" t="str">
        <f t="shared" si="110"/>
        <v>AA-py</v>
      </c>
      <c r="F165" s="437" t="s">
        <v>297</v>
      </c>
      <c r="G165" s="437" t="s">
        <v>298</v>
      </c>
      <c r="H165" s="529">
        <f t="shared" si="113"/>
        <v>200</v>
      </c>
      <c r="I165" s="492">
        <v>14.958904</v>
      </c>
      <c r="J165" s="451"/>
      <c r="K165" s="450"/>
      <c r="L165" s="451"/>
      <c r="M165" s="493"/>
      <c r="N165" s="493"/>
      <c r="O165" s="494">
        <f t="shared" si="111"/>
        <v>7.1688202023506162E-2</v>
      </c>
      <c r="P165" s="494">
        <f t="shared" si="111"/>
        <v>6.9837824599981779E-2</v>
      </c>
      <c r="Q165" s="450">
        <f t="shared" si="111"/>
        <v>45888</v>
      </c>
      <c r="R165" s="450">
        <v>46591</v>
      </c>
      <c r="S165" s="509" t="s">
        <v>146</v>
      </c>
      <c r="T165" s="510">
        <f>Tabla33[[#This Row],[Cantidad]]*Tabla33[[#This Row],[Cortes]]</f>
        <v>2991.7808</v>
      </c>
      <c r="U165" s="511">
        <f t="shared" si="105"/>
        <v>2685.1809759989997</v>
      </c>
      <c r="V165" s="511">
        <f t="shared" si="106"/>
        <v>2684.6716847269231</v>
      </c>
      <c r="W165" s="497">
        <f>IF(Tabla33[[#This Row],[Fecha de operación]]=$C$1,0,U165-V165)</f>
        <v>0.50929127207655256</v>
      </c>
      <c r="X165" s="512" t="str">
        <f t="shared" ref="X165:X228" si="115">IF(R165&lt;=$U$5,"Vencido","Vigente")</f>
        <v>Vigente</v>
      </c>
      <c r="Y165" s="498" t="s">
        <v>450</v>
      </c>
      <c r="Z165" s="469">
        <f t="shared" ref="Z165:Z228" si="116">+R165-$U$5</f>
        <v>570</v>
      </c>
      <c r="AA165" s="499">
        <f t="shared" si="114"/>
        <v>2.1457899104164175</v>
      </c>
      <c r="AB165" s="499">
        <f t="shared" si="114"/>
        <v>2.1080100478715678</v>
      </c>
      <c r="AC165" s="469" t="s">
        <v>451</v>
      </c>
      <c r="AD165" s="469" t="s">
        <v>454</v>
      </c>
      <c r="AF165" s="444">
        <f>+IF(Tabla33[[#This Row],[Amortización k | cupón de intereses]]="Amortización de K",Tabla33[[#This Row],[Valor Nominal]],0)</f>
        <v>0</v>
      </c>
      <c r="AG165" s="444">
        <f>+IF(AND(Tabla33[[#This Row],[Amortización k | cupón de intereses]]="Cupón de interés",Tabla33[[#This Row],[Estado]]="Vigente"),Tabla33[[#This Row],[Valor Nominal]],0)</f>
        <v>2991.7808</v>
      </c>
      <c r="AH165" s="444">
        <f>+IF(Tabla33[[#This Row],[Amortización k | cupón de intereses]]="Amortización de K",SUMIFS($AG$7:$AG$418,Tabla33[Código Emisión],Tabla33[[#This Row],[Código Emisión]],Tabla33[Fecha de operación],Tabla33[[#This Row],[Fecha de operación]]),0)-Tabla33[[#This Row],[Accrued]]*Tabla33[[#This Row],[Valor Nominal]]</f>
        <v>0</v>
      </c>
      <c r="AI165" s="444">
        <f>+IF(Tabla33[[#This Row],[Amortización k | cupón de intereses]]="Amortización de K",IF(Tabla33[[#This Row],[Precio Clean]]&gt;1,Tabla33[[#This Row],[Valor Nominal]]*(Tabla33[[#This Row],[Precio Clean]]-1),0),0)</f>
        <v>0</v>
      </c>
      <c r="AJ165" s="444">
        <f>+IF(Tabla33[[#This Row],[Amortización k | cupón de intereses]]="Amortización de K",IF(Tabla33[[#This Row],[Precio Clean]]&lt;1,Tabla33[[#This Row],[Valor Nominal]]*(Tabla33[[#This Row],[Precio Clean]]-1),0),0)</f>
        <v>0</v>
      </c>
    </row>
    <row r="166" spans="1:36">
      <c r="A166" s="502"/>
      <c r="B166" s="437" t="str">
        <f t="shared" si="112"/>
        <v>CECON SAE</v>
      </c>
      <c r="C166" s="437" t="str">
        <f t="shared" si="110"/>
        <v>PYCEC01F3409</v>
      </c>
      <c r="D166" s="437" t="str">
        <f t="shared" si="110"/>
        <v>Bonos Corporativos</v>
      </c>
      <c r="E166" s="437" t="str">
        <f t="shared" si="110"/>
        <v>AA-py</v>
      </c>
      <c r="F166" s="437" t="s">
        <v>297</v>
      </c>
      <c r="G166" s="437" t="s">
        <v>298</v>
      </c>
      <c r="H166" s="529">
        <f t="shared" si="113"/>
        <v>200</v>
      </c>
      <c r="I166" s="492">
        <v>14.958904</v>
      </c>
      <c r="J166" s="451"/>
      <c r="K166" s="450"/>
      <c r="L166" s="451"/>
      <c r="M166" s="493"/>
      <c r="N166" s="493"/>
      <c r="O166" s="494">
        <f t="shared" si="111"/>
        <v>7.1688202023506162E-2</v>
      </c>
      <c r="P166" s="494">
        <f t="shared" si="111"/>
        <v>6.9837824599981779E-2</v>
      </c>
      <c r="Q166" s="450">
        <f t="shared" si="111"/>
        <v>45888</v>
      </c>
      <c r="R166" s="450">
        <v>46500</v>
      </c>
      <c r="S166" s="509" t="s">
        <v>146</v>
      </c>
      <c r="T166" s="510">
        <f>Tabla33[[#This Row],[Cantidad]]*Tabla33[[#This Row],[Cortes]]</f>
        <v>2991.7808</v>
      </c>
      <c r="U166" s="511">
        <f t="shared" si="105"/>
        <v>2731.9332204840789</v>
      </c>
      <c r="V166" s="511">
        <f t="shared" si="106"/>
        <v>2731.4150618357326</v>
      </c>
      <c r="W166" s="497">
        <f>IF(Tabla33[[#This Row],[Fecha de operación]]=$C$1,0,U166-V166)</f>
        <v>0.5181586483463434</v>
      </c>
      <c r="X166" s="512" t="str">
        <f t="shared" si="115"/>
        <v>Vigente</v>
      </c>
      <c r="Y166" s="498" t="s">
        <v>450</v>
      </c>
      <c r="Z166" s="469">
        <f t="shared" si="116"/>
        <v>479</v>
      </c>
      <c r="AA166" s="499">
        <f t="shared" si="114"/>
        <v>2.1457899104164175</v>
      </c>
      <c r="AB166" s="499">
        <f t="shared" si="114"/>
        <v>2.1080100478715678</v>
      </c>
      <c r="AC166" s="469" t="s">
        <v>451</v>
      </c>
      <c r="AD166" s="469" t="s">
        <v>454</v>
      </c>
      <c r="AF166" s="444">
        <f>+IF(Tabla33[[#This Row],[Amortización k | cupón de intereses]]="Amortización de K",Tabla33[[#This Row],[Valor Nominal]],0)</f>
        <v>0</v>
      </c>
      <c r="AG166" s="444">
        <f>+IF(AND(Tabla33[[#This Row],[Amortización k | cupón de intereses]]="Cupón de interés",Tabla33[[#This Row],[Estado]]="Vigente"),Tabla33[[#This Row],[Valor Nominal]],0)</f>
        <v>2991.7808</v>
      </c>
      <c r="AH166" s="444">
        <f>+IF(Tabla33[[#This Row],[Amortización k | cupón de intereses]]="Amortización de K",SUMIFS($AG$7:$AG$418,Tabla33[Código Emisión],Tabla33[[#This Row],[Código Emisión]],Tabla33[Fecha de operación],Tabla33[[#This Row],[Fecha de operación]]),0)-Tabla33[[#This Row],[Accrued]]*Tabla33[[#This Row],[Valor Nominal]]</f>
        <v>0</v>
      </c>
      <c r="AI166" s="444">
        <f>+IF(Tabla33[[#This Row],[Amortización k | cupón de intereses]]="Amortización de K",IF(Tabla33[[#This Row],[Precio Clean]]&gt;1,Tabla33[[#This Row],[Valor Nominal]]*(Tabla33[[#This Row],[Precio Clean]]-1),0),0)</f>
        <v>0</v>
      </c>
      <c r="AJ166" s="444">
        <f>+IF(Tabla33[[#This Row],[Amortización k | cupón de intereses]]="Amortización de K",IF(Tabla33[[#This Row],[Precio Clean]]&lt;1,Tabla33[[#This Row],[Valor Nominal]]*(Tabla33[[#This Row],[Precio Clean]]-1),0),0)</f>
        <v>0</v>
      </c>
    </row>
    <row r="167" spans="1:36">
      <c r="A167" s="502"/>
      <c r="B167" s="437" t="str">
        <f t="shared" si="112"/>
        <v>CECON SAE</v>
      </c>
      <c r="C167" s="437" t="str">
        <f t="shared" si="110"/>
        <v>PYCEC01F3409</v>
      </c>
      <c r="D167" s="437" t="str">
        <f t="shared" si="110"/>
        <v>Bonos Corporativos</v>
      </c>
      <c r="E167" s="437" t="str">
        <f t="shared" si="110"/>
        <v>AA-py</v>
      </c>
      <c r="F167" s="437" t="s">
        <v>297</v>
      </c>
      <c r="G167" s="437" t="s">
        <v>298</v>
      </c>
      <c r="H167" s="529">
        <f t="shared" si="113"/>
        <v>200</v>
      </c>
      <c r="I167" s="492">
        <v>14.958904</v>
      </c>
      <c r="J167" s="451"/>
      <c r="K167" s="450"/>
      <c r="L167" s="451"/>
      <c r="M167" s="493"/>
      <c r="N167" s="493"/>
      <c r="O167" s="494">
        <f t="shared" si="111"/>
        <v>7.1688202023506162E-2</v>
      </c>
      <c r="P167" s="494">
        <f t="shared" si="111"/>
        <v>6.9837824599981779E-2</v>
      </c>
      <c r="Q167" s="450">
        <f t="shared" si="111"/>
        <v>45888</v>
      </c>
      <c r="R167" s="450">
        <v>46409</v>
      </c>
      <c r="S167" s="509" t="s">
        <v>146</v>
      </c>
      <c r="T167" s="510">
        <f>Tabla33[[#This Row],[Cantidad]]*Tabla33[[#This Row],[Cortes]]</f>
        <v>2991.7808</v>
      </c>
      <c r="U167" s="511">
        <f t="shared" si="105"/>
        <v>2779.4994780222551</v>
      </c>
      <c r="V167" s="511">
        <f t="shared" si="106"/>
        <v>2778.972297605907</v>
      </c>
      <c r="W167" s="497">
        <f>IF(Tabla33[[#This Row],[Fecha de operación]]=$C$1,0,U167-V167)</f>
        <v>0.52718041634807378</v>
      </c>
      <c r="X167" s="512" t="str">
        <f t="shared" si="115"/>
        <v>Vigente</v>
      </c>
      <c r="Y167" s="498" t="s">
        <v>450</v>
      </c>
      <c r="Z167" s="469">
        <f t="shared" si="116"/>
        <v>388</v>
      </c>
      <c r="AA167" s="499">
        <f t="shared" si="114"/>
        <v>2.1457899104164175</v>
      </c>
      <c r="AB167" s="499">
        <f t="shared" si="114"/>
        <v>2.1080100478715678</v>
      </c>
      <c r="AC167" s="469" t="s">
        <v>451</v>
      </c>
      <c r="AD167" s="469" t="s">
        <v>454</v>
      </c>
      <c r="AF167" s="444">
        <f>+IF(Tabla33[[#This Row],[Amortización k | cupón de intereses]]="Amortización de K",Tabla33[[#This Row],[Valor Nominal]],0)</f>
        <v>0</v>
      </c>
      <c r="AG167" s="444">
        <f>+IF(AND(Tabla33[[#This Row],[Amortización k | cupón de intereses]]="Cupón de interés",Tabla33[[#This Row],[Estado]]="Vigente"),Tabla33[[#This Row],[Valor Nominal]],0)</f>
        <v>2991.7808</v>
      </c>
      <c r="AH167" s="444">
        <f>+IF(Tabla33[[#This Row],[Amortización k | cupón de intereses]]="Amortización de K",SUMIFS($AG$7:$AG$418,Tabla33[Código Emisión],Tabla33[[#This Row],[Código Emisión]],Tabla33[Fecha de operación],Tabla33[[#This Row],[Fecha de operación]]),0)-Tabla33[[#This Row],[Accrued]]*Tabla33[[#This Row],[Valor Nominal]]</f>
        <v>0</v>
      </c>
      <c r="AI167" s="444">
        <f>+IF(Tabla33[[#This Row],[Amortización k | cupón de intereses]]="Amortización de K",IF(Tabla33[[#This Row],[Precio Clean]]&gt;1,Tabla33[[#This Row],[Valor Nominal]]*(Tabla33[[#This Row],[Precio Clean]]-1),0),0)</f>
        <v>0</v>
      </c>
      <c r="AJ167" s="444">
        <f>+IF(Tabla33[[#This Row],[Amortización k | cupón de intereses]]="Amortización de K",IF(Tabla33[[#This Row],[Precio Clean]]&lt;1,Tabla33[[#This Row],[Valor Nominal]]*(Tabla33[[#This Row],[Precio Clean]]-1),0),0)</f>
        <v>0</v>
      </c>
    </row>
    <row r="168" spans="1:36">
      <c r="A168" s="502"/>
      <c r="B168" s="437" t="str">
        <f t="shared" si="112"/>
        <v>CECON SAE</v>
      </c>
      <c r="C168" s="437" t="str">
        <f t="shared" si="110"/>
        <v>PYCEC01F3409</v>
      </c>
      <c r="D168" s="437" t="str">
        <f t="shared" si="110"/>
        <v>Bonos Corporativos</v>
      </c>
      <c r="E168" s="437" t="str">
        <f t="shared" si="110"/>
        <v>AA-py</v>
      </c>
      <c r="F168" s="437" t="s">
        <v>297</v>
      </c>
      <c r="G168" s="437" t="s">
        <v>298</v>
      </c>
      <c r="H168" s="529">
        <f t="shared" si="113"/>
        <v>200</v>
      </c>
      <c r="I168" s="492">
        <v>14.958904</v>
      </c>
      <c r="J168" s="451"/>
      <c r="K168" s="450"/>
      <c r="L168" s="451"/>
      <c r="M168" s="493"/>
      <c r="N168" s="493"/>
      <c r="O168" s="494">
        <f t="shared" si="111"/>
        <v>7.1688202023506162E-2</v>
      </c>
      <c r="P168" s="494">
        <f t="shared" si="111"/>
        <v>6.9837824599981779E-2</v>
      </c>
      <c r="Q168" s="450">
        <f t="shared" si="111"/>
        <v>45888</v>
      </c>
      <c r="R168" s="450">
        <v>46318</v>
      </c>
      <c r="S168" s="509" t="s">
        <v>146</v>
      </c>
      <c r="T168" s="510">
        <f>Tabla33[[#This Row],[Cantidad]]*Tabla33[[#This Row],[Cortes]]</f>
        <v>2991.7808</v>
      </c>
      <c r="U168" s="511">
        <f t="shared" si="105"/>
        <v>2827.8939215641094</v>
      </c>
      <c r="V168" s="511">
        <f t="shared" si="106"/>
        <v>2827.3575622998801</v>
      </c>
      <c r="W168" s="497">
        <f>IF(Tabla33[[#This Row],[Fecha de operación]]=$C$1,0,U168-V168)</f>
        <v>0.53635926422930424</v>
      </c>
      <c r="X168" s="512" t="str">
        <f t="shared" si="115"/>
        <v>Vigente</v>
      </c>
      <c r="Y168" s="498" t="s">
        <v>450</v>
      </c>
      <c r="Z168" s="469">
        <f t="shared" si="116"/>
        <v>297</v>
      </c>
      <c r="AA168" s="499">
        <f t="shared" si="114"/>
        <v>2.1457899104164175</v>
      </c>
      <c r="AB168" s="499">
        <f t="shared" si="114"/>
        <v>2.1080100478715678</v>
      </c>
      <c r="AC168" s="469" t="s">
        <v>451</v>
      </c>
      <c r="AD168" s="469" t="s">
        <v>454</v>
      </c>
      <c r="AF168" s="444">
        <f>+IF(Tabla33[[#This Row],[Amortización k | cupón de intereses]]="Amortización de K",Tabla33[[#This Row],[Valor Nominal]],0)</f>
        <v>0</v>
      </c>
      <c r="AG168" s="444">
        <f>+IF(AND(Tabla33[[#This Row],[Amortización k | cupón de intereses]]="Cupón de interés",Tabla33[[#This Row],[Estado]]="Vigente"),Tabla33[[#This Row],[Valor Nominal]],0)</f>
        <v>2991.7808</v>
      </c>
      <c r="AH168" s="444">
        <f>+IF(Tabla33[[#This Row],[Amortización k | cupón de intereses]]="Amortización de K",SUMIFS($AG$7:$AG$418,Tabla33[Código Emisión],Tabla33[[#This Row],[Código Emisión]],Tabla33[Fecha de operación],Tabla33[[#This Row],[Fecha de operación]]),0)-Tabla33[[#This Row],[Accrued]]*Tabla33[[#This Row],[Valor Nominal]]</f>
        <v>0</v>
      </c>
      <c r="AI168" s="444">
        <f>+IF(Tabla33[[#This Row],[Amortización k | cupón de intereses]]="Amortización de K",IF(Tabla33[[#This Row],[Precio Clean]]&gt;1,Tabla33[[#This Row],[Valor Nominal]]*(Tabla33[[#This Row],[Precio Clean]]-1),0),0)</f>
        <v>0</v>
      </c>
      <c r="AJ168" s="444">
        <f>+IF(Tabla33[[#This Row],[Amortización k | cupón de intereses]]="Amortización de K",IF(Tabla33[[#This Row],[Precio Clean]]&lt;1,Tabla33[[#This Row],[Valor Nominal]]*(Tabla33[[#This Row],[Precio Clean]]-1),0),0)</f>
        <v>0</v>
      </c>
    </row>
    <row r="169" spans="1:36">
      <c r="A169" s="502"/>
      <c r="B169" s="437" t="str">
        <f t="shared" si="112"/>
        <v>CECON SAE</v>
      </c>
      <c r="C169" s="437" t="str">
        <f t="shared" si="110"/>
        <v>PYCEC01F3409</v>
      </c>
      <c r="D169" s="437" t="str">
        <f t="shared" si="110"/>
        <v>Bonos Corporativos</v>
      </c>
      <c r="E169" s="437" t="str">
        <f t="shared" si="110"/>
        <v>AA-py</v>
      </c>
      <c r="F169" s="437" t="s">
        <v>297</v>
      </c>
      <c r="G169" s="437" t="s">
        <v>298</v>
      </c>
      <c r="H169" s="529">
        <f t="shared" si="113"/>
        <v>200</v>
      </c>
      <c r="I169" s="492">
        <v>14.958904</v>
      </c>
      <c r="J169" s="451"/>
      <c r="K169" s="450"/>
      <c r="L169" s="451"/>
      <c r="M169" s="493"/>
      <c r="N169" s="493"/>
      <c r="O169" s="494">
        <f t="shared" si="111"/>
        <v>7.1688202023506162E-2</v>
      </c>
      <c r="P169" s="494">
        <f t="shared" si="111"/>
        <v>6.9837824599981779E-2</v>
      </c>
      <c r="Q169" s="450">
        <f t="shared" si="111"/>
        <v>45888</v>
      </c>
      <c r="R169" s="450">
        <v>46227</v>
      </c>
      <c r="S169" s="509" t="s">
        <v>146</v>
      </c>
      <c r="T169" s="510">
        <f>Tabla33[[#This Row],[Cantidad]]*Tabla33[[#This Row],[Cortes]]</f>
        <v>2991.7808</v>
      </c>
      <c r="U169" s="511">
        <f t="shared" si="105"/>
        <v>2877.1309708284134</v>
      </c>
      <c r="V169" s="511">
        <f t="shared" si="106"/>
        <v>2876.5852729014728</v>
      </c>
      <c r="W169" s="497">
        <f>IF(Tabla33[[#This Row],[Fecha de operación]]=$C$1,0,U169-V169)</f>
        <v>0.54569792694064745</v>
      </c>
      <c r="X169" s="512" t="str">
        <f t="shared" si="115"/>
        <v>Vigente</v>
      </c>
      <c r="Y169" s="498" t="s">
        <v>450</v>
      </c>
      <c r="Z169" s="469">
        <f t="shared" si="116"/>
        <v>206</v>
      </c>
      <c r="AA169" s="499">
        <f t="shared" si="114"/>
        <v>2.1457899104164175</v>
      </c>
      <c r="AB169" s="499">
        <f t="shared" si="114"/>
        <v>2.1080100478715678</v>
      </c>
      <c r="AC169" s="469" t="s">
        <v>451</v>
      </c>
      <c r="AD169" s="469" t="s">
        <v>454</v>
      </c>
      <c r="AF169" s="444">
        <f>+IF(Tabla33[[#This Row],[Amortización k | cupón de intereses]]="Amortización de K",Tabla33[[#This Row],[Valor Nominal]],0)</f>
        <v>0</v>
      </c>
      <c r="AG169" s="444">
        <f>+IF(AND(Tabla33[[#This Row],[Amortización k | cupón de intereses]]="Cupón de interés",Tabla33[[#This Row],[Estado]]="Vigente"),Tabla33[[#This Row],[Valor Nominal]],0)</f>
        <v>2991.7808</v>
      </c>
      <c r="AH169" s="444">
        <f>+IF(Tabla33[[#This Row],[Amortización k | cupón de intereses]]="Amortización de K",SUMIFS($AG$7:$AG$418,Tabla33[Código Emisión],Tabla33[[#This Row],[Código Emisión]],Tabla33[Fecha de operación],Tabla33[[#This Row],[Fecha de operación]]),0)-Tabla33[[#This Row],[Accrued]]*Tabla33[[#This Row],[Valor Nominal]]</f>
        <v>0</v>
      </c>
      <c r="AI169" s="444">
        <f>+IF(Tabla33[[#This Row],[Amortización k | cupón de intereses]]="Amortización de K",IF(Tabla33[[#This Row],[Precio Clean]]&gt;1,Tabla33[[#This Row],[Valor Nominal]]*(Tabla33[[#This Row],[Precio Clean]]-1),0),0)</f>
        <v>0</v>
      </c>
      <c r="AJ169" s="444">
        <f>+IF(Tabla33[[#This Row],[Amortización k | cupón de intereses]]="Amortización de K",IF(Tabla33[[#This Row],[Precio Clean]]&lt;1,Tabla33[[#This Row],[Valor Nominal]]*(Tabla33[[#This Row],[Precio Clean]]-1),0),0)</f>
        <v>0</v>
      </c>
    </row>
    <row r="170" spans="1:36">
      <c r="A170" s="502"/>
      <c r="B170" s="437" t="str">
        <f t="shared" si="112"/>
        <v>CECON SAE</v>
      </c>
      <c r="C170" s="437" t="str">
        <f t="shared" si="110"/>
        <v>PYCEC01F3409</v>
      </c>
      <c r="D170" s="437" t="str">
        <f t="shared" si="110"/>
        <v>Bonos Corporativos</v>
      </c>
      <c r="E170" s="437" t="str">
        <f t="shared" si="110"/>
        <v>AA-py</v>
      </c>
      <c r="F170" s="437" t="s">
        <v>297</v>
      </c>
      <c r="G170" s="437" t="s">
        <v>298</v>
      </c>
      <c r="H170" s="529">
        <f t="shared" si="113"/>
        <v>200</v>
      </c>
      <c r="I170" s="492">
        <v>14.958904</v>
      </c>
      <c r="J170" s="451"/>
      <c r="K170" s="450"/>
      <c r="L170" s="451"/>
      <c r="M170" s="493"/>
      <c r="N170" s="493"/>
      <c r="O170" s="494">
        <f t="shared" si="111"/>
        <v>7.1688202023506162E-2</v>
      </c>
      <c r="P170" s="494">
        <f t="shared" si="111"/>
        <v>6.9837824599981779E-2</v>
      </c>
      <c r="Q170" s="450">
        <f t="shared" si="111"/>
        <v>45888</v>
      </c>
      <c r="R170" s="450">
        <v>46136</v>
      </c>
      <c r="S170" s="509" t="s">
        <v>146</v>
      </c>
      <c r="T170" s="510">
        <f>Tabla33[[#This Row],[Cantidad]]*Tabla33[[#This Row],[Cortes]]</f>
        <v>2991.7808</v>
      </c>
      <c r="U170" s="511">
        <f t="shared" si="105"/>
        <v>2927.2252965986595</v>
      </c>
      <c r="V170" s="511">
        <f t="shared" si="106"/>
        <v>2926.6700974116093</v>
      </c>
      <c r="W170" s="497">
        <f>IF(Tabla33[[#This Row],[Fecha de operación]]=$C$1,0,U170-V170)</f>
        <v>0.55519918705022064</v>
      </c>
      <c r="X170" s="512" t="str">
        <f t="shared" si="115"/>
        <v>Vigente</v>
      </c>
      <c r="Y170" s="498" t="s">
        <v>450</v>
      </c>
      <c r="Z170" s="469">
        <f t="shared" si="116"/>
        <v>115</v>
      </c>
      <c r="AA170" s="499">
        <f t="shared" si="114"/>
        <v>2.1457899104164175</v>
      </c>
      <c r="AB170" s="499">
        <f t="shared" si="114"/>
        <v>2.1080100478715678</v>
      </c>
      <c r="AC170" s="469" t="s">
        <v>451</v>
      </c>
      <c r="AD170" s="469" t="s">
        <v>454</v>
      </c>
      <c r="AF170" s="444">
        <f>+IF(Tabla33[[#This Row],[Amortización k | cupón de intereses]]="Amortización de K",Tabla33[[#This Row],[Valor Nominal]],0)</f>
        <v>0</v>
      </c>
      <c r="AG170" s="444">
        <f>+IF(AND(Tabla33[[#This Row],[Amortización k | cupón de intereses]]="Cupón de interés",Tabla33[[#This Row],[Estado]]="Vigente"),Tabla33[[#This Row],[Valor Nominal]],0)</f>
        <v>2991.7808</v>
      </c>
      <c r="AH170" s="444">
        <f>+IF(Tabla33[[#This Row],[Amortización k | cupón de intereses]]="Amortización de K",SUMIFS($AG$7:$AG$418,Tabla33[Código Emisión],Tabla33[[#This Row],[Código Emisión]],Tabla33[Fecha de operación],Tabla33[[#This Row],[Fecha de operación]]),0)-Tabla33[[#This Row],[Accrued]]*Tabla33[[#This Row],[Valor Nominal]]</f>
        <v>0</v>
      </c>
      <c r="AI170" s="444">
        <f>+IF(Tabla33[[#This Row],[Amortización k | cupón de intereses]]="Amortización de K",IF(Tabla33[[#This Row],[Precio Clean]]&gt;1,Tabla33[[#This Row],[Valor Nominal]]*(Tabla33[[#This Row],[Precio Clean]]-1),0),0)</f>
        <v>0</v>
      </c>
      <c r="AJ170" s="444">
        <f>+IF(Tabla33[[#This Row],[Amortización k | cupón de intereses]]="Amortización de K",IF(Tabla33[[#This Row],[Precio Clean]]&lt;1,Tabla33[[#This Row],[Valor Nominal]]*(Tabla33[[#This Row],[Precio Clean]]-1),0),0)</f>
        <v>0</v>
      </c>
    </row>
    <row r="171" spans="1:36">
      <c r="A171" s="502"/>
      <c r="B171" s="437" t="str">
        <f t="shared" si="112"/>
        <v>CECON SAE</v>
      </c>
      <c r="C171" s="437" t="str">
        <f t="shared" si="110"/>
        <v>PYCEC01F3409</v>
      </c>
      <c r="D171" s="437" t="str">
        <f t="shared" si="110"/>
        <v>Bonos Corporativos</v>
      </c>
      <c r="E171" s="437" t="str">
        <f t="shared" si="110"/>
        <v>AA-py</v>
      </c>
      <c r="F171" s="437" t="s">
        <v>297</v>
      </c>
      <c r="G171" s="437" t="s">
        <v>298</v>
      </c>
      <c r="H171" s="529">
        <f t="shared" si="113"/>
        <v>200</v>
      </c>
      <c r="I171" s="492">
        <v>14.958904</v>
      </c>
      <c r="J171" s="451"/>
      <c r="K171" s="450"/>
      <c r="L171" s="451"/>
      <c r="M171" s="493"/>
      <c r="N171" s="493"/>
      <c r="O171" s="494">
        <f t="shared" si="111"/>
        <v>7.1688202023506162E-2</v>
      </c>
      <c r="P171" s="494">
        <f t="shared" si="111"/>
        <v>6.9837824599981779E-2</v>
      </c>
      <c r="Q171" s="450">
        <f t="shared" si="111"/>
        <v>45888</v>
      </c>
      <c r="R171" s="450">
        <v>46045</v>
      </c>
      <c r="S171" s="509" t="s">
        <v>146</v>
      </c>
      <c r="T171" s="510">
        <f>Tabla33[[#This Row],[Cantidad]]*Tabla33[[#This Row],[Cortes]]</f>
        <v>2991.7808</v>
      </c>
      <c r="U171" s="511">
        <f t="shared" si="105"/>
        <v>2978.1918250944063</v>
      </c>
      <c r="V171" s="511">
        <f t="shared" si="106"/>
        <v>2977.6269592188296</v>
      </c>
      <c r="W171" s="497">
        <f>IF(Tabla33[[#This Row],[Fecha de operación]]=$C$1,0,U171-V171)</f>
        <v>0.56486587557674284</v>
      </c>
      <c r="X171" s="512" t="str">
        <f t="shared" si="115"/>
        <v>Vigente</v>
      </c>
      <c r="Y171" s="498" t="s">
        <v>450</v>
      </c>
      <c r="Z171" s="469">
        <f t="shared" si="116"/>
        <v>24</v>
      </c>
      <c r="AA171" s="499">
        <f t="shared" si="114"/>
        <v>2.1457899104164175</v>
      </c>
      <c r="AB171" s="499">
        <f t="shared" si="114"/>
        <v>2.1080100478715678</v>
      </c>
      <c r="AC171" s="469" t="s">
        <v>451</v>
      </c>
      <c r="AD171" s="469" t="s">
        <v>454</v>
      </c>
      <c r="AF171" s="444">
        <f>+IF(Tabla33[[#This Row],[Amortización k | cupón de intereses]]="Amortización de K",Tabla33[[#This Row],[Valor Nominal]],0)</f>
        <v>0</v>
      </c>
      <c r="AG171" s="444">
        <f>+IF(AND(Tabla33[[#This Row],[Amortización k | cupón de intereses]]="Cupón de interés",Tabla33[[#This Row],[Estado]]="Vigente"),Tabla33[[#This Row],[Valor Nominal]],0)</f>
        <v>2991.7808</v>
      </c>
      <c r="AH171" s="444">
        <f>+IF(Tabla33[[#This Row],[Amortización k | cupón de intereses]]="Amortización de K",SUMIFS($AG$7:$AG$418,Tabla33[Código Emisión],Tabla33[[#This Row],[Código Emisión]],Tabla33[Fecha de operación],Tabla33[[#This Row],[Fecha de operación]]),0)-Tabla33[[#This Row],[Accrued]]*Tabla33[[#This Row],[Valor Nominal]]</f>
        <v>0</v>
      </c>
      <c r="AI171" s="444">
        <f>+IF(Tabla33[[#This Row],[Amortización k | cupón de intereses]]="Amortización de K",IF(Tabla33[[#This Row],[Precio Clean]]&gt;1,Tabla33[[#This Row],[Valor Nominal]]*(Tabla33[[#This Row],[Precio Clean]]-1),0),0)</f>
        <v>0</v>
      </c>
      <c r="AJ171" s="444">
        <f>+IF(Tabla33[[#This Row],[Amortización k | cupón de intereses]]="Amortización de K",IF(Tabla33[[#This Row],[Precio Clean]]&lt;1,Tabla33[[#This Row],[Valor Nominal]]*(Tabla33[[#This Row],[Precio Clean]]-1),0),0)</f>
        <v>0</v>
      </c>
    </row>
    <row r="172" spans="1:36">
      <c r="A172" s="502"/>
      <c r="B172" s="437" t="str">
        <f t="shared" si="112"/>
        <v>CECON SAE</v>
      </c>
      <c r="C172" s="437" t="str">
        <f t="shared" si="110"/>
        <v>PYCEC01F3409</v>
      </c>
      <c r="D172" s="437" t="str">
        <f t="shared" si="110"/>
        <v>Bonos Corporativos</v>
      </c>
      <c r="E172" s="437" t="str">
        <f t="shared" si="110"/>
        <v>AA-py</v>
      </c>
      <c r="F172" s="437" t="s">
        <v>297</v>
      </c>
      <c r="G172" s="437" t="s">
        <v>298</v>
      </c>
      <c r="H172" s="529">
        <f t="shared" si="113"/>
        <v>200</v>
      </c>
      <c r="I172" s="492">
        <v>14.958904</v>
      </c>
      <c r="J172" s="451"/>
      <c r="K172" s="450"/>
      <c r="L172" s="451"/>
      <c r="M172" s="493"/>
      <c r="N172" s="493"/>
      <c r="O172" s="494">
        <f t="shared" si="111"/>
        <v>7.1688202023506162E-2</v>
      </c>
      <c r="P172" s="494">
        <f t="shared" si="111"/>
        <v>6.9837824599981779E-2</v>
      </c>
      <c r="Q172" s="450">
        <f t="shared" si="111"/>
        <v>45888</v>
      </c>
      <c r="R172" s="450">
        <v>45954</v>
      </c>
      <c r="S172" s="509" t="s">
        <v>146</v>
      </c>
      <c r="T172" s="510">
        <f>Tabla33[[#This Row],[Cantidad]]*Tabla33[[#This Row],[Cortes]]</f>
        <v>2991.7808</v>
      </c>
      <c r="U172" s="511" t="b">
        <f t="shared" si="105"/>
        <v>0</v>
      </c>
      <c r="V172" s="511" t="b">
        <f t="shared" si="106"/>
        <v>0</v>
      </c>
      <c r="W172" s="497">
        <f>IF(Tabla33[[#This Row],[Fecha de operación]]=$C$1,0,U172-V172)</f>
        <v>0</v>
      </c>
      <c r="X172" s="512" t="str">
        <f t="shared" si="115"/>
        <v>Vencido</v>
      </c>
      <c r="Y172" s="498" t="s">
        <v>450</v>
      </c>
      <c r="Z172" s="469">
        <f t="shared" si="116"/>
        <v>-67</v>
      </c>
      <c r="AA172" s="499">
        <f t="shared" si="114"/>
        <v>2.1457899104164175</v>
      </c>
      <c r="AB172" s="499">
        <f t="shared" si="114"/>
        <v>2.1080100478715678</v>
      </c>
      <c r="AC172" s="469" t="s">
        <v>451</v>
      </c>
      <c r="AD172" s="469" t="s">
        <v>454</v>
      </c>
      <c r="AF172" s="444">
        <f>+IF(Tabla33[[#This Row],[Amortización k | cupón de intereses]]="Amortización de K",Tabla33[[#This Row],[Valor Nominal]],0)</f>
        <v>0</v>
      </c>
      <c r="AG172" s="444">
        <f>+IF(AND(Tabla33[[#This Row],[Amortización k | cupón de intereses]]="Cupón de interés",Tabla33[[#This Row],[Estado]]="Vigente"),Tabla33[[#This Row],[Valor Nominal]],0)</f>
        <v>0</v>
      </c>
      <c r="AH172" s="444">
        <f>+IF(Tabla33[[#This Row],[Amortización k | cupón de intereses]]="Amortización de K",SUMIFS($AG$7:$AG$418,Tabla33[Código Emisión],Tabla33[[#This Row],[Código Emisión]],Tabla33[Fecha de operación],Tabla33[[#This Row],[Fecha de operación]]),0)-Tabla33[[#This Row],[Accrued]]*Tabla33[[#This Row],[Valor Nominal]]</f>
        <v>0</v>
      </c>
      <c r="AI172" s="444">
        <f>+IF(Tabla33[[#This Row],[Amortización k | cupón de intereses]]="Amortización de K",IF(Tabla33[[#This Row],[Precio Clean]]&gt;1,Tabla33[[#This Row],[Valor Nominal]]*(Tabla33[[#This Row],[Precio Clean]]-1),0),0)</f>
        <v>0</v>
      </c>
      <c r="AJ172" s="444">
        <f>+IF(Tabla33[[#This Row],[Amortización k | cupón de intereses]]="Amortización de K",IF(Tabla33[[#This Row],[Precio Clean]]&lt;1,Tabla33[[#This Row],[Valor Nominal]]*(Tabla33[[#This Row],[Precio Clean]]-1),0),0)</f>
        <v>0</v>
      </c>
    </row>
    <row r="173" spans="1:36" ht="15">
      <c r="A173" s="500">
        <f>+A161+1</f>
        <v>21</v>
      </c>
      <c r="B173" s="475" t="s">
        <v>485</v>
      </c>
      <c r="C173" s="475" t="s">
        <v>503</v>
      </c>
      <c r="D173" s="475" t="s">
        <v>453</v>
      </c>
      <c r="E173" s="475" t="s">
        <v>487</v>
      </c>
      <c r="F173" s="475" t="s">
        <v>297</v>
      </c>
      <c r="G173" s="475" t="s">
        <v>298</v>
      </c>
      <c r="H173" s="475">
        <v>1</v>
      </c>
      <c r="I173" s="477">
        <v>200000</v>
      </c>
      <c r="J173" s="478">
        <v>6.4500000000000002E-2</v>
      </c>
      <c r="K173" s="479">
        <f>_xlfn.MAXIFS(R:R,C:C,C173,AD:AD,"Cupón de interés",X:X,"Vencido")</f>
        <v>45922</v>
      </c>
      <c r="L173" s="478">
        <f>+Tabla33[[#This Row],[Tasa de Interés]]*($U$5-Tabla33[[#This Row],[Last coupon]])/365</f>
        <v>1.7494520547945206E-2</v>
      </c>
      <c r="M173" s="480">
        <f>+Tabla33[[#This Row],[Precio Dirty]]-Tabla33[[#This Row],[Accrued]]</f>
        <v>1.0014211348868878</v>
      </c>
      <c r="N173" s="481">
        <f>SUMIFS(U:U,C:C,C173,Q:Q,Q173)/SUMIFS(T:T,C:C,C173,Q:Q,Q173,AD:AD,"Amortización de K")</f>
        <v>1.0189156554348331</v>
      </c>
      <c r="O173" s="482">
        <v>6.4554068446159352E-2</v>
      </c>
      <c r="P173" s="482">
        <v>6.3544578171482513E-2</v>
      </c>
      <c r="Q173" s="484">
        <v>45889</v>
      </c>
      <c r="R173" s="484">
        <v>46651</v>
      </c>
      <c r="S173" s="504" t="s">
        <v>146</v>
      </c>
      <c r="T173" s="505">
        <f>Tabla33[[#This Row],[Cantidad]]*Tabla33[[#This Row],[Cortes]]</f>
        <v>200000</v>
      </c>
      <c r="U173" s="506">
        <f t="shared" si="105"/>
        <v>179530.30125392776</v>
      </c>
      <c r="V173" s="506">
        <f t="shared" si="106"/>
        <v>179499.53485792645</v>
      </c>
      <c r="W173" s="487">
        <f>IF(Tabla33[[#This Row],[Fecha de operación]]=$C$1,0,U173-V173)</f>
        <v>30.766396001301473</v>
      </c>
      <c r="X173" s="507" t="str">
        <f t="shared" si="115"/>
        <v>Vigente</v>
      </c>
      <c r="Y173" s="489" t="s">
        <v>450</v>
      </c>
      <c r="Z173" s="488">
        <f t="shared" si="116"/>
        <v>630</v>
      </c>
      <c r="AA173" s="508">
        <f t="shared" ref="AA173" si="117">IF(Y173="Mensual",DURATION($C$1,$C$1+Z173*12,J173/12,O173/12,1)/12,DURATION($C$1,R173,J173,O173,IF(Y173="Cupón cero",1,IF(Y173="Al vencimiento",1,IF(Y173="Anual",1,IF(Y173="Semestral",2,IF(Y173="Trimestral",4,"")))))))</f>
        <v>1.6438516684957898</v>
      </c>
      <c r="AB173" s="508">
        <f t="shared" ref="AB173" si="118">IF(Y173="Mensual",MDURATION($C$1,$C$1+Z173*12,J173/12,O173/12,1)/12,MDURATION($C$1,R173,J173,O173,IF(Y173="Cupón cero",1,IF(Y173="Al vencimiento",1,IF(Y173="Anual",1,IF(Y173="Semestral",2,IF(Y173="Trimestral",4,"")))))))</f>
        <v>1.6177436843636024</v>
      </c>
      <c r="AC173" s="488" t="s">
        <v>451</v>
      </c>
      <c r="AD173" s="488" t="s">
        <v>452</v>
      </c>
      <c r="AF173" s="444">
        <f>+IF(Tabla33[[#This Row],[Amortización k | cupón de intereses]]="Amortización de K",Tabla33[[#This Row],[Valor Nominal]],0)</f>
        <v>200000</v>
      </c>
      <c r="AG173" s="444">
        <f>+IF(AND(Tabla33[[#This Row],[Amortización k | cupón de intereses]]="Cupón de interés",Tabla33[[#This Row],[Estado]]="Vigente"),Tabla33[[#This Row],[Valor Nominal]],0)</f>
        <v>0</v>
      </c>
      <c r="AH173" s="444">
        <f>+IF(Tabla33[[#This Row],[Amortización k | cupón de intereses]]="Amortización de K",SUMIFS($AG$7:$AG$418,Tabla33[Código Emisión],Tabla33[[#This Row],[Código Emisión]],Tabla33[Fecha de operación],Tabla33[[#This Row],[Fecha de operación]]),0)-Tabla33[[#This Row],[Accrued]]*Tabla33[[#This Row],[Valor Nominal]]</f>
        <v>22265.725890410959</v>
      </c>
      <c r="AI173" s="444">
        <f>+IF(Tabla33[[#This Row],[Amortización k | cupón de intereses]]="Amortización de K",IF(Tabla33[[#This Row],[Precio Clean]]&gt;1,Tabla33[[#This Row],[Valor Nominal]]*(Tabla33[[#This Row],[Precio Clean]]-1),0),0)</f>
        <v>284.22697737755522</v>
      </c>
      <c r="AJ173" s="444">
        <f>+IF(Tabla33[[#This Row],[Amortización k | cupón de intereses]]="Amortización de K",IF(Tabla33[[#This Row],[Precio Clean]]&lt;1,Tabla33[[#This Row],[Valor Nominal]]*(Tabla33[[#This Row],[Precio Clean]]-1),0),0)</f>
        <v>0</v>
      </c>
    </row>
    <row r="174" spans="1:36">
      <c r="A174" s="502"/>
      <c r="B174" s="437" t="str">
        <f>+B173</f>
        <v>Banco Nacional de Fomento</v>
      </c>
      <c r="C174" s="437" t="str">
        <f t="shared" ref="C174:C179" si="119">+C173</f>
        <v>BNF_6,45%_210927_200K_BB1814-1820-2</v>
      </c>
      <c r="D174" s="437" t="s">
        <v>453</v>
      </c>
      <c r="E174" s="437" t="s">
        <v>487</v>
      </c>
      <c r="F174" s="437" t="s">
        <v>297</v>
      </c>
      <c r="G174" s="437" t="s">
        <v>298</v>
      </c>
      <c r="H174" s="437">
        <f>+H173</f>
        <v>1</v>
      </c>
      <c r="I174" s="492">
        <v>35.340000000000003</v>
      </c>
      <c r="J174" s="451"/>
      <c r="K174" s="450"/>
      <c r="L174" s="451"/>
      <c r="M174" s="493"/>
      <c r="N174" s="493"/>
      <c r="O174" s="494">
        <f t="shared" ref="O174:Q179" si="120">+O173</f>
        <v>6.4554068446159352E-2</v>
      </c>
      <c r="P174" s="494">
        <f t="shared" si="120"/>
        <v>6.3544578171482513E-2</v>
      </c>
      <c r="Q174" s="450">
        <f t="shared" si="120"/>
        <v>45889</v>
      </c>
      <c r="R174" s="450">
        <v>46651</v>
      </c>
      <c r="S174" s="509" t="s">
        <v>146</v>
      </c>
      <c r="T174" s="510">
        <f>Tabla33[[#This Row],[Cantidad]]*Tabla33[[#This Row],[Cortes]]</f>
        <v>35.340000000000003</v>
      </c>
      <c r="U174" s="511">
        <f t="shared" si="105"/>
        <v>31.723004231569035</v>
      </c>
      <c r="V174" s="511">
        <f t="shared" si="106"/>
        <v>31.717567809395607</v>
      </c>
      <c r="W174" s="497">
        <f>IF(Tabla33[[#This Row],[Fecha de operación]]=$C$1,0,U174-V174)</f>
        <v>5.4364221734282125E-3</v>
      </c>
      <c r="X174" s="512" t="str">
        <f t="shared" si="115"/>
        <v>Vigente</v>
      </c>
      <c r="Y174" s="498" t="s">
        <v>450</v>
      </c>
      <c r="Z174" s="469">
        <f t="shared" si="116"/>
        <v>630</v>
      </c>
      <c r="AA174" s="499">
        <f>+AA173</f>
        <v>1.6438516684957898</v>
      </c>
      <c r="AB174" s="499">
        <f>+AB173</f>
        <v>1.6177436843636024</v>
      </c>
      <c r="AC174" s="469" t="s">
        <v>451</v>
      </c>
      <c r="AD174" s="469" t="s">
        <v>454</v>
      </c>
      <c r="AF174" s="444">
        <f>+IF(Tabla33[[#This Row],[Amortización k | cupón de intereses]]="Amortización de K",Tabla33[[#This Row],[Valor Nominal]],0)</f>
        <v>0</v>
      </c>
      <c r="AG174" s="444">
        <f>+IF(AND(Tabla33[[#This Row],[Amortización k | cupón de intereses]]="Cupón de interés",Tabla33[[#This Row],[Estado]]="Vigente"),Tabla33[[#This Row],[Valor Nominal]],0)</f>
        <v>35.340000000000003</v>
      </c>
      <c r="AH174" s="444">
        <f>+IF(Tabla33[[#This Row],[Amortización k | cupón de intereses]]="Amortización de K",SUMIFS($AG$7:$AG$418,Tabla33[Código Emisión],Tabla33[[#This Row],[Código Emisión]],Tabla33[Fecha de operación],Tabla33[[#This Row],[Fecha de operación]]),0)-Tabla33[[#This Row],[Accrued]]*Tabla33[[#This Row],[Valor Nominal]]</f>
        <v>0</v>
      </c>
      <c r="AI174" s="444">
        <f>+IF(Tabla33[[#This Row],[Amortización k | cupón de intereses]]="Amortización de K",IF(Tabla33[[#This Row],[Precio Clean]]&gt;1,Tabla33[[#This Row],[Valor Nominal]]*(Tabla33[[#This Row],[Precio Clean]]-1),0),0)</f>
        <v>0</v>
      </c>
      <c r="AJ174" s="444">
        <f>+IF(Tabla33[[#This Row],[Amortización k | cupón de intereses]]="Amortización de K",IF(Tabla33[[#This Row],[Precio Clean]]&lt;1,Tabla33[[#This Row],[Valor Nominal]]*(Tabla33[[#This Row],[Precio Clean]]-1),0),0)</f>
        <v>0</v>
      </c>
    </row>
    <row r="175" spans="1:36">
      <c r="A175" s="502"/>
      <c r="B175" s="437" t="str">
        <f t="shared" ref="B175:B179" si="121">+B174</f>
        <v>Banco Nacional de Fomento</v>
      </c>
      <c r="C175" s="437" t="str">
        <f t="shared" si="119"/>
        <v>BNF_6,45%_210927_200K_BB1814-1820-2</v>
      </c>
      <c r="D175" s="437" t="s">
        <v>453</v>
      </c>
      <c r="E175" s="437" t="s">
        <v>487</v>
      </c>
      <c r="F175" s="437" t="s">
        <v>297</v>
      </c>
      <c r="G175" s="437" t="s">
        <v>298</v>
      </c>
      <c r="H175" s="437">
        <f t="shared" ref="H175:H179" si="122">+H174</f>
        <v>1</v>
      </c>
      <c r="I175" s="492">
        <v>6432.32</v>
      </c>
      <c r="J175" s="451"/>
      <c r="K175" s="450"/>
      <c r="L175" s="451"/>
      <c r="M175" s="493"/>
      <c r="N175" s="493"/>
      <c r="O175" s="494">
        <f t="shared" si="120"/>
        <v>6.4554068446159352E-2</v>
      </c>
      <c r="P175" s="494">
        <f t="shared" si="120"/>
        <v>6.3544578171482513E-2</v>
      </c>
      <c r="Q175" s="450">
        <f t="shared" si="120"/>
        <v>45889</v>
      </c>
      <c r="R175" s="450">
        <v>46650</v>
      </c>
      <c r="S175" s="509" t="s">
        <v>146</v>
      </c>
      <c r="T175" s="510">
        <f>Tabla33[[#This Row],[Cantidad]]*Tabla33[[#This Row],[Cortes]]</f>
        <v>6432.32</v>
      </c>
      <c r="U175" s="511">
        <f t="shared" si="105"/>
        <v>5774.9714029306297</v>
      </c>
      <c r="V175" s="511">
        <f t="shared" si="106"/>
        <v>5773.9817368083222</v>
      </c>
      <c r="W175" s="497">
        <f>IF(Tabla33[[#This Row],[Fecha de operación]]=$C$1,0,U175-V175)</f>
        <v>0.98966612230742612</v>
      </c>
      <c r="X175" s="512" t="str">
        <f t="shared" si="115"/>
        <v>Vigente</v>
      </c>
      <c r="Y175" s="498" t="s">
        <v>450</v>
      </c>
      <c r="Z175" s="469">
        <f t="shared" si="116"/>
        <v>629</v>
      </c>
      <c r="AA175" s="499">
        <f t="shared" ref="AA175:AA179" si="123">+AA174</f>
        <v>1.6438516684957898</v>
      </c>
      <c r="AB175" s="499">
        <f>+AB174</f>
        <v>1.6177436843636024</v>
      </c>
      <c r="AC175" s="469" t="s">
        <v>451</v>
      </c>
      <c r="AD175" s="469" t="s">
        <v>454</v>
      </c>
      <c r="AF175" s="444">
        <f>+IF(Tabla33[[#This Row],[Amortización k | cupón de intereses]]="Amortización de K",Tabla33[[#This Row],[Valor Nominal]],0)</f>
        <v>0</v>
      </c>
      <c r="AG175" s="444">
        <f>+IF(AND(Tabla33[[#This Row],[Amortización k | cupón de intereses]]="Cupón de interés",Tabla33[[#This Row],[Estado]]="Vigente"),Tabla33[[#This Row],[Valor Nominal]],0)</f>
        <v>6432.32</v>
      </c>
      <c r="AH175" s="444">
        <f>+IF(Tabla33[[#This Row],[Amortización k | cupón de intereses]]="Amortización de K",SUMIFS($AG$7:$AG$418,Tabla33[Código Emisión],Tabla33[[#This Row],[Código Emisión]],Tabla33[Fecha de operación],Tabla33[[#This Row],[Fecha de operación]]),0)-Tabla33[[#This Row],[Accrued]]*Tabla33[[#This Row],[Valor Nominal]]</f>
        <v>0</v>
      </c>
      <c r="AI175" s="444">
        <f>+IF(Tabla33[[#This Row],[Amortización k | cupón de intereses]]="Amortización de K",IF(Tabla33[[#This Row],[Precio Clean]]&gt;1,Tabla33[[#This Row],[Valor Nominal]]*(Tabla33[[#This Row],[Precio Clean]]-1),0),0)</f>
        <v>0</v>
      </c>
      <c r="AJ175" s="444">
        <f>+IF(Tabla33[[#This Row],[Amortización k | cupón de intereses]]="Amortización de K",IF(Tabla33[[#This Row],[Precio Clean]]&lt;1,Tabla33[[#This Row],[Valor Nominal]]*(Tabla33[[#This Row],[Precio Clean]]-1),0),0)</f>
        <v>0</v>
      </c>
    </row>
    <row r="176" spans="1:36">
      <c r="A176" s="502"/>
      <c r="B176" s="437" t="str">
        <f t="shared" si="121"/>
        <v>Banco Nacional de Fomento</v>
      </c>
      <c r="C176" s="437" t="str">
        <f t="shared" si="119"/>
        <v>BNF_6,45%_210927_200K_BB1814-1820-2</v>
      </c>
      <c r="D176" s="437" t="s">
        <v>453</v>
      </c>
      <c r="E176" s="437" t="s">
        <v>487</v>
      </c>
      <c r="F176" s="437" t="s">
        <v>297</v>
      </c>
      <c r="G176" s="437" t="s">
        <v>298</v>
      </c>
      <c r="H176" s="437">
        <f t="shared" si="122"/>
        <v>1</v>
      </c>
      <c r="I176" s="492">
        <v>6432.32</v>
      </c>
      <c r="J176" s="451"/>
      <c r="K176" s="450"/>
      <c r="L176" s="451"/>
      <c r="M176" s="493"/>
      <c r="N176" s="493"/>
      <c r="O176" s="494">
        <f t="shared" si="120"/>
        <v>6.4554068446159352E-2</v>
      </c>
      <c r="P176" s="494">
        <f t="shared" si="120"/>
        <v>6.3544578171482513E-2</v>
      </c>
      <c r="Q176" s="450">
        <f t="shared" si="120"/>
        <v>45889</v>
      </c>
      <c r="R176" s="450">
        <v>46468</v>
      </c>
      <c r="S176" s="509" t="s">
        <v>146</v>
      </c>
      <c r="T176" s="510">
        <f>Tabla33[[#This Row],[Cantidad]]*Tabla33[[#This Row],[Cortes]]</f>
        <v>6432.32</v>
      </c>
      <c r="U176" s="511">
        <f t="shared" si="105"/>
        <v>5957.9449202493552</v>
      </c>
      <c r="V176" s="511">
        <f t="shared" si="106"/>
        <v>5956.9238976615807</v>
      </c>
      <c r="W176" s="497">
        <f>IF(Tabla33[[#This Row],[Fecha de operación]]=$C$1,0,U176-V176)</f>
        <v>1.0210225877744961</v>
      </c>
      <c r="X176" s="512" t="str">
        <f t="shared" si="115"/>
        <v>Vigente</v>
      </c>
      <c r="Y176" s="498" t="s">
        <v>450</v>
      </c>
      <c r="Z176" s="469">
        <f t="shared" si="116"/>
        <v>447</v>
      </c>
      <c r="AA176" s="499">
        <f t="shared" si="123"/>
        <v>1.6438516684957898</v>
      </c>
      <c r="AB176" s="499">
        <f>+AB175</f>
        <v>1.6177436843636024</v>
      </c>
      <c r="AC176" s="469" t="s">
        <v>451</v>
      </c>
      <c r="AD176" s="469" t="s">
        <v>454</v>
      </c>
      <c r="AF176" s="444">
        <f>+IF(Tabla33[[#This Row],[Amortización k | cupón de intereses]]="Amortización de K",Tabla33[[#This Row],[Valor Nominal]],0)</f>
        <v>0</v>
      </c>
      <c r="AG176" s="444">
        <f>+IF(AND(Tabla33[[#This Row],[Amortización k | cupón de intereses]]="Cupón de interés",Tabla33[[#This Row],[Estado]]="Vigente"),Tabla33[[#This Row],[Valor Nominal]],0)</f>
        <v>6432.32</v>
      </c>
      <c r="AH176" s="444">
        <f>+IF(Tabla33[[#This Row],[Amortización k | cupón de intereses]]="Amortización de K",SUMIFS($AG$7:$AG$418,Tabla33[Código Emisión],Tabla33[[#This Row],[Código Emisión]],Tabla33[Fecha de operación],Tabla33[[#This Row],[Fecha de operación]]),0)-Tabla33[[#This Row],[Accrued]]*Tabla33[[#This Row],[Valor Nominal]]</f>
        <v>0</v>
      </c>
      <c r="AI176" s="444">
        <f>+IF(Tabla33[[#This Row],[Amortización k | cupón de intereses]]="Amortización de K",IF(Tabla33[[#This Row],[Precio Clean]]&gt;1,Tabla33[[#This Row],[Valor Nominal]]*(Tabla33[[#This Row],[Precio Clean]]-1),0),0)</f>
        <v>0</v>
      </c>
      <c r="AJ176" s="444">
        <f>+IF(Tabla33[[#This Row],[Amortización k | cupón de intereses]]="Amortización de K",IF(Tabla33[[#This Row],[Precio Clean]]&lt;1,Tabla33[[#This Row],[Valor Nominal]]*(Tabla33[[#This Row],[Precio Clean]]-1),0),0)</f>
        <v>0</v>
      </c>
    </row>
    <row r="177" spans="1:36">
      <c r="A177" s="502"/>
      <c r="B177" s="437" t="str">
        <f t="shared" si="121"/>
        <v>Banco Nacional de Fomento</v>
      </c>
      <c r="C177" s="437" t="str">
        <f t="shared" si="119"/>
        <v>BNF_6,45%_210927_200K_BB1814-1820-2</v>
      </c>
      <c r="D177" s="437" t="s">
        <v>453</v>
      </c>
      <c r="E177" s="437" t="s">
        <v>487</v>
      </c>
      <c r="F177" s="437" t="s">
        <v>297</v>
      </c>
      <c r="G177" s="437" t="s">
        <v>298</v>
      </c>
      <c r="H177" s="437">
        <f t="shared" si="122"/>
        <v>1</v>
      </c>
      <c r="I177" s="492">
        <v>6538.35</v>
      </c>
      <c r="J177" s="451"/>
      <c r="K177" s="450"/>
      <c r="L177" s="451"/>
      <c r="M177" s="493"/>
      <c r="N177" s="493"/>
      <c r="O177" s="494">
        <f t="shared" si="120"/>
        <v>6.4554068446159352E-2</v>
      </c>
      <c r="P177" s="494">
        <f t="shared" si="120"/>
        <v>6.3544578171482513E-2</v>
      </c>
      <c r="Q177" s="450">
        <f t="shared" si="120"/>
        <v>45889</v>
      </c>
      <c r="R177" s="450">
        <v>46286</v>
      </c>
      <c r="S177" s="509" t="s">
        <v>146</v>
      </c>
      <c r="T177" s="510">
        <f>Tabla33[[#This Row],[Cantidad]]*Tabla33[[#This Row],[Cortes]]</f>
        <v>6538.35</v>
      </c>
      <c r="U177" s="511">
        <f t="shared" si="105"/>
        <v>6248.0378646929066</v>
      </c>
      <c r="V177" s="511">
        <f t="shared" si="106"/>
        <v>6246.9671284114338</v>
      </c>
      <c r="W177" s="497">
        <f>IF(Tabla33[[#This Row],[Fecha de operación]]=$C$1,0,U177-V177)</f>
        <v>1.0707362814728185</v>
      </c>
      <c r="X177" s="512" t="str">
        <f t="shared" si="115"/>
        <v>Vigente</v>
      </c>
      <c r="Y177" s="498" t="s">
        <v>450</v>
      </c>
      <c r="Z177" s="469">
        <f t="shared" si="116"/>
        <v>265</v>
      </c>
      <c r="AA177" s="499">
        <f t="shared" si="123"/>
        <v>1.6438516684957898</v>
      </c>
      <c r="AB177" s="499">
        <f>+AB176</f>
        <v>1.6177436843636024</v>
      </c>
      <c r="AC177" s="469" t="s">
        <v>451</v>
      </c>
      <c r="AD177" s="469" t="s">
        <v>454</v>
      </c>
      <c r="AF177" s="444">
        <f>+IF(Tabla33[[#This Row],[Amortización k | cupón de intereses]]="Amortización de K",Tabla33[[#This Row],[Valor Nominal]],0)</f>
        <v>0</v>
      </c>
      <c r="AG177" s="444">
        <f>+IF(AND(Tabla33[[#This Row],[Amortización k | cupón de intereses]]="Cupón de interés",Tabla33[[#This Row],[Estado]]="Vigente"),Tabla33[[#This Row],[Valor Nominal]],0)</f>
        <v>6538.35</v>
      </c>
      <c r="AH177" s="444">
        <f>+IF(Tabla33[[#This Row],[Amortización k | cupón de intereses]]="Amortización de K",SUMIFS($AG$7:$AG$418,Tabla33[Código Emisión],Tabla33[[#This Row],[Código Emisión]],Tabla33[Fecha de operación],Tabla33[[#This Row],[Fecha de operación]]),0)-Tabla33[[#This Row],[Accrued]]*Tabla33[[#This Row],[Valor Nominal]]</f>
        <v>0</v>
      </c>
      <c r="AI177" s="444">
        <f>+IF(Tabla33[[#This Row],[Amortización k | cupón de intereses]]="Amortización de K",IF(Tabla33[[#This Row],[Precio Clean]]&gt;1,Tabla33[[#This Row],[Valor Nominal]]*(Tabla33[[#This Row],[Precio Clean]]-1),0),0)</f>
        <v>0</v>
      </c>
      <c r="AJ177" s="444">
        <f>+IF(Tabla33[[#This Row],[Amortización k | cupón de intereses]]="Amortización de K",IF(Tabla33[[#This Row],[Precio Clean]]&lt;1,Tabla33[[#This Row],[Valor Nominal]]*(Tabla33[[#This Row],[Precio Clean]]-1),0),0)</f>
        <v>0</v>
      </c>
    </row>
    <row r="178" spans="1:36">
      <c r="A178" s="502"/>
      <c r="B178" s="437" t="str">
        <f t="shared" si="121"/>
        <v>Banco Nacional de Fomento</v>
      </c>
      <c r="C178" s="437" t="str">
        <f t="shared" si="119"/>
        <v>BNF_6,45%_210927_200K_BB1814-1820-2</v>
      </c>
      <c r="D178" s="437" t="s">
        <v>453</v>
      </c>
      <c r="E178" s="437" t="s">
        <v>487</v>
      </c>
      <c r="F178" s="437" t="s">
        <v>297</v>
      </c>
      <c r="G178" s="437" t="s">
        <v>298</v>
      </c>
      <c r="H178" s="437">
        <f t="shared" si="122"/>
        <v>1</v>
      </c>
      <c r="I178" s="492">
        <v>6326.3</v>
      </c>
      <c r="J178" s="451"/>
      <c r="K178" s="450"/>
      <c r="L178" s="451"/>
      <c r="M178" s="493"/>
      <c r="N178" s="493"/>
      <c r="O178" s="494">
        <f t="shared" si="120"/>
        <v>6.4554068446159352E-2</v>
      </c>
      <c r="P178" s="494">
        <f t="shared" si="120"/>
        <v>6.3544578171482513E-2</v>
      </c>
      <c r="Q178" s="450">
        <f t="shared" si="120"/>
        <v>45889</v>
      </c>
      <c r="R178" s="450">
        <v>46101</v>
      </c>
      <c r="S178" s="509" t="s">
        <v>146</v>
      </c>
      <c r="T178" s="510">
        <f>Tabla33[[#This Row],[Cantidad]]*Tabla33[[#This Row],[Cortes]]</f>
        <v>6326.3</v>
      </c>
      <c r="U178" s="511">
        <f t="shared" si="105"/>
        <v>6240.1526409344033</v>
      </c>
      <c r="V178" s="511">
        <f t="shared" si="106"/>
        <v>6239.0832559563887</v>
      </c>
      <c r="W178" s="497">
        <f>IF(Tabla33[[#This Row],[Fecha de operación]]=$C$1,0,U178-V178)</f>
        <v>1.0693849780145683</v>
      </c>
      <c r="X178" s="512" t="str">
        <f t="shared" si="115"/>
        <v>Vigente</v>
      </c>
      <c r="Y178" s="498" t="s">
        <v>450</v>
      </c>
      <c r="Z178" s="469">
        <f t="shared" si="116"/>
        <v>80</v>
      </c>
      <c r="AA178" s="499">
        <f t="shared" si="123"/>
        <v>1.6438516684957898</v>
      </c>
      <c r="AB178" s="499">
        <f>+AB177</f>
        <v>1.6177436843636024</v>
      </c>
      <c r="AC178" s="469" t="s">
        <v>451</v>
      </c>
      <c r="AD178" s="469" t="s">
        <v>454</v>
      </c>
      <c r="AF178" s="444">
        <f>+IF(Tabla33[[#This Row],[Amortización k | cupón de intereses]]="Amortización de K",Tabla33[[#This Row],[Valor Nominal]],0)</f>
        <v>0</v>
      </c>
      <c r="AG178" s="444">
        <f>+IF(AND(Tabla33[[#This Row],[Amortización k | cupón de intereses]]="Cupón de interés",Tabla33[[#This Row],[Estado]]="Vigente"),Tabla33[[#This Row],[Valor Nominal]],0)</f>
        <v>6326.3</v>
      </c>
      <c r="AH178" s="444">
        <f>+IF(Tabla33[[#This Row],[Amortización k | cupón de intereses]]="Amortización de K",SUMIFS($AG$7:$AG$418,Tabla33[Código Emisión],Tabla33[[#This Row],[Código Emisión]],Tabla33[Fecha de operación],Tabla33[[#This Row],[Fecha de operación]]),0)-Tabla33[[#This Row],[Accrued]]*Tabla33[[#This Row],[Valor Nominal]]</f>
        <v>0</v>
      </c>
      <c r="AI178" s="444">
        <f>+IF(Tabla33[[#This Row],[Amortización k | cupón de intereses]]="Amortización de K",IF(Tabla33[[#This Row],[Precio Clean]]&gt;1,Tabla33[[#This Row],[Valor Nominal]]*(Tabla33[[#This Row],[Precio Clean]]-1),0),0)</f>
        <v>0</v>
      </c>
      <c r="AJ178" s="444">
        <f>+IF(Tabla33[[#This Row],[Amortización k | cupón de intereses]]="Amortización de K",IF(Tabla33[[#This Row],[Precio Clean]]&lt;1,Tabla33[[#This Row],[Valor Nominal]]*(Tabla33[[#This Row],[Precio Clean]]-1),0),0)</f>
        <v>0</v>
      </c>
    </row>
    <row r="179" spans="1:36">
      <c r="A179" s="502"/>
      <c r="B179" s="437" t="str">
        <f t="shared" si="121"/>
        <v>Banco Nacional de Fomento</v>
      </c>
      <c r="C179" s="437" t="str">
        <f t="shared" si="119"/>
        <v>BNF_6,45%_210927_200K_BB1814-1820-2</v>
      </c>
      <c r="D179" s="437" t="s">
        <v>453</v>
      </c>
      <c r="E179" s="437" t="s">
        <v>487</v>
      </c>
      <c r="F179" s="437" t="s">
        <v>297</v>
      </c>
      <c r="G179" s="437" t="s">
        <v>298</v>
      </c>
      <c r="H179" s="437">
        <f t="shared" si="122"/>
        <v>1</v>
      </c>
      <c r="I179" s="492">
        <v>6573.69</v>
      </c>
      <c r="J179" s="451"/>
      <c r="K179" s="450"/>
      <c r="L179" s="451"/>
      <c r="M179" s="493"/>
      <c r="N179" s="493"/>
      <c r="O179" s="494">
        <f t="shared" si="120"/>
        <v>6.4554068446159352E-2</v>
      </c>
      <c r="P179" s="494">
        <f t="shared" si="120"/>
        <v>6.3544578171482513E-2</v>
      </c>
      <c r="Q179" s="450">
        <f t="shared" si="120"/>
        <v>45889</v>
      </c>
      <c r="R179" s="450">
        <v>45922</v>
      </c>
      <c r="S179" s="509" t="s">
        <v>146</v>
      </c>
      <c r="T179" s="510">
        <f>Tabla33[[#This Row],[Cantidad]]*Tabla33[[#This Row],[Cortes]]</f>
        <v>6573.69</v>
      </c>
      <c r="U179" s="511" t="b">
        <f t="shared" si="105"/>
        <v>0</v>
      </c>
      <c r="V179" s="511" t="b">
        <f t="shared" si="106"/>
        <v>0</v>
      </c>
      <c r="W179" s="497">
        <f>IF(Tabla33[[#This Row],[Fecha de operación]]=$C$1,0,U179-V179)</f>
        <v>0</v>
      </c>
      <c r="X179" s="512" t="str">
        <f t="shared" si="115"/>
        <v>Vencido</v>
      </c>
      <c r="Y179" s="498" t="s">
        <v>450</v>
      </c>
      <c r="Z179" s="469">
        <f t="shared" si="116"/>
        <v>-99</v>
      </c>
      <c r="AA179" s="499">
        <f t="shared" si="123"/>
        <v>1.6438516684957898</v>
      </c>
      <c r="AB179" s="499">
        <f>+AB178</f>
        <v>1.6177436843636024</v>
      </c>
      <c r="AC179" s="469" t="s">
        <v>451</v>
      </c>
      <c r="AD179" s="469" t="s">
        <v>454</v>
      </c>
      <c r="AF179" s="444">
        <f>+IF(Tabla33[[#This Row],[Amortización k | cupón de intereses]]="Amortización de K",Tabla33[[#This Row],[Valor Nominal]],0)</f>
        <v>0</v>
      </c>
      <c r="AG179" s="444">
        <f>+IF(AND(Tabla33[[#This Row],[Amortización k | cupón de intereses]]="Cupón de interés",Tabla33[[#This Row],[Estado]]="Vigente"),Tabla33[[#This Row],[Valor Nominal]],0)</f>
        <v>0</v>
      </c>
      <c r="AH179" s="444">
        <f>+IF(Tabla33[[#This Row],[Amortización k | cupón de intereses]]="Amortización de K",SUMIFS($AG$7:$AG$418,Tabla33[Código Emisión],Tabla33[[#This Row],[Código Emisión]],Tabla33[Fecha de operación],Tabla33[[#This Row],[Fecha de operación]]),0)-Tabla33[[#This Row],[Accrued]]*Tabla33[[#This Row],[Valor Nominal]]</f>
        <v>0</v>
      </c>
      <c r="AI179" s="444">
        <f>+IF(Tabla33[[#This Row],[Amortización k | cupón de intereses]]="Amortización de K",IF(Tabla33[[#This Row],[Precio Clean]]&gt;1,Tabla33[[#This Row],[Valor Nominal]]*(Tabla33[[#This Row],[Precio Clean]]-1),0),0)</f>
        <v>0</v>
      </c>
      <c r="AJ179" s="444">
        <f>+IF(Tabla33[[#This Row],[Amortización k | cupón de intereses]]="Amortización de K",IF(Tabla33[[#This Row],[Precio Clean]]&lt;1,Tabla33[[#This Row],[Valor Nominal]]*(Tabla33[[#This Row],[Precio Clean]]-1),0),0)</f>
        <v>0</v>
      </c>
    </row>
    <row r="180" spans="1:36" ht="15">
      <c r="A180" s="500">
        <f>+A173+1</f>
        <v>22</v>
      </c>
      <c r="B180" s="475" t="s">
        <v>485</v>
      </c>
      <c r="C180" s="475" t="s">
        <v>486</v>
      </c>
      <c r="D180" s="475" t="s">
        <v>453</v>
      </c>
      <c r="E180" s="475" t="s">
        <v>487</v>
      </c>
      <c r="F180" s="475" t="s">
        <v>297</v>
      </c>
      <c r="G180" s="475" t="s">
        <v>298</v>
      </c>
      <c r="H180" s="475">
        <v>1</v>
      </c>
      <c r="I180" s="477">
        <v>200000</v>
      </c>
      <c r="J180" s="478">
        <v>6.4500000000000002E-2</v>
      </c>
      <c r="K180" s="479">
        <f>_xlfn.MAXIFS(R:R,C:C,C180,AD:AD,"Cupón de interés",X:X,"Vencido")</f>
        <v>45919</v>
      </c>
      <c r="L180" s="478">
        <f>+Tabla33[[#This Row],[Tasa de Interés]]*($U$5-Tabla33[[#This Row],[Last coupon]])/365</f>
        <v>1.8024657534246577E-2</v>
      </c>
      <c r="M180" s="480">
        <f>+Tabla33[[#This Row],[Precio Dirty]]-Tabla33[[#This Row],[Accrued]]</f>
        <v>1.0015574923250252</v>
      </c>
      <c r="N180" s="481">
        <f>SUMIFS(U:U,C:C,C180,Q:Q,Q180)/SUMIFS(T:T,C:C,C180,Q:Q,Q180,AD:AD,"Amortización de K")</f>
        <v>1.0195821498592719</v>
      </c>
      <c r="O180" s="482">
        <v>6.4459106326103202E-2</v>
      </c>
      <c r="P180" s="482">
        <v>6.3457801253336221E-2</v>
      </c>
      <c r="Q180" s="484">
        <v>45890</v>
      </c>
      <c r="R180" s="484">
        <v>46650</v>
      </c>
      <c r="S180" s="504" t="s">
        <v>146</v>
      </c>
      <c r="T180" s="510">
        <f>Tabla33[[#This Row],[Cantidad]]*Tabla33[[#This Row],[Cortes]]</f>
        <v>200000</v>
      </c>
      <c r="U180" s="511">
        <f t="shared" si="105"/>
        <v>179588.67904539447</v>
      </c>
      <c r="V180" s="511">
        <f t="shared" si="106"/>
        <v>179557.94652986072</v>
      </c>
      <c r="W180" s="497">
        <f>IF(Tabla33[[#This Row],[Fecha de operación]]=$C$1,0,U180-V180)</f>
        <v>30.732515533745755</v>
      </c>
      <c r="X180" s="507" t="str">
        <f t="shared" si="115"/>
        <v>Vigente</v>
      </c>
      <c r="Y180" s="489" t="s">
        <v>450</v>
      </c>
      <c r="Z180" s="488">
        <f t="shared" si="116"/>
        <v>629</v>
      </c>
      <c r="AA180" s="508">
        <f t="shared" ref="AA180" si="124">IF(Y180="Mensual",DURATION($C$1,$C$1+Z180*12,J180/12,O180/12,1)/12,DURATION($C$1,R180,J180,O180,IF(Y180="Cupón cero",1,IF(Y180="Al vencimiento",1,IF(Y180="Anual",1,IF(Y180="Semestral",2,IF(Y180="Trimestral",4,"")))))))</f>
        <v>1.6410815576037778</v>
      </c>
      <c r="AB180" s="508">
        <f t="shared" ref="AB180" si="125">IF(Y180="Mensual",MDURATION($C$1,$C$1+Z180*12,J180/12,O180/12,1)/12,MDURATION($C$1,R180,J180,O180,IF(Y180="Cupón cero",1,IF(Y180="Al vencimiento",1,IF(Y180="Anual",1,IF(Y180="Semestral",2,IF(Y180="Trimestral",4,"")))))))</f>
        <v>1.6150553022413501</v>
      </c>
      <c r="AC180" s="488" t="s">
        <v>451</v>
      </c>
      <c r="AD180" s="488" t="s">
        <v>452</v>
      </c>
      <c r="AF180" s="444">
        <f>+IF(Tabla33[[#This Row],[Amortización k | cupón de intereses]]="Amortización de K",Tabla33[[#This Row],[Valor Nominal]],0)</f>
        <v>200000</v>
      </c>
      <c r="AG180" s="444">
        <f>+IF(AND(Tabla33[[#This Row],[Amortización k | cupón de intereses]]="Cupón de interés",Tabla33[[#This Row],[Estado]]="Vigente"),Tabla33[[#This Row],[Valor Nominal]],0)</f>
        <v>0</v>
      </c>
      <c r="AH180" s="444">
        <f>+IF(Tabla33[[#This Row],[Amortización k | cupón de intereses]]="Amortización de K",SUMIFS($AG$7:$AG$418,Tabla33[Código Emisión],Tabla33[[#This Row],[Código Emisión]],Tabla33[Fecha de operación],Tabla33[[#This Row],[Fecha de operación]]),0)-Tabla33[[#This Row],[Accrued]]*Tabla33[[#This Row],[Valor Nominal]]</f>
        <v>22230.388493150684</v>
      </c>
      <c r="AI180" s="444">
        <f>+IF(Tabla33[[#This Row],[Amortización k | cupón de intereses]]="Amortización de K",IF(Tabla33[[#This Row],[Precio Clean]]&gt;1,Tabla33[[#This Row],[Valor Nominal]]*(Tabla33[[#This Row],[Precio Clean]]-1),0),0)</f>
        <v>311.49846500504452</v>
      </c>
      <c r="AJ180" s="444">
        <f>+IF(Tabla33[[#This Row],[Amortización k | cupón de intereses]]="Amortización de K",IF(Tabla33[[#This Row],[Precio Clean]]&lt;1,Tabla33[[#This Row],[Valor Nominal]]*(Tabla33[[#This Row],[Precio Clean]]-1),0),0)</f>
        <v>0</v>
      </c>
    </row>
    <row r="181" spans="1:36">
      <c r="A181" s="502"/>
      <c r="B181" s="437" t="str">
        <f>+B180</f>
        <v>Banco Nacional de Fomento</v>
      </c>
      <c r="C181" s="437" t="str">
        <f>+C180</f>
        <v>BNF_6,45%_200927_BB1790-1794_200K</v>
      </c>
      <c r="D181" s="437" t="s">
        <v>453</v>
      </c>
      <c r="E181" s="437" t="s">
        <v>487</v>
      </c>
      <c r="F181" s="437" t="s">
        <v>297</v>
      </c>
      <c r="G181" s="437" t="s">
        <v>298</v>
      </c>
      <c r="H181" s="437">
        <v>1</v>
      </c>
      <c r="I181" s="492">
        <v>6538.35</v>
      </c>
      <c r="J181" s="451"/>
      <c r="K181" s="450"/>
      <c r="L181" s="451"/>
      <c r="M181" s="493"/>
      <c r="N181" s="493"/>
      <c r="O181" s="494">
        <f t="shared" ref="O181:Q185" si="126">+O180</f>
        <v>6.4459106326103202E-2</v>
      </c>
      <c r="P181" s="494">
        <f t="shared" si="126"/>
        <v>6.3457801253336221E-2</v>
      </c>
      <c r="Q181" s="450">
        <f t="shared" si="126"/>
        <v>45890</v>
      </c>
      <c r="R181" s="450">
        <v>46650</v>
      </c>
      <c r="S181" s="509" t="s">
        <v>146</v>
      </c>
      <c r="T181" s="510">
        <f>Tabla33[[#This Row],[Cantidad]]*Tabla33[[#This Row],[Cortes]]</f>
        <v>6538.35</v>
      </c>
      <c r="U181" s="511">
        <f t="shared" si="105"/>
        <v>5871.0681981822754</v>
      </c>
      <c r="V181" s="511">
        <f t="shared" si="106"/>
        <v>5870.0634984675753</v>
      </c>
      <c r="W181" s="497">
        <f>IF(Tabla33[[#This Row],[Fecha de operación]]=$C$1,0,U181-V181)</f>
        <v>1.0046997147001093</v>
      </c>
      <c r="X181" s="512" t="str">
        <f t="shared" si="115"/>
        <v>Vigente</v>
      </c>
      <c r="Y181" s="498" t="s">
        <v>450</v>
      </c>
      <c r="Z181" s="469">
        <f t="shared" si="116"/>
        <v>629</v>
      </c>
      <c r="AA181" s="499">
        <f>+AA180</f>
        <v>1.6410815576037778</v>
      </c>
      <c r="AB181" s="499">
        <f>+AB180</f>
        <v>1.6150553022413501</v>
      </c>
      <c r="AC181" s="469" t="s">
        <v>451</v>
      </c>
      <c r="AD181" s="469" t="s">
        <v>454</v>
      </c>
      <c r="AF181" s="444">
        <f>+IF(Tabla33[[#This Row],[Amortización k | cupón de intereses]]="Amortización de K",Tabla33[[#This Row],[Valor Nominal]],0)</f>
        <v>0</v>
      </c>
      <c r="AG181" s="444">
        <f>+IF(AND(Tabla33[[#This Row],[Amortización k | cupón de intereses]]="Cupón de interés",Tabla33[[#This Row],[Estado]]="Vigente"),Tabla33[[#This Row],[Valor Nominal]],0)</f>
        <v>6538.35</v>
      </c>
      <c r="AH181" s="444">
        <f>+IF(Tabla33[[#This Row],[Amortización k | cupón de intereses]]="Amortización de K",SUMIFS($AG$7:$AG$418,Tabla33[Código Emisión],Tabla33[[#This Row],[Código Emisión]],Tabla33[Fecha de operación],Tabla33[[#This Row],[Fecha de operación]]),0)-Tabla33[[#This Row],[Accrued]]*Tabla33[[#This Row],[Valor Nominal]]</f>
        <v>0</v>
      </c>
      <c r="AI181" s="444">
        <f>+IF(Tabla33[[#This Row],[Amortización k | cupón de intereses]]="Amortización de K",IF(Tabla33[[#This Row],[Precio Clean]]&gt;1,Tabla33[[#This Row],[Valor Nominal]]*(Tabla33[[#This Row],[Precio Clean]]-1),0),0)</f>
        <v>0</v>
      </c>
      <c r="AJ181" s="444">
        <f>+IF(Tabla33[[#This Row],[Amortización k | cupón de intereses]]="Amortización de K",IF(Tabla33[[#This Row],[Precio Clean]]&lt;1,Tabla33[[#This Row],[Valor Nominal]]*(Tabla33[[#This Row],[Precio Clean]]-1),0),0)</f>
        <v>0</v>
      </c>
    </row>
    <row r="182" spans="1:36">
      <c r="A182" s="502"/>
      <c r="B182" s="437" t="str">
        <f t="shared" ref="B182:B185" si="127">+B181</f>
        <v>Banco Nacional de Fomento</v>
      </c>
      <c r="C182" s="437" t="str">
        <f>+C181</f>
        <v>BNF_6,45%_200927_BB1790-1794_200K</v>
      </c>
      <c r="D182" s="437" t="s">
        <v>453</v>
      </c>
      <c r="E182" s="437" t="s">
        <v>487</v>
      </c>
      <c r="F182" s="437" t="s">
        <v>297</v>
      </c>
      <c r="G182" s="437" t="s">
        <v>298</v>
      </c>
      <c r="H182" s="437">
        <v>1</v>
      </c>
      <c r="I182" s="492">
        <v>6326.3</v>
      </c>
      <c r="J182" s="451"/>
      <c r="K182" s="450"/>
      <c r="L182" s="451"/>
      <c r="M182" s="493"/>
      <c r="N182" s="493"/>
      <c r="O182" s="494">
        <f t="shared" si="126"/>
        <v>6.4459106326103202E-2</v>
      </c>
      <c r="P182" s="494">
        <f t="shared" si="126"/>
        <v>6.3457801253336221E-2</v>
      </c>
      <c r="Q182" s="450">
        <f t="shared" si="126"/>
        <v>45890</v>
      </c>
      <c r="R182" s="450">
        <v>46465</v>
      </c>
      <c r="S182" s="509" t="s">
        <v>146</v>
      </c>
      <c r="T182" s="510">
        <f>Tabla33[[#This Row],[Cantidad]]*Tabla33[[#This Row],[Cortes]]</f>
        <v>6326.3</v>
      </c>
      <c r="U182" s="511">
        <f t="shared" si="105"/>
        <v>5863.3936038631227</v>
      </c>
      <c r="V182" s="511">
        <f t="shared" si="106"/>
        <v>5862.3902174805899</v>
      </c>
      <c r="W182" s="497">
        <f>IF(Tabla33[[#This Row],[Fecha de operación]]=$C$1,0,U182-V182)</f>
        <v>1.0033863825328808</v>
      </c>
      <c r="X182" s="512" t="str">
        <f t="shared" si="115"/>
        <v>Vigente</v>
      </c>
      <c r="Y182" s="498" t="s">
        <v>450</v>
      </c>
      <c r="Z182" s="469">
        <f t="shared" si="116"/>
        <v>444</v>
      </c>
      <c r="AA182" s="499">
        <f t="shared" ref="AA182:AA185" si="128">+AA181</f>
        <v>1.6410815576037778</v>
      </c>
      <c r="AB182" s="499">
        <f>+AB181</f>
        <v>1.6150553022413501</v>
      </c>
      <c r="AC182" s="469" t="s">
        <v>451</v>
      </c>
      <c r="AD182" s="469" t="s">
        <v>454</v>
      </c>
      <c r="AF182" s="444">
        <f>+IF(Tabla33[[#This Row],[Amortización k | cupón de intereses]]="Amortización de K",Tabla33[[#This Row],[Valor Nominal]],0)</f>
        <v>0</v>
      </c>
      <c r="AG182" s="444">
        <f>+IF(AND(Tabla33[[#This Row],[Amortización k | cupón de intereses]]="Cupón de interés",Tabla33[[#This Row],[Estado]]="Vigente"),Tabla33[[#This Row],[Valor Nominal]],0)</f>
        <v>6326.3</v>
      </c>
      <c r="AH182" s="444">
        <f>+IF(Tabla33[[#This Row],[Amortización k | cupón de intereses]]="Amortización de K",SUMIFS($AG$7:$AG$418,Tabla33[Código Emisión],Tabla33[[#This Row],[Código Emisión]],Tabla33[Fecha de operación],Tabla33[[#This Row],[Fecha de operación]]),0)-Tabla33[[#This Row],[Accrued]]*Tabla33[[#This Row],[Valor Nominal]]</f>
        <v>0</v>
      </c>
      <c r="AI182" s="444">
        <f>+IF(Tabla33[[#This Row],[Amortización k | cupón de intereses]]="Amortización de K",IF(Tabla33[[#This Row],[Precio Clean]]&gt;1,Tabla33[[#This Row],[Valor Nominal]]*(Tabla33[[#This Row],[Precio Clean]]-1),0),0)</f>
        <v>0</v>
      </c>
      <c r="AJ182" s="444">
        <f>+IF(Tabla33[[#This Row],[Amortización k | cupón de intereses]]="Amortización de K",IF(Tabla33[[#This Row],[Precio Clean]]&lt;1,Tabla33[[#This Row],[Valor Nominal]]*(Tabla33[[#This Row],[Precio Clean]]-1),0),0)</f>
        <v>0</v>
      </c>
    </row>
    <row r="183" spans="1:36">
      <c r="A183" s="502"/>
      <c r="B183" s="437" t="str">
        <f t="shared" si="127"/>
        <v>Banco Nacional de Fomento</v>
      </c>
      <c r="C183" s="437" t="str">
        <f>+C182</f>
        <v>BNF_6,45%_200927_BB1790-1794_200K</v>
      </c>
      <c r="D183" s="437" t="s">
        <v>453</v>
      </c>
      <c r="E183" s="437" t="s">
        <v>487</v>
      </c>
      <c r="F183" s="437" t="s">
        <v>297</v>
      </c>
      <c r="G183" s="437" t="s">
        <v>298</v>
      </c>
      <c r="H183" s="437">
        <v>1</v>
      </c>
      <c r="I183" s="492">
        <v>6573.69</v>
      </c>
      <c r="J183" s="451"/>
      <c r="K183" s="450"/>
      <c r="L183" s="451"/>
      <c r="M183" s="493"/>
      <c r="N183" s="493"/>
      <c r="O183" s="494">
        <f t="shared" si="126"/>
        <v>6.4459106326103202E-2</v>
      </c>
      <c r="P183" s="494">
        <f t="shared" si="126"/>
        <v>6.3457801253336221E-2</v>
      </c>
      <c r="Q183" s="450">
        <f t="shared" si="126"/>
        <v>45890</v>
      </c>
      <c r="R183" s="450">
        <v>46286</v>
      </c>
      <c r="S183" s="509" t="s">
        <v>146</v>
      </c>
      <c r="T183" s="510">
        <f>Tabla33[[#This Row],[Cantidad]]*Tabla33[[#This Row],[Cortes]]</f>
        <v>6573.69</v>
      </c>
      <c r="U183" s="511">
        <f t="shared" si="105"/>
        <v>6282.2155861884403</v>
      </c>
      <c r="V183" s="511">
        <f t="shared" si="106"/>
        <v>6281.1405279547307</v>
      </c>
      <c r="W183" s="497">
        <f>IF(Tabla33[[#This Row],[Fecha de operación]]=$C$1,0,U183-V183)</f>
        <v>1.0750582337095693</v>
      </c>
      <c r="X183" s="512" t="str">
        <f t="shared" si="115"/>
        <v>Vigente</v>
      </c>
      <c r="Y183" s="498" t="s">
        <v>450</v>
      </c>
      <c r="Z183" s="469">
        <f t="shared" si="116"/>
        <v>265</v>
      </c>
      <c r="AA183" s="499">
        <f t="shared" si="128"/>
        <v>1.6410815576037778</v>
      </c>
      <c r="AB183" s="499">
        <f>+AB182</f>
        <v>1.6150553022413501</v>
      </c>
      <c r="AC183" s="469" t="s">
        <v>451</v>
      </c>
      <c r="AD183" s="469" t="s">
        <v>454</v>
      </c>
      <c r="AF183" s="444">
        <f>+IF(Tabla33[[#This Row],[Amortización k | cupón de intereses]]="Amortización de K",Tabla33[[#This Row],[Valor Nominal]],0)</f>
        <v>0</v>
      </c>
      <c r="AG183" s="444">
        <f>+IF(AND(Tabla33[[#This Row],[Amortización k | cupón de intereses]]="Cupón de interés",Tabla33[[#This Row],[Estado]]="Vigente"),Tabla33[[#This Row],[Valor Nominal]],0)</f>
        <v>6573.69</v>
      </c>
      <c r="AH183" s="444">
        <f>+IF(Tabla33[[#This Row],[Amortización k | cupón de intereses]]="Amortización de K",SUMIFS($AG$7:$AG$418,Tabla33[Código Emisión],Tabla33[[#This Row],[Código Emisión]],Tabla33[Fecha de operación],Tabla33[[#This Row],[Fecha de operación]]),0)-Tabla33[[#This Row],[Accrued]]*Tabla33[[#This Row],[Valor Nominal]]</f>
        <v>0</v>
      </c>
      <c r="AI183" s="444">
        <f>+IF(Tabla33[[#This Row],[Amortización k | cupón de intereses]]="Amortización de K",IF(Tabla33[[#This Row],[Precio Clean]]&gt;1,Tabla33[[#This Row],[Valor Nominal]]*(Tabla33[[#This Row],[Precio Clean]]-1),0),0)</f>
        <v>0</v>
      </c>
      <c r="AJ183" s="444">
        <f>+IF(Tabla33[[#This Row],[Amortización k | cupón de intereses]]="Amortización de K",IF(Tabla33[[#This Row],[Precio Clean]]&lt;1,Tabla33[[#This Row],[Valor Nominal]]*(Tabla33[[#This Row],[Precio Clean]]-1),0),0)</f>
        <v>0</v>
      </c>
    </row>
    <row r="184" spans="1:36">
      <c r="A184" s="502"/>
      <c r="B184" s="437" t="str">
        <f t="shared" si="127"/>
        <v>Banco Nacional de Fomento</v>
      </c>
      <c r="C184" s="437" t="str">
        <f>+C183</f>
        <v>BNF_6,45%_200927_BB1790-1794_200K</v>
      </c>
      <c r="D184" s="437" t="s">
        <v>453</v>
      </c>
      <c r="E184" s="437" t="s">
        <v>487</v>
      </c>
      <c r="F184" s="437" t="s">
        <v>297</v>
      </c>
      <c r="G184" s="437" t="s">
        <v>298</v>
      </c>
      <c r="H184" s="437">
        <v>1</v>
      </c>
      <c r="I184" s="492">
        <v>6396.98</v>
      </c>
      <c r="J184" s="451"/>
      <c r="K184" s="450"/>
      <c r="L184" s="451"/>
      <c r="M184" s="493"/>
      <c r="N184" s="493"/>
      <c r="O184" s="494">
        <f t="shared" si="126"/>
        <v>6.4459106326103202E-2</v>
      </c>
      <c r="P184" s="494">
        <f t="shared" si="126"/>
        <v>6.3457801253336221E-2</v>
      </c>
      <c r="Q184" s="450">
        <f t="shared" si="126"/>
        <v>45890</v>
      </c>
      <c r="R184" s="450">
        <v>46100</v>
      </c>
      <c r="S184" s="509" t="s">
        <v>146</v>
      </c>
      <c r="T184" s="510">
        <f>Tabla33[[#This Row],[Cantidad]]*Tabla33[[#This Row],[Cortes]]</f>
        <v>6396.98</v>
      </c>
      <c r="U184" s="511">
        <f t="shared" si="105"/>
        <v>6311.0735382260364</v>
      </c>
      <c r="V184" s="511">
        <f t="shared" si="106"/>
        <v>6309.9935416105527</v>
      </c>
      <c r="W184" s="497">
        <f>IF(Tabla33[[#This Row],[Fecha de operación]]=$C$1,0,U184-V184)</f>
        <v>1.0799966154836511</v>
      </c>
      <c r="X184" s="512" t="str">
        <f t="shared" si="115"/>
        <v>Vigente</v>
      </c>
      <c r="Y184" s="498" t="s">
        <v>450</v>
      </c>
      <c r="Z184" s="469">
        <f t="shared" si="116"/>
        <v>79</v>
      </c>
      <c r="AA184" s="499">
        <f t="shared" si="128"/>
        <v>1.6410815576037778</v>
      </c>
      <c r="AB184" s="499">
        <f>+AB183</f>
        <v>1.6150553022413501</v>
      </c>
      <c r="AC184" s="469" t="s">
        <v>451</v>
      </c>
      <c r="AD184" s="469" t="s">
        <v>454</v>
      </c>
      <c r="AF184" s="444">
        <f>+IF(Tabla33[[#This Row],[Amortización k | cupón de intereses]]="Amortización de K",Tabla33[[#This Row],[Valor Nominal]],0)</f>
        <v>0</v>
      </c>
      <c r="AG184" s="444">
        <f>+IF(AND(Tabla33[[#This Row],[Amortización k | cupón de intereses]]="Cupón de interés",Tabla33[[#This Row],[Estado]]="Vigente"),Tabla33[[#This Row],[Valor Nominal]],0)</f>
        <v>6396.98</v>
      </c>
      <c r="AH184" s="444">
        <f>+IF(Tabla33[[#This Row],[Amortización k | cupón de intereses]]="Amortización de K",SUMIFS($AG$7:$AG$418,Tabla33[Código Emisión],Tabla33[[#This Row],[Código Emisión]],Tabla33[Fecha de operación],Tabla33[[#This Row],[Fecha de operación]]),0)-Tabla33[[#This Row],[Accrued]]*Tabla33[[#This Row],[Valor Nominal]]</f>
        <v>0</v>
      </c>
      <c r="AI184" s="444">
        <f>+IF(Tabla33[[#This Row],[Amortización k | cupón de intereses]]="Amortización de K",IF(Tabla33[[#This Row],[Precio Clean]]&gt;1,Tabla33[[#This Row],[Valor Nominal]]*(Tabla33[[#This Row],[Precio Clean]]-1),0),0)</f>
        <v>0</v>
      </c>
      <c r="AJ184" s="444">
        <f>+IF(Tabla33[[#This Row],[Amortización k | cupón de intereses]]="Amortización de K",IF(Tabla33[[#This Row],[Precio Clean]]&lt;1,Tabla33[[#This Row],[Valor Nominal]]*(Tabla33[[#This Row],[Precio Clean]]-1),0),0)</f>
        <v>0</v>
      </c>
    </row>
    <row r="185" spans="1:36">
      <c r="A185" s="502"/>
      <c r="B185" s="437" t="str">
        <f t="shared" si="127"/>
        <v>Banco Nacional de Fomento</v>
      </c>
      <c r="C185" s="437" t="str">
        <f>+C184</f>
        <v>BNF_6,45%_200927_BB1790-1794_200K</v>
      </c>
      <c r="D185" s="437" t="s">
        <v>453</v>
      </c>
      <c r="E185" s="437" t="s">
        <v>487</v>
      </c>
      <c r="F185" s="437" t="s">
        <v>297</v>
      </c>
      <c r="G185" s="437" t="s">
        <v>298</v>
      </c>
      <c r="H185" s="437">
        <v>1</v>
      </c>
      <c r="I185" s="492">
        <v>6503.01</v>
      </c>
      <c r="J185" s="451"/>
      <c r="K185" s="450"/>
      <c r="L185" s="451"/>
      <c r="M185" s="493"/>
      <c r="N185" s="493"/>
      <c r="O185" s="494">
        <f t="shared" si="126"/>
        <v>6.4459106326103202E-2</v>
      </c>
      <c r="P185" s="494">
        <f t="shared" si="126"/>
        <v>6.3457801253336221E-2</v>
      </c>
      <c r="Q185" s="450">
        <f t="shared" si="126"/>
        <v>45890</v>
      </c>
      <c r="R185" s="450">
        <v>45919</v>
      </c>
      <c r="S185" s="509" t="s">
        <v>146</v>
      </c>
      <c r="T185" s="510">
        <f>Tabla33[[#This Row],[Cantidad]]*Tabla33[[#This Row],[Cortes]]</f>
        <v>6503.01</v>
      </c>
      <c r="U185" s="511" t="b">
        <f t="shared" si="105"/>
        <v>0</v>
      </c>
      <c r="V185" s="511" t="b">
        <f t="shared" si="106"/>
        <v>0</v>
      </c>
      <c r="W185" s="497">
        <f>IF(Tabla33[[#This Row],[Fecha de operación]]=$C$1,0,U185-V185)</f>
        <v>0</v>
      </c>
      <c r="X185" s="512" t="str">
        <f t="shared" si="115"/>
        <v>Vencido</v>
      </c>
      <c r="Y185" s="498" t="s">
        <v>450</v>
      </c>
      <c r="Z185" s="469">
        <f t="shared" si="116"/>
        <v>-102</v>
      </c>
      <c r="AA185" s="499">
        <f t="shared" si="128"/>
        <v>1.6410815576037778</v>
      </c>
      <c r="AB185" s="499">
        <f>+AB184</f>
        <v>1.6150553022413501</v>
      </c>
      <c r="AC185" s="469" t="s">
        <v>451</v>
      </c>
      <c r="AD185" s="469" t="s">
        <v>454</v>
      </c>
      <c r="AF185" s="444">
        <f>+IF(Tabla33[[#This Row],[Amortización k | cupón de intereses]]="Amortización de K",Tabla33[[#This Row],[Valor Nominal]],0)</f>
        <v>0</v>
      </c>
      <c r="AG185" s="444">
        <f>+IF(AND(Tabla33[[#This Row],[Amortización k | cupón de intereses]]="Cupón de interés",Tabla33[[#This Row],[Estado]]="Vigente"),Tabla33[[#This Row],[Valor Nominal]],0)</f>
        <v>0</v>
      </c>
      <c r="AH185" s="444">
        <f>+IF(Tabla33[[#This Row],[Amortización k | cupón de intereses]]="Amortización de K",SUMIFS($AG$7:$AG$418,Tabla33[Código Emisión],Tabla33[[#This Row],[Código Emisión]],Tabla33[Fecha de operación],Tabla33[[#This Row],[Fecha de operación]]),0)-Tabla33[[#This Row],[Accrued]]*Tabla33[[#This Row],[Valor Nominal]]</f>
        <v>0</v>
      </c>
      <c r="AI185" s="444">
        <f>+IF(Tabla33[[#This Row],[Amortización k | cupón de intereses]]="Amortización de K",IF(Tabla33[[#This Row],[Precio Clean]]&gt;1,Tabla33[[#This Row],[Valor Nominal]]*(Tabla33[[#This Row],[Precio Clean]]-1),0),0)</f>
        <v>0</v>
      </c>
      <c r="AJ185" s="444">
        <f>+IF(Tabla33[[#This Row],[Amortización k | cupón de intereses]]="Amortización de K",IF(Tabla33[[#This Row],[Precio Clean]]&lt;1,Tabla33[[#This Row],[Valor Nominal]]*(Tabla33[[#This Row],[Precio Clean]]-1),0),0)</f>
        <v>0</v>
      </c>
    </row>
    <row r="186" spans="1:36" ht="15">
      <c r="A186" s="500">
        <f>+A180+1</f>
        <v>23</v>
      </c>
      <c r="B186" s="475" t="s">
        <v>485</v>
      </c>
      <c r="C186" s="475" t="s">
        <v>514</v>
      </c>
      <c r="D186" s="475" t="s">
        <v>453</v>
      </c>
      <c r="E186" s="475" t="s">
        <v>487</v>
      </c>
      <c r="F186" s="475" t="s">
        <v>297</v>
      </c>
      <c r="G186" s="475" t="s">
        <v>298</v>
      </c>
      <c r="H186" s="515">
        <f>10-1</f>
        <v>9</v>
      </c>
      <c r="I186" s="477">
        <v>100000</v>
      </c>
      <c r="J186" s="478">
        <v>6.5000000000000002E-2</v>
      </c>
      <c r="K186" s="479">
        <f>_xlfn.MAXIFS(R:R,C:C,C186,AD:AD,"Cupón de interés",X:X,"Vencido")</f>
        <v>45989</v>
      </c>
      <c r="L186" s="478">
        <f>+Tabla33[[#This Row],[Tasa de Interés]]*($U$5-Tabla33[[#This Row],[Last coupon]])/365</f>
        <v>5.6986301369863013E-3</v>
      </c>
      <c r="M186" s="480">
        <f>+Tabla33[[#This Row],[Precio Dirty]]-Tabla33[[#This Row],[Accrued]]</f>
        <v>1.001143049068532</v>
      </c>
      <c r="N186" s="481">
        <f>SUMIFS(U:U,C:C,C186,Q:Q,Q186)/SUMIFS(T:T,C:C,C186,Q:Q,Q186,AD:AD,"Amortización de K")</f>
        <v>1.0068416792055184</v>
      </c>
      <c r="O186" s="482">
        <v>6.6095194220542886E-2</v>
      </c>
      <c r="P186" s="482">
        <v>6.4517406068218541E-2</v>
      </c>
      <c r="Q186" s="484">
        <v>45903</v>
      </c>
      <c r="R186" s="484">
        <v>46994</v>
      </c>
      <c r="S186" s="504" t="s">
        <v>146</v>
      </c>
      <c r="T186" s="505">
        <f>Tabla33[[#This Row],[Cantidad]]*Tabla33[[#This Row],[Cortes]]</f>
        <v>900000</v>
      </c>
      <c r="U186" s="506">
        <f t="shared" si="105"/>
        <v>758831.35128691955</v>
      </c>
      <c r="V186" s="506">
        <f t="shared" si="106"/>
        <v>758698.30214066955</v>
      </c>
      <c r="W186" s="487">
        <f>IF(Tabla33[[#This Row],[Fecha de operación]]=$C$1,0,U186-V186)</f>
        <v>133.04914625000674</v>
      </c>
      <c r="X186" s="507" t="str">
        <f t="shared" si="115"/>
        <v>Vigente</v>
      </c>
      <c r="Y186" s="489" t="s">
        <v>450</v>
      </c>
      <c r="Z186" s="488">
        <f t="shared" si="116"/>
        <v>973</v>
      </c>
      <c r="AA186" s="508">
        <f t="shared" ref="AA186" si="129">IF(Y186="Mensual",DURATION($C$1,$C$1+Z186*12,J186/12,O186/12,1)/12,DURATION($C$1,R186,J186,O186,IF(Y186="Cupón cero",1,IF(Y186="Al vencimiento",1,IF(Y186="Anual",1,IF(Y186="Semestral",2,IF(Y186="Trimestral",4,"")))))))</f>
        <v>2.4538876674227628</v>
      </c>
      <c r="AB186" s="508">
        <f t="shared" ref="AB186" si="130">IF(Y186="Mensual",MDURATION($C$1,$C$1+Z186*12,J186/12,O186/12,1)/12,MDURATION($C$1,R186,J186,O186,IF(Y186="Cupón cero",1,IF(Y186="Al vencimiento",1,IF(Y186="Anual",1,IF(Y186="Semestral",2,IF(Y186="Trimestral",4,"")))))))</f>
        <v>2.4139992304269358</v>
      </c>
      <c r="AC186" s="488" t="s">
        <v>451</v>
      </c>
      <c r="AD186" s="488" t="s">
        <v>452</v>
      </c>
      <c r="AF186" s="444">
        <f>+IF(Tabla33[[#This Row],[Amortización k | cupón de intereses]]="Amortización de K",Tabla33[[#This Row],[Valor Nominal]],0)</f>
        <v>900000</v>
      </c>
      <c r="AG186" s="444">
        <f>+IF(AND(Tabla33[[#This Row],[Amortización k | cupón de intereses]]="Cupón de interés",Tabla33[[#This Row],[Estado]]="Vigente"),Tabla33[[#This Row],[Valor Nominal]],0)</f>
        <v>0</v>
      </c>
      <c r="AH186" s="444">
        <f>+IF(Tabla33[[#This Row],[Amortización k | cupón de intereses]]="Amortización de K",SUMIFS($AG$7:$AG$418,Tabla33[Código Emisión],Tabla33[[#This Row],[Código Emisión]],Tabla33[Fecha de operación],Tabla33[[#This Row],[Fecha de operación]]),0)-Tabla33[[#This Row],[Accrued]]*Tabla33[[#This Row],[Valor Nominal]]</f>
        <v>155945.94287671236</v>
      </c>
      <c r="AI186" s="444">
        <f>+IF(Tabla33[[#This Row],[Amortización k | cupón de intereses]]="Amortización de K",IF(Tabla33[[#This Row],[Precio Clean]]&gt;1,Tabla33[[#This Row],[Valor Nominal]]*(Tabla33[[#This Row],[Precio Clean]]-1),0),0)</f>
        <v>1028.7441616788185</v>
      </c>
      <c r="AJ186" s="444">
        <f>+IF(Tabla33[[#This Row],[Amortización k | cupón de intereses]]="Amortización de K",IF(Tabla33[[#This Row],[Precio Clean]]&lt;1,Tabla33[[#This Row],[Valor Nominal]]*(Tabla33[[#This Row],[Precio Clean]]-1),0),0)</f>
        <v>0</v>
      </c>
    </row>
    <row r="187" spans="1:36">
      <c r="A187" s="502"/>
      <c r="B187" s="437" t="str">
        <f>+B186</f>
        <v>Banco Nacional de Fomento</v>
      </c>
      <c r="C187" s="437" t="str">
        <f t="shared" ref="C187:C199" si="131">+C186</f>
        <v>BNF_6,50%_2982028_BB2462-71_100K</v>
      </c>
      <c r="D187" s="437" t="s">
        <v>453</v>
      </c>
      <c r="E187" s="437" t="str">
        <f>+E186</f>
        <v>AA+py</v>
      </c>
      <c r="F187" s="437" t="s">
        <v>297</v>
      </c>
      <c r="G187" s="437" t="s">
        <v>298</v>
      </c>
      <c r="H187" s="437">
        <f t="shared" ref="H187:H199" si="132">+H186</f>
        <v>9</v>
      </c>
      <c r="I187" s="492">
        <v>17.8</v>
      </c>
      <c r="J187" s="451"/>
      <c r="K187" s="450"/>
      <c r="L187" s="451"/>
      <c r="M187" s="493"/>
      <c r="N187" s="493"/>
      <c r="O187" s="494">
        <f t="shared" ref="O187:Q199" si="133">+O186</f>
        <v>6.6095194220542886E-2</v>
      </c>
      <c r="P187" s="494">
        <f t="shared" si="133"/>
        <v>6.4517406068218541E-2</v>
      </c>
      <c r="Q187" s="450">
        <f t="shared" si="133"/>
        <v>45903</v>
      </c>
      <c r="R187" s="450">
        <v>46994</v>
      </c>
      <c r="S187" s="509" t="s">
        <v>146</v>
      </c>
      <c r="T187" s="510">
        <f>Tabla33[[#This Row],[Cantidad]]*Tabla33[[#This Row],[Cortes]]</f>
        <v>160.20000000000002</v>
      </c>
      <c r="U187" s="511">
        <f t="shared" si="105"/>
        <v>135.07198052907171</v>
      </c>
      <c r="V187" s="511">
        <f t="shared" si="106"/>
        <v>135.0482977810392</v>
      </c>
      <c r="W187" s="497">
        <f>IF(Tabla33[[#This Row],[Fecha de operación]]=$C$1,0,U187-V187)</f>
        <v>2.3682748032513246E-2</v>
      </c>
      <c r="X187" s="512" t="str">
        <f t="shared" si="115"/>
        <v>Vigente</v>
      </c>
      <c r="Y187" s="498" t="s">
        <v>450</v>
      </c>
      <c r="Z187" s="469">
        <f t="shared" si="116"/>
        <v>973</v>
      </c>
      <c r="AA187" s="499">
        <f>+AA186</f>
        <v>2.4538876674227628</v>
      </c>
      <c r="AB187" s="499">
        <f>+AB186</f>
        <v>2.4139992304269358</v>
      </c>
      <c r="AC187" s="469" t="s">
        <v>451</v>
      </c>
      <c r="AD187" s="469" t="s">
        <v>454</v>
      </c>
      <c r="AF187" s="444">
        <f>+IF(Tabla33[[#This Row],[Amortización k | cupón de intereses]]="Amortización de K",Tabla33[[#This Row],[Valor Nominal]],0)</f>
        <v>0</v>
      </c>
      <c r="AG187" s="444">
        <f>+IF(AND(Tabla33[[#This Row],[Amortización k | cupón de intereses]]="Cupón de interés",Tabla33[[#This Row],[Estado]]="Vigente"),Tabla33[[#This Row],[Valor Nominal]],0)</f>
        <v>160.20000000000002</v>
      </c>
      <c r="AH187" s="444">
        <f>+IF(Tabla33[[#This Row],[Amortización k | cupón de intereses]]="Amortización de K",SUMIFS($AG$7:$AG$418,Tabla33[Código Emisión],Tabla33[[#This Row],[Código Emisión]],Tabla33[Fecha de operación],Tabla33[[#This Row],[Fecha de operación]]),0)-Tabla33[[#This Row],[Accrued]]*Tabla33[[#This Row],[Valor Nominal]]</f>
        <v>0</v>
      </c>
      <c r="AI187" s="444">
        <f>+IF(Tabla33[[#This Row],[Amortización k | cupón de intereses]]="Amortización de K",IF(Tabla33[[#This Row],[Precio Clean]]&gt;1,Tabla33[[#This Row],[Valor Nominal]]*(Tabla33[[#This Row],[Precio Clean]]-1),0),0)</f>
        <v>0</v>
      </c>
      <c r="AJ187" s="444">
        <f>+IF(Tabla33[[#This Row],[Amortización k | cupón de intereses]]="Amortización de K",IF(Tabla33[[#This Row],[Precio Clean]]&lt;1,Tabla33[[#This Row],[Valor Nominal]]*(Tabla33[[#This Row],[Precio Clean]]-1),0),0)</f>
        <v>0</v>
      </c>
    </row>
    <row r="188" spans="1:36">
      <c r="A188" s="502"/>
      <c r="B188" s="437" t="str">
        <f t="shared" ref="B188:B199" si="134">+B187</f>
        <v>Banco Nacional de Fomento</v>
      </c>
      <c r="C188" s="437" t="str">
        <f t="shared" si="131"/>
        <v>BNF_6,50%_2982028_BB2462-71_100K</v>
      </c>
      <c r="D188" s="437" t="s">
        <v>453</v>
      </c>
      <c r="E188" s="437" t="str">
        <f t="shared" ref="E188:E199" si="135">+E187</f>
        <v>AA+py</v>
      </c>
      <c r="F188" s="437" t="s">
        <v>297</v>
      </c>
      <c r="G188" s="437" t="s">
        <v>298</v>
      </c>
      <c r="H188" s="437">
        <f t="shared" si="132"/>
        <v>9</v>
      </c>
      <c r="I188" s="492">
        <v>1620.54</v>
      </c>
      <c r="J188" s="451"/>
      <c r="K188" s="450"/>
      <c r="L188" s="451"/>
      <c r="M188" s="493"/>
      <c r="N188" s="493"/>
      <c r="O188" s="494">
        <f t="shared" si="133"/>
        <v>6.6095194220542886E-2</v>
      </c>
      <c r="P188" s="494">
        <f t="shared" si="133"/>
        <v>6.4517406068218541E-2</v>
      </c>
      <c r="Q188" s="450">
        <f t="shared" si="133"/>
        <v>45903</v>
      </c>
      <c r="R188" s="450">
        <v>46993</v>
      </c>
      <c r="S188" s="509" t="s">
        <v>146</v>
      </c>
      <c r="T188" s="510">
        <f>Tabla33[[#This Row],[Cantidad]]*Tabla33[[#This Row],[Cortes]]</f>
        <v>14584.86</v>
      </c>
      <c r="U188" s="511">
        <f t="shared" si="105"/>
        <v>12299.322072886784</v>
      </c>
      <c r="V188" s="511">
        <f t="shared" si="106"/>
        <v>12297.165580145047</v>
      </c>
      <c r="W188" s="497">
        <f>IF(Tabla33[[#This Row],[Fecha de operación]]=$C$1,0,U188-V188)</f>
        <v>2.1564927417366562</v>
      </c>
      <c r="X188" s="512" t="str">
        <f t="shared" si="115"/>
        <v>Vigente</v>
      </c>
      <c r="Y188" s="498" t="s">
        <v>450</v>
      </c>
      <c r="Z188" s="469">
        <f t="shared" si="116"/>
        <v>972</v>
      </c>
      <c r="AA188" s="499">
        <f t="shared" ref="AA188:AB199" si="136">+AA187</f>
        <v>2.4538876674227628</v>
      </c>
      <c r="AB188" s="499">
        <f t="shared" si="136"/>
        <v>2.4139992304269358</v>
      </c>
      <c r="AC188" s="469" t="s">
        <v>451</v>
      </c>
      <c r="AD188" s="469" t="s">
        <v>454</v>
      </c>
      <c r="AF188" s="444">
        <f>+IF(Tabla33[[#This Row],[Amortización k | cupón de intereses]]="Amortización de K",Tabla33[[#This Row],[Valor Nominal]],0)</f>
        <v>0</v>
      </c>
      <c r="AG188" s="444">
        <f>+IF(AND(Tabla33[[#This Row],[Amortización k | cupón de intereses]]="Cupón de interés",Tabla33[[#This Row],[Estado]]="Vigente"),Tabla33[[#This Row],[Valor Nominal]],0)</f>
        <v>14584.86</v>
      </c>
      <c r="AH188" s="444">
        <f>+IF(Tabla33[[#This Row],[Amortización k | cupón de intereses]]="Amortización de K",SUMIFS($AG$7:$AG$418,Tabla33[Código Emisión],Tabla33[[#This Row],[Código Emisión]],Tabla33[Fecha de operación],Tabla33[[#This Row],[Fecha de operación]]),0)-Tabla33[[#This Row],[Accrued]]*Tabla33[[#This Row],[Valor Nominal]]</f>
        <v>0</v>
      </c>
      <c r="AI188" s="444">
        <f>+IF(Tabla33[[#This Row],[Amortización k | cupón de intereses]]="Amortización de K",IF(Tabla33[[#This Row],[Precio Clean]]&gt;1,Tabla33[[#This Row],[Valor Nominal]]*(Tabla33[[#This Row],[Precio Clean]]-1),0),0)</f>
        <v>0</v>
      </c>
      <c r="AJ188" s="444">
        <f>+IF(Tabla33[[#This Row],[Amortización k | cupón de intereses]]="Amortización de K",IF(Tabla33[[#This Row],[Precio Clean]]&lt;1,Tabla33[[#This Row],[Valor Nominal]]*(Tabla33[[#This Row],[Precio Clean]]-1),0),0)</f>
        <v>0</v>
      </c>
    </row>
    <row r="189" spans="1:36">
      <c r="A189" s="502"/>
      <c r="B189" s="437" t="str">
        <f t="shared" si="134"/>
        <v>Banco Nacional de Fomento</v>
      </c>
      <c r="C189" s="437" t="str">
        <f t="shared" si="131"/>
        <v>BNF_6,50%_2982028_BB2462-71_100K</v>
      </c>
      <c r="D189" s="437" t="s">
        <v>453</v>
      </c>
      <c r="E189" s="437" t="str">
        <f t="shared" si="135"/>
        <v>AA+py</v>
      </c>
      <c r="F189" s="437" t="s">
        <v>297</v>
      </c>
      <c r="G189" s="437" t="s">
        <v>298</v>
      </c>
      <c r="H189" s="437">
        <f t="shared" si="132"/>
        <v>9</v>
      </c>
      <c r="I189" s="492">
        <v>1620.54</v>
      </c>
      <c r="J189" s="451"/>
      <c r="K189" s="450"/>
      <c r="L189" s="451"/>
      <c r="M189" s="493"/>
      <c r="N189" s="493"/>
      <c r="O189" s="494">
        <f t="shared" si="133"/>
        <v>6.6095194220542886E-2</v>
      </c>
      <c r="P189" s="494">
        <f t="shared" si="133"/>
        <v>6.4517406068218541E-2</v>
      </c>
      <c r="Q189" s="450">
        <f t="shared" si="133"/>
        <v>45903</v>
      </c>
      <c r="R189" s="450">
        <v>46902</v>
      </c>
      <c r="S189" s="509" t="s">
        <v>146</v>
      </c>
      <c r="T189" s="510">
        <f>Tabla33[[#This Row],[Cantidad]]*Tabla33[[#This Row],[Cortes]]</f>
        <v>14584.86</v>
      </c>
      <c r="U189" s="511">
        <f t="shared" si="105"/>
        <v>12497.154307106071</v>
      </c>
      <c r="V189" s="511">
        <f t="shared" si="106"/>
        <v>12494.963127592604</v>
      </c>
      <c r="W189" s="497">
        <f>IF(Tabla33[[#This Row],[Fecha de operación]]=$C$1,0,U189-V189)</f>
        <v>2.1911795134674321</v>
      </c>
      <c r="X189" s="512" t="str">
        <f t="shared" si="115"/>
        <v>Vigente</v>
      </c>
      <c r="Y189" s="498" t="s">
        <v>450</v>
      </c>
      <c r="Z189" s="469">
        <f t="shared" si="116"/>
        <v>881</v>
      </c>
      <c r="AA189" s="499">
        <f t="shared" si="136"/>
        <v>2.4538876674227628</v>
      </c>
      <c r="AB189" s="499">
        <f t="shared" si="136"/>
        <v>2.4139992304269358</v>
      </c>
      <c r="AC189" s="469" t="s">
        <v>451</v>
      </c>
      <c r="AD189" s="469" t="s">
        <v>454</v>
      </c>
      <c r="AF189" s="444">
        <f>+IF(Tabla33[[#This Row],[Amortización k | cupón de intereses]]="Amortización de K",Tabla33[[#This Row],[Valor Nominal]],0)</f>
        <v>0</v>
      </c>
      <c r="AG189" s="444">
        <f>+IF(AND(Tabla33[[#This Row],[Amortización k | cupón de intereses]]="Cupón de interés",Tabla33[[#This Row],[Estado]]="Vigente"),Tabla33[[#This Row],[Valor Nominal]],0)</f>
        <v>14584.86</v>
      </c>
      <c r="AH189" s="444">
        <f>+IF(Tabla33[[#This Row],[Amortización k | cupón de intereses]]="Amortización de K",SUMIFS($AG$7:$AG$418,Tabla33[Código Emisión],Tabla33[[#This Row],[Código Emisión]],Tabla33[Fecha de operación],Tabla33[[#This Row],[Fecha de operación]]),0)-Tabla33[[#This Row],[Accrued]]*Tabla33[[#This Row],[Valor Nominal]]</f>
        <v>0</v>
      </c>
      <c r="AI189" s="444">
        <f>+IF(Tabla33[[#This Row],[Amortización k | cupón de intereses]]="Amortización de K",IF(Tabla33[[#This Row],[Precio Clean]]&gt;1,Tabla33[[#This Row],[Valor Nominal]]*(Tabla33[[#This Row],[Precio Clean]]-1),0),0)</f>
        <v>0</v>
      </c>
      <c r="AJ189" s="444">
        <f>+IF(Tabla33[[#This Row],[Amortización k | cupón de intereses]]="Amortización de K",IF(Tabla33[[#This Row],[Precio Clean]]&lt;1,Tabla33[[#This Row],[Valor Nominal]]*(Tabla33[[#This Row],[Precio Clean]]-1),0),0)</f>
        <v>0</v>
      </c>
    </row>
    <row r="190" spans="1:36">
      <c r="A190" s="502"/>
      <c r="B190" s="437" t="str">
        <f t="shared" si="134"/>
        <v>Banco Nacional de Fomento</v>
      </c>
      <c r="C190" s="437" t="str">
        <f t="shared" si="131"/>
        <v>BNF_6,50%_2982028_BB2462-71_100K</v>
      </c>
      <c r="D190" s="437" t="s">
        <v>453</v>
      </c>
      <c r="E190" s="437" t="str">
        <f t="shared" si="135"/>
        <v>AA+py</v>
      </c>
      <c r="F190" s="437" t="s">
        <v>297</v>
      </c>
      <c r="G190" s="437" t="s">
        <v>298</v>
      </c>
      <c r="H190" s="437">
        <f t="shared" si="132"/>
        <v>9</v>
      </c>
      <c r="I190" s="492">
        <v>1620.54</v>
      </c>
      <c r="J190" s="451"/>
      <c r="K190" s="450"/>
      <c r="L190" s="451"/>
      <c r="M190" s="493"/>
      <c r="N190" s="493"/>
      <c r="O190" s="494">
        <f t="shared" si="133"/>
        <v>6.6095194220542886E-2</v>
      </c>
      <c r="P190" s="494">
        <f t="shared" si="133"/>
        <v>6.4517406068218541E-2</v>
      </c>
      <c r="Q190" s="450">
        <f t="shared" si="133"/>
        <v>45903</v>
      </c>
      <c r="R190" s="450">
        <v>46811</v>
      </c>
      <c r="S190" s="509" t="s">
        <v>146</v>
      </c>
      <c r="T190" s="510">
        <f>Tabla33[[#This Row],[Cantidad]]*Tabla33[[#This Row],[Cortes]]</f>
        <v>14584.86</v>
      </c>
      <c r="U190" s="511">
        <f t="shared" si="105"/>
        <v>12698.168634831347</v>
      </c>
      <c r="V190" s="511">
        <f t="shared" si="106"/>
        <v>12695.942210616086</v>
      </c>
      <c r="W190" s="497">
        <f>IF(Tabla33[[#This Row],[Fecha de operación]]=$C$1,0,U190-V190)</f>
        <v>2.2264242152614315</v>
      </c>
      <c r="X190" s="512" t="str">
        <f t="shared" si="115"/>
        <v>Vigente</v>
      </c>
      <c r="Y190" s="498" t="s">
        <v>450</v>
      </c>
      <c r="Z190" s="469">
        <f t="shared" si="116"/>
        <v>790</v>
      </c>
      <c r="AA190" s="499">
        <f t="shared" si="136"/>
        <v>2.4538876674227628</v>
      </c>
      <c r="AB190" s="499">
        <f t="shared" si="136"/>
        <v>2.4139992304269358</v>
      </c>
      <c r="AC190" s="469" t="s">
        <v>451</v>
      </c>
      <c r="AD190" s="469" t="s">
        <v>454</v>
      </c>
      <c r="AF190" s="444">
        <f>+IF(Tabla33[[#This Row],[Amortización k | cupón de intereses]]="Amortización de K",Tabla33[[#This Row],[Valor Nominal]],0)</f>
        <v>0</v>
      </c>
      <c r="AG190" s="444">
        <f>+IF(AND(Tabla33[[#This Row],[Amortización k | cupón de intereses]]="Cupón de interés",Tabla33[[#This Row],[Estado]]="Vigente"),Tabla33[[#This Row],[Valor Nominal]],0)</f>
        <v>14584.86</v>
      </c>
      <c r="AH190" s="444">
        <f>+IF(Tabla33[[#This Row],[Amortización k | cupón de intereses]]="Amortización de K",SUMIFS($AG$7:$AG$418,Tabla33[Código Emisión],Tabla33[[#This Row],[Código Emisión]],Tabla33[Fecha de operación],Tabla33[[#This Row],[Fecha de operación]]),0)-Tabla33[[#This Row],[Accrued]]*Tabla33[[#This Row],[Valor Nominal]]</f>
        <v>0</v>
      </c>
      <c r="AI190" s="444">
        <f>+IF(Tabla33[[#This Row],[Amortización k | cupón de intereses]]="Amortización de K",IF(Tabla33[[#This Row],[Precio Clean]]&gt;1,Tabla33[[#This Row],[Valor Nominal]]*(Tabla33[[#This Row],[Precio Clean]]-1),0),0)</f>
        <v>0</v>
      </c>
      <c r="AJ190" s="444">
        <f>+IF(Tabla33[[#This Row],[Amortización k | cupón de intereses]]="Amortización de K",IF(Tabla33[[#This Row],[Precio Clean]]&lt;1,Tabla33[[#This Row],[Valor Nominal]]*(Tabla33[[#This Row],[Precio Clean]]-1),0),0)</f>
        <v>0</v>
      </c>
    </row>
    <row r="191" spans="1:36">
      <c r="A191" s="502"/>
      <c r="B191" s="437" t="str">
        <f t="shared" si="134"/>
        <v>Banco Nacional de Fomento</v>
      </c>
      <c r="C191" s="437" t="str">
        <f t="shared" si="131"/>
        <v>BNF_6,50%_2982028_BB2462-71_100K</v>
      </c>
      <c r="D191" s="437" t="s">
        <v>453</v>
      </c>
      <c r="E191" s="437" t="str">
        <f t="shared" si="135"/>
        <v>AA+py</v>
      </c>
      <c r="F191" s="437" t="s">
        <v>297</v>
      </c>
      <c r="G191" s="437" t="s">
        <v>298</v>
      </c>
      <c r="H191" s="437">
        <f t="shared" si="132"/>
        <v>9</v>
      </c>
      <c r="I191" s="492">
        <v>1620.54</v>
      </c>
      <c r="J191" s="451"/>
      <c r="K191" s="450"/>
      <c r="L191" s="451"/>
      <c r="M191" s="493"/>
      <c r="N191" s="493"/>
      <c r="O191" s="494">
        <f t="shared" si="133"/>
        <v>6.6095194220542886E-2</v>
      </c>
      <c r="P191" s="494">
        <f t="shared" si="133"/>
        <v>6.4517406068218541E-2</v>
      </c>
      <c r="Q191" s="450">
        <f t="shared" si="133"/>
        <v>45903</v>
      </c>
      <c r="R191" s="450">
        <v>46720</v>
      </c>
      <c r="S191" s="509" t="s">
        <v>146</v>
      </c>
      <c r="T191" s="510">
        <f>Tabla33[[#This Row],[Cantidad]]*Tabla33[[#This Row],[Cortes]]</f>
        <v>14584.86</v>
      </c>
      <c r="U191" s="511">
        <f t="shared" si="105"/>
        <v>12902.416239425729</v>
      </c>
      <c r="V191" s="511">
        <f t="shared" si="106"/>
        <v>12900.154003604413</v>
      </c>
      <c r="W191" s="497">
        <f>IF(Tabla33[[#This Row],[Fecha de operación]]=$C$1,0,U191-V191)</f>
        <v>2.2622358213156986</v>
      </c>
      <c r="X191" s="512" t="str">
        <f t="shared" si="115"/>
        <v>Vigente</v>
      </c>
      <c r="Y191" s="498" t="s">
        <v>450</v>
      </c>
      <c r="Z191" s="469">
        <f t="shared" si="116"/>
        <v>699</v>
      </c>
      <c r="AA191" s="499">
        <f t="shared" si="136"/>
        <v>2.4538876674227628</v>
      </c>
      <c r="AB191" s="499">
        <f t="shared" si="136"/>
        <v>2.4139992304269358</v>
      </c>
      <c r="AC191" s="469" t="s">
        <v>451</v>
      </c>
      <c r="AD191" s="469" t="s">
        <v>454</v>
      </c>
      <c r="AF191" s="444">
        <f>+IF(Tabla33[[#This Row],[Amortización k | cupón de intereses]]="Amortización de K",Tabla33[[#This Row],[Valor Nominal]],0)</f>
        <v>0</v>
      </c>
      <c r="AG191" s="444">
        <f>+IF(AND(Tabla33[[#This Row],[Amortización k | cupón de intereses]]="Cupón de interés",Tabla33[[#This Row],[Estado]]="Vigente"),Tabla33[[#This Row],[Valor Nominal]],0)</f>
        <v>14584.86</v>
      </c>
      <c r="AH191" s="444">
        <f>+IF(Tabla33[[#This Row],[Amortización k | cupón de intereses]]="Amortización de K",SUMIFS($AG$7:$AG$418,Tabla33[Código Emisión],Tabla33[[#This Row],[Código Emisión]],Tabla33[Fecha de operación],Tabla33[[#This Row],[Fecha de operación]]),0)-Tabla33[[#This Row],[Accrued]]*Tabla33[[#This Row],[Valor Nominal]]</f>
        <v>0</v>
      </c>
      <c r="AI191" s="444">
        <f>+IF(Tabla33[[#This Row],[Amortización k | cupón de intereses]]="Amortización de K",IF(Tabla33[[#This Row],[Precio Clean]]&gt;1,Tabla33[[#This Row],[Valor Nominal]]*(Tabla33[[#This Row],[Precio Clean]]-1),0),0)</f>
        <v>0</v>
      </c>
      <c r="AJ191" s="444">
        <f>+IF(Tabla33[[#This Row],[Amortización k | cupón de intereses]]="Amortización de K",IF(Tabla33[[#This Row],[Precio Clean]]&lt;1,Tabla33[[#This Row],[Valor Nominal]]*(Tabla33[[#This Row],[Precio Clean]]-1),0),0)</f>
        <v>0</v>
      </c>
    </row>
    <row r="192" spans="1:36">
      <c r="A192" s="502"/>
      <c r="B192" s="437" t="str">
        <f t="shared" si="134"/>
        <v>Banco Nacional de Fomento</v>
      </c>
      <c r="C192" s="437" t="str">
        <f t="shared" si="131"/>
        <v>BNF_6,50%_2982028_BB2462-71_100K</v>
      </c>
      <c r="D192" s="437" t="s">
        <v>453</v>
      </c>
      <c r="E192" s="437" t="str">
        <f t="shared" si="135"/>
        <v>AA+py</v>
      </c>
      <c r="F192" s="437" t="s">
        <v>297</v>
      </c>
      <c r="G192" s="437" t="s">
        <v>298</v>
      </c>
      <c r="H192" s="437">
        <f t="shared" si="132"/>
        <v>9</v>
      </c>
      <c r="I192" s="492">
        <v>1673.97</v>
      </c>
      <c r="J192" s="451"/>
      <c r="K192" s="450"/>
      <c r="L192" s="451"/>
      <c r="M192" s="493"/>
      <c r="N192" s="493"/>
      <c r="O192" s="494">
        <f t="shared" si="133"/>
        <v>6.6095194220542886E-2</v>
      </c>
      <c r="P192" s="494">
        <f t="shared" si="133"/>
        <v>6.4517406068218541E-2</v>
      </c>
      <c r="Q192" s="450">
        <f t="shared" si="133"/>
        <v>45903</v>
      </c>
      <c r="R192" s="450">
        <v>46629</v>
      </c>
      <c r="S192" s="509" t="s">
        <v>146</v>
      </c>
      <c r="T192" s="510">
        <f>Tabla33[[#This Row],[Cantidad]]*Tabla33[[#This Row],[Cortes]]</f>
        <v>15065.73</v>
      </c>
      <c r="U192" s="511">
        <f t="shared" si="105"/>
        <v>13542.190591411641</v>
      </c>
      <c r="V192" s="511">
        <f t="shared" si="106"/>
        <v>13539.816181216953</v>
      </c>
      <c r="W192" s="497">
        <f>IF(Tabla33[[#This Row],[Fecha de operación]]=$C$1,0,U192-V192)</f>
        <v>2.3744101946886076</v>
      </c>
      <c r="X192" s="512" t="str">
        <f t="shared" si="115"/>
        <v>Vigente</v>
      </c>
      <c r="Y192" s="498" t="s">
        <v>450</v>
      </c>
      <c r="Z192" s="469">
        <f t="shared" si="116"/>
        <v>608</v>
      </c>
      <c r="AA192" s="499">
        <f t="shared" si="136"/>
        <v>2.4538876674227628</v>
      </c>
      <c r="AB192" s="499">
        <f t="shared" si="136"/>
        <v>2.4139992304269358</v>
      </c>
      <c r="AC192" s="469" t="s">
        <v>451</v>
      </c>
      <c r="AD192" s="469" t="s">
        <v>454</v>
      </c>
      <c r="AF192" s="444">
        <f>+IF(Tabla33[[#This Row],[Amortización k | cupón de intereses]]="Amortización de K",Tabla33[[#This Row],[Valor Nominal]],0)</f>
        <v>0</v>
      </c>
      <c r="AG192" s="444">
        <f>+IF(AND(Tabla33[[#This Row],[Amortización k | cupón de intereses]]="Cupón de interés",Tabla33[[#This Row],[Estado]]="Vigente"),Tabla33[[#This Row],[Valor Nominal]],0)</f>
        <v>15065.73</v>
      </c>
      <c r="AH192" s="444">
        <f>+IF(Tabla33[[#This Row],[Amortización k | cupón de intereses]]="Amortización de K",SUMIFS($AG$7:$AG$418,Tabla33[Código Emisión],Tabla33[[#This Row],[Código Emisión]],Tabla33[Fecha de operación],Tabla33[[#This Row],[Fecha de operación]]),0)-Tabla33[[#This Row],[Accrued]]*Tabla33[[#This Row],[Valor Nominal]]</f>
        <v>0</v>
      </c>
      <c r="AI192" s="444">
        <f>+IF(Tabla33[[#This Row],[Amortización k | cupón de intereses]]="Amortización de K",IF(Tabla33[[#This Row],[Precio Clean]]&gt;1,Tabla33[[#This Row],[Valor Nominal]]*(Tabla33[[#This Row],[Precio Clean]]-1),0),0)</f>
        <v>0</v>
      </c>
      <c r="AJ192" s="444">
        <f>+IF(Tabla33[[#This Row],[Amortización k | cupón de intereses]]="Amortización de K",IF(Tabla33[[#This Row],[Precio Clean]]&lt;1,Tabla33[[#This Row],[Valor Nominal]]*(Tabla33[[#This Row],[Precio Clean]]-1),0),0)</f>
        <v>0</v>
      </c>
    </row>
    <row r="193" spans="1:36">
      <c r="A193" s="502"/>
      <c r="B193" s="437" t="str">
        <f t="shared" si="134"/>
        <v>Banco Nacional de Fomento</v>
      </c>
      <c r="C193" s="437" t="str">
        <f t="shared" si="131"/>
        <v>BNF_6,50%_2982028_BB2462-71_100K</v>
      </c>
      <c r="D193" s="437" t="s">
        <v>453</v>
      </c>
      <c r="E193" s="437" t="str">
        <f t="shared" si="135"/>
        <v>AA+py</v>
      </c>
      <c r="F193" s="437" t="s">
        <v>297</v>
      </c>
      <c r="G193" s="437" t="s">
        <v>298</v>
      </c>
      <c r="H193" s="437">
        <f t="shared" si="132"/>
        <v>9</v>
      </c>
      <c r="I193" s="492">
        <v>1567.12</v>
      </c>
      <c r="J193" s="451"/>
      <c r="K193" s="450"/>
      <c r="L193" s="451"/>
      <c r="M193" s="493"/>
      <c r="N193" s="493"/>
      <c r="O193" s="494">
        <f t="shared" si="133"/>
        <v>6.6095194220542886E-2</v>
      </c>
      <c r="P193" s="494">
        <f t="shared" si="133"/>
        <v>6.4517406068218541E-2</v>
      </c>
      <c r="Q193" s="450">
        <f t="shared" si="133"/>
        <v>45903</v>
      </c>
      <c r="R193" s="450">
        <v>46535</v>
      </c>
      <c r="S193" s="509" t="s">
        <v>146</v>
      </c>
      <c r="T193" s="510">
        <f>Tabla33[[#This Row],[Cantidad]]*Tabla33[[#This Row],[Cortes]]</f>
        <v>14104.079999999998</v>
      </c>
      <c r="U193" s="511">
        <f t="shared" si="105"/>
        <v>12888.486549147252</v>
      </c>
      <c r="V193" s="511">
        <f t="shared" si="106"/>
        <v>12886.226755678108</v>
      </c>
      <c r="W193" s="497">
        <f>IF(Tabla33[[#This Row],[Fecha de operación]]=$C$1,0,U193-V193)</f>
        <v>2.259793469143915</v>
      </c>
      <c r="X193" s="512" t="str">
        <f t="shared" si="115"/>
        <v>Vigente</v>
      </c>
      <c r="Y193" s="498" t="s">
        <v>450</v>
      </c>
      <c r="Z193" s="469">
        <f t="shared" si="116"/>
        <v>514</v>
      </c>
      <c r="AA193" s="499">
        <f t="shared" si="136"/>
        <v>2.4538876674227628</v>
      </c>
      <c r="AB193" s="499">
        <f t="shared" si="136"/>
        <v>2.4139992304269358</v>
      </c>
      <c r="AC193" s="469" t="s">
        <v>451</v>
      </c>
      <c r="AD193" s="469" t="s">
        <v>454</v>
      </c>
      <c r="AF193" s="444">
        <f>+IF(Tabla33[[#This Row],[Amortización k | cupón de intereses]]="Amortización de K",Tabla33[[#This Row],[Valor Nominal]],0)</f>
        <v>0</v>
      </c>
      <c r="AG193" s="444">
        <f>+IF(AND(Tabla33[[#This Row],[Amortización k | cupón de intereses]]="Cupón de interés",Tabla33[[#This Row],[Estado]]="Vigente"),Tabla33[[#This Row],[Valor Nominal]],0)</f>
        <v>14104.079999999998</v>
      </c>
      <c r="AH193" s="444">
        <f>+IF(Tabla33[[#This Row],[Amortización k | cupón de intereses]]="Amortización de K",SUMIFS($AG$7:$AG$418,Tabla33[Código Emisión],Tabla33[[#This Row],[Código Emisión]],Tabla33[Fecha de operación],Tabla33[[#This Row],[Fecha de operación]]),0)-Tabla33[[#This Row],[Accrued]]*Tabla33[[#This Row],[Valor Nominal]]</f>
        <v>0</v>
      </c>
      <c r="AI193" s="444">
        <f>+IF(Tabla33[[#This Row],[Amortización k | cupón de intereses]]="Amortización de K",IF(Tabla33[[#This Row],[Precio Clean]]&gt;1,Tabla33[[#This Row],[Valor Nominal]]*(Tabla33[[#This Row],[Precio Clean]]-1),0),0)</f>
        <v>0</v>
      </c>
      <c r="AJ193" s="444">
        <f>+IF(Tabla33[[#This Row],[Amortización k | cupón de intereses]]="Amortización de K",IF(Tabla33[[#This Row],[Precio Clean]]&lt;1,Tabla33[[#This Row],[Valor Nominal]]*(Tabla33[[#This Row],[Precio Clean]]-1),0),0)</f>
        <v>0</v>
      </c>
    </row>
    <row r="194" spans="1:36">
      <c r="A194" s="502"/>
      <c r="B194" s="437" t="str">
        <f t="shared" si="134"/>
        <v>Banco Nacional de Fomento</v>
      </c>
      <c r="C194" s="437" t="str">
        <f t="shared" si="131"/>
        <v>BNF_6,50%_2982028_BB2462-71_100K</v>
      </c>
      <c r="D194" s="437" t="s">
        <v>453</v>
      </c>
      <c r="E194" s="437" t="str">
        <f t="shared" si="135"/>
        <v>AA+py</v>
      </c>
      <c r="F194" s="437" t="s">
        <v>297</v>
      </c>
      <c r="G194" s="437" t="s">
        <v>298</v>
      </c>
      <c r="H194" s="437">
        <f t="shared" si="132"/>
        <v>9</v>
      </c>
      <c r="I194" s="492">
        <v>1620.54</v>
      </c>
      <c r="J194" s="451"/>
      <c r="K194" s="450"/>
      <c r="L194" s="451"/>
      <c r="M194" s="493"/>
      <c r="N194" s="493"/>
      <c r="O194" s="494">
        <f t="shared" si="133"/>
        <v>6.6095194220542886E-2</v>
      </c>
      <c r="P194" s="494">
        <f t="shared" si="133"/>
        <v>6.4517406068218541E-2</v>
      </c>
      <c r="Q194" s="450">
        <f t="shared" si="133"/>
        <v>45903</v>
      </c>
      <c r="R194" s="450">
        <v>46447</v>
      </c>
      <c r="S194" s="509" t="s">
        <v>146</v>
      </c>
      <c r="T194" s="510">
        <f>Tabla33[[#This Row],[Cantidad]]*Tabla33[[#This Row],[Cortes]]</f>
        <v>14584.86</v>
      </c>
      <c r="U194" s="511">
        <f t="shared" si="105"/>
        <v>13535.082976839545</v>
      </c>
      <c r="V194" s="511">
        <f t="shared" si="106"/>
        <v>13532.709812853318</v>
      </c>
      <c r="W194" s="497">
        <f>IF(Tabla33[[#This Row],[Fecha de operación]]=$C$1,0,U194-V194)</f>
        <v>2.373163986227155</v>
      </c>
      <c r="X194" s="512" t="str">
        <f t="shared" si="115"/>
        <v>Vigente</v>
      </c>
      <c r="Y194" s="498" t="s">
        <v>450</v>
      </c>
      <c r="Z194" s="469">
        <f t="shared" si="116"/>
        <v>426</v>
      </c>
      <c r="AA194" s="499">
        <f t="shared" si="136"/>
        <v>2.4538876674227628</v>
      </c>
      <c r="AB194" s="499">
        <f t="shared" si="136"/>
        <v>2.4139992304269358</v>
      </c>
      <c r="AC194" s="469" t="s">
        <v>451</v>
      </c>
      <c r="AD194" s="469" t="s">
        <v>454</v>
      </c>
      <c r="AF194" s="444">
        <f>+IF(Tabla33[[#This Row],[Amortización k | cupón de intereses]]="Amortización de K",Tabla33[[#This Row],[Valor Nominal]],0)</f>
        <v>0</v>
      </c>
      <c r="AG194" s="444">
        <f>+IF(AND(Tabla33[[#This Row],[Amortización k | cupón de intereses]]="Cupón de interés",Tabla33[[#This Row],[Estado]]="Vigente"),Tabla33[[#This Row],[Valor Nominal]],0)</f>
        <v>14584.86</v>
      </c>
      <c r="AH194" s="444">
        <f>+IF(Tabla33[[#This Row],[Amortización k | cupón de intereses]]="Amortización de K",SUMIFS($AG$7:$AG$418,Tabla33[Código Emisión],Tabla33[[#This Row],[Código Emisión]],Tabla33[Fecha de operación],Tabla33[[#This Row],[Fecha de operación]]),0)-Tabla33[[#This Row],[Accrued]]*Tabla33[[#This Row],[Valor Nominal]]</f>
        <v>0</v>
      </c>
      <c r="AI194" s="444">
        <f>+IF(Tabla33[[#This Row],[Amortización k | cupón de intereses]]="Amortización de K",IF(Tabla33[[#This Row],[Precio Clean]]&gt;1,Tabla33[[#This Row],[Valor Nominal]]*(Tabla33[[#This Row],[Precio Clean]]-1),0),0)</f>
        <v>0</v>
      </c>
      <c r="AJ194" s="444">
        <f>+IF(Tabla33[[#This Row],[Amortización k | cupón de intereses]]="Amortización de K",IF(Tabla33[[#This Row],[Precio Clean]]&lt;1,Tabla33[[#This Row],[Valor Nominal]]*(Tabla33[[#This Row],[Precio Clean]]-1),0),0)</f>
        <v>0</v>
      </c>
    </row>
    <row r="195" spans="1:36">
      <c r="A195" s="502"/>
      <c r="B195" s="437" t="str">
        <f t="shared" si="134"/>
        <v>Banco Nacional de Fomento</v>
      </c>
      <c r="C195" s="437" t="str">
        <f t="shared" si="131"/>
        <v>BNF_6,50%_2982028_BB2462-71_100K</v>
      </c>
      <c r="D195" s="437" t="s">
        <v>453</v>
      </c>
      <c r="E195" s="437" t="str">
        <f t="shared" si="135"/>
        <v>AA+py</v>
      </c>
      <c r="F195" s="437" t="s">
        <v>297</v>
      </c>
      <c r="G195" s="437" t="s">
        <v>298</v>
      </c>
      <c r="H195" s="437">
        <f t="shared" si="132"/>
        <v>9</v>
      </c>
      <c r="I195" s="492">
        <v>1673.97</v>
      </c>
      <c r="J195" s="451"/>
      <c r="K195" s="450"/>
      <c r="L195" s="451"/>
      <c r="M195" s="493"/>
      <c r="N195" s="493"/>
      <c r="O195" s="494">
        <f t="shared" si="133"/>
        <v>6.6095194220542886E-2</v>
      </c>
      <c r="P195" s="494">
        <f t="shared" si="133"/>
        <v>6.4517406068218541E-2</v>
      </c>
      <c r="Q195" s="450">
        <f t="shared" si="133"/>
        <v>45903</v>
      </c>
      <c r="R195" s="450">
        <v>46356</v>
      </c>
      <c r="S195" s="509" t="s">
        <v>146</v>
      </c>
      <c r="T195" s="510">
        <f>Tabla33[[#This Row],[Cantidad]]*Tabla33[[#This Row],[Cortes]]</f>
        <v>15065.73</v>
      </c>
      <c r="U195" s="511">
        <f t="shared" si="105"/>
        <v>14206.228503374541</v>
      </c>
      <c r="V195" s="511">
        <f t="shared" si="106"/>
        <v>14203.737664572742</v>
      </c>
      <c r="W195" s="497">
        <f>IF(Tabla33[[#This Row],[Fecha de operación]]=$C$1,0,U195-V195)</f>
        <v>2.4908388017993275</v>
      </c>
      <c r="X195" s="512" t="str">
        <f t="shared" si="115"/>
        <v>Vigente</v>
      </c>
      <c r="Y195" s="498" t="s">
        <v>450</v>
      </c>
      <c r="Z195" s="469">
        <f t="shared" si="116"/>
        <v>335</v>
      </c>
      <c r="AA195" s="499">
        <f t="shared" si="136"/>
        <v>2.4538876674227628</v>
      </c>
      <c r="AB195" s="499">
        <f t="shared" si="136"/>
        <v>2.4139992304269358</v>
      </c>
      <c r="AC195" s="469" t="s">
        <v>451</v>
      </c>
      <c r="AD195" s="469" t="s">
        <v>454</v>
      </c>
      <c r="AF195" s="444">
        <f>+IF(Tabla33[[#This Row],[Amortización k | cupón de intereses]]="Amortización de K",Tabla33[[#This Row],[Valor Nominal]],0)</f>
        <v>0</v>
      </c>
      <c r="AG195" s="444">
        <f>+IF(AND(Tabla33[[#This Row],[Amortización k | cupón de intereses]]="Cupón de interés",Tabla33[[#This Row],[Estado]]="Vigente"),Tabla33[[#This Row],[Valor Nominal]],0)</f>
        <v>15065.73</v>
      </c>
      <c r="AH195" s="444">
        <f>+IF(Tabla33[[#This Row],[Amortización k | cupón de intereses]]="Amortización de K",SUMIFS($AG$7:$AG$418,Tabla33[Código Emisión],Tabla33[[#This Row],[Código Emisión]],Tabla33[Fecha de operación],Tabla33[[#This Row],[Fecha de operación]]),0)-Tabla33[[#This Row],[Accrued]]*Tabla33[[#This Row],[Valor Nominal]]</f>
        <v>0</v>
      </c>
      <c r="AI195" s="444">
        <f>+IF(Tabla33[[#This Row],[Amortización k | cupón de intereses]]="Amortización de K",IF(Tabla33[[#This Row],[Precio Clean]]&gt;1,Tabla33[[#This Row],[Valor Nominal]]*(Tabla33[[#This Row],[Precio Clean]]-1),0),0)</f>
        <v>0</v>
      </c>
      <c r="AJ195" s="444">
        <f>+IF(Tabla33[[#This Row],[Amortización k | cupón de intereses]]="Amortización de K",IF(Tabla33[[#This Row],[Precio Clean]]&lt;1,Tabla33[[#This Row],[Valor Nominal]]*(Tabla33[[#This Row],[Precio Clean]]-1),0),0)</f>
        <v>0</v>
      </c>
    </row>
    <row r="196" spans="1:36">
      <c r="A196" s="502"/>
      <c r="B196" s="437" t="str">
        <f t="shared" si="134"/>
        <v>Banco Nacional de Fomento</v>
      </c>
      <c r="C196" s="437" t="str">
        <f t="shared" si="131"/>
        <v>BNF_6,50%_2982028_BB2462-71_100K</v>
      </c>
      <c r="D196" s="437" t="s">
        <v>453</v>
      </c>
      <c r="E196" s="437" t="str">
        <f t="shared" si="135"/>
        <v>AA+py</v>
      </c>
      <c r="F196" s="437" t="s">
        <v>297</v>
      </c>
      <c r="G196" s="437" t="s">
        <v>298</v>
      </c>
      <c r="H196" s="437">
        <f t="shared" si="132"/>
        <v>9</v>
      </c>
      <c r="I196" s="492">
        <v>1638.35</v>
      </c>
      <c r="J196" s="451"/>
      <c r="K196" s="450"/>
      <c r="L196" s="451"/>
      <c r="M196" s="493"/>
      <c r="N196" s="493"/>
      <c r="O196" s="494">
        <f t="shared" si="133"/>
        <v>6.6095194220542886E-2</v>
      </c>
      <c r="P196" s="494">
        <f t="shared" si="133"/>
        <v>6.4517406068218541E-2</v>
      </c>
      <c r="Q196" s="450">
        <f t="shared" si="133"/>
        <v>45903</v>
      </c>
      <c r="R196" s="450">
        <v>46262</v>
      </c>
      <c r="S196" s="509" t="s">
        <v>146</v>
      </c>
      <c r="T196" s="510">
        <f>Tabla33[[#This Row],[Cantidad]]*Tabla33[[#This Row],[Cortes]]</f>
        <v>14745.15</v>
      </c>
      <c r="U196" s="511">
        <f t="shared" si="105"/>
        <v>14135.013547346869</v>
      </c>
      <c r="V196" s="511">
        <f t="shared" si="106"/>
        <v>14132.535194967888</v>
      </c>
      <c r="W196" s="497">
        <f>IF(Tabla33[[#This Row],[Fecha de operación]]=$C$1,0,U196-V196)</f>
        <v>2.4783523789810715</v>
      </c>
      <c r="X196" s="512" t="str">
        <f t="shared" si="115"/>
        <v>Vigente</v>
      </c>
      <c r="Y196" s="498" t="s">
        <v>450</v>
      </c>
      <c r="Z196" s="469">
        <f t="shared" si="116"/>
        <v>241</v>
      </c>
      <c r="AA196" s="499">
        <f t="shared" si="136"/>
        <v>2.4538876674227628</v>
      </c>
      <c r="AB196" s="499">
        <f t="shared" si="136"/>
        <v>2.4139992304269358</v>
      </c>
      <c r="AC196" s="469" t="s">
        <v>451</v>
      </c>
      <c r="AD196" s="469" t="s">
        <v>454</v>
      </c>
      <c r="AF196" s="444">
        <f>+IF(Tabla33[[#This Row],[Amortización k | cupón de intereses]]="Amortización de K",Tabla33[[#This Row],[Valor Nominal]],0)</f>
        <v>0</v>
      </c>
      <c r="AG196" s="444">
        <f>+IF(AND(Tabla33[[#This Row],[Amortización k | cupón de intereses]]="Cupón de interés",Tabla33[[#This Row],[Estado]]="Vigente"),Tabla33[[#This Row],[Valor Nominal]],0)</f>
        <v>14745.15</v>
      </c>
      <c r="AH196" s="444">
        <f>+IF(Tabla33[[#This Row],[Amortización k | cupón de intereses]]="Amortización de K",SUMIFS($AG$7:$AG$418,Tabla33[Código Emisión],Tabla33[[#This Row],[Código Emisión]],Tabla33[Fecha de operación],Tabla33[[#This Row],[Fecha de operación]]),0)-Tabla33[[#This Row],[Accrued]]*Tabla33[[#This Row],[Valor Nominal]]</f>
        <v>0</v>
      </c>
      <c r="AI196" s="444">
        <f>+IF(Tabla33[[#This Row],[Amortización k | cupón de intereses]]="Amortización de K",IF(Tabla33[[#This Row],[Precio Clean]]&gt;1,Tabla33[[#This Row],[Valor Nominal]]*(Tabla33[[#This Row],[Precio Clean]]-1),0),0)</f>
        <v>0</v>
      </c>
      <c r="AJ196" s="444">
        <f>+IF(Tabla33[[#This Row],[Amortización k | cupón de intereses]]="Amortización de K",IF(Tabla33[[#This Row],[Precio Clean]]&lt;1,Tabla33[[#This Row],[Valor Nominal]]*(Tabla33[[#This Row],[Precio Clean]]-1),0),0)</f>
        <v>0</v>
      </c>
    </row>
    <row r="197" spans="1:36">
      <c r="A197" s="502"/>
      <c r="B197" s="437" t="str">
        <f t="shared" si="134"/>
        <v>Banco Nacional de Fomento</v>
      </c>
      <c r="C197" s="437" t="str">
        <f t="shared" si="131"/>
        <v>BNF_6,50%_2982028_BB2462-71_100K</v>
      </c>
      <c r="D197" s="437" t="s">
        <v>453</v>
      </c>
      <c r="E197" s="437" t="str">
        <f t="shared" si="135"/>
        <v>AA+py</v>
      </c>
      <c r="F197" s="437" t="s">
        <v>297</v>
      </c>
      <c r="G197" s="437" t="s">
        <v>298</v>
      </c>
      <c r="H197" s="437">
        <f t="shared" si="132"/>
        <v>9</v>
      </c>
      <c r="I197" s="492">
        <v>1549.31</v>
      </c>
      <c r="J197" s="451"/>
      <c r="K197" s="450"/>
      <c r="L197" s="451"/>
      <c r="M197" s="493"/>
      <c r="N197" s="493"/>
      <c r="O197" s="494">
        <f t="shared" si="133"/>
        <v>6.6095194220542886E-2</v>
      </c>
      <c r="P197" s="494">
        <f t="shared" si="133"/>
        <v>6.4517406068218541E-2</v>
      </c>
      <c r="Q197" s="450">
        <f t="shared" si="133"/>
        <v>45903</v>
      </c>
      <c r="R197" s="450">
        <v>46170</v>
      </c>
      <c r="S197" s="509" t="s">
        <v>146</v>
      </c>
      <c r="T197" s="510">
        <f>Tabla33[[#This Row],[Cantidad]]*Tabla33[[#This Row],[Cortes]]</f>
        <v>13943.789999999999</v>
      </c>
      <c r="U197" s="511">
        <f t="shared" si="105"/>
        <v>13584.197247696558</v>
      </c>
      <c r="V197" s="511">
        <f t="shared" si="106"/>
        <v>13581.815472295168</v>
      </c>
      <c r="W197" s="497">
        <f>IF(Tabla33[[#This Row],[Fecha de operación]]=$C$1,0,U197-V197)</f>
        <v>2.3817754013907688</v>
      </c>
      <c r="X197" s="512" t="str">
        <f t="shared" si="115"/>
        <v>Vigente</v>
      </c>
      <c r="Y197" s="498" t="s">
        <v>450</v>
      </c>
      <c r="Z197" s="469">
        <f t="shared" si="116"/>
        <v>149</v>
      </c>
      <c r="AA197" s="499">
        <f t="shared" si="136"/>
        <v>2.4538876674227628</v>
      </c>
      <c r="AB197" s="499">
        <f t="shared" si="136"/>
        <v>2.4139992304269358</v>
      </c>
      <c r="AC197" s="469" t="s">
        <v>451</v>
      </c>
      <c r="AD197" s="469" t="s">
        <v>454</v>
      </c>
      <c r="AF197" s="444">
        <f>+IF(Tabla33[[#This Row],[Amortización k | cupón de intereses]]="Amortización de K",Tabla33[[#This Row],[Valor Nominal]],0)</f>
        <v>0</v>
      </c>
      <c r="AG197" s="444">
        <f>+IF(AND(Tabla33[[#This Row],[Amortización k | cupón de intereses]]="Cupón de interés",Tabla33[[#This Row],[Estado]]="Vigente"),Tabla33[[#This Row],[Valor Nominal]],0)</f>
        <v>13943.789999999999</v>
      </c>
      <c r="AH197" s="444">
        <f>+IF(Tabla33[[#This Row],[Amortización k | cupón de intereses]]="Amortización de K",SUMIFS($AG$7:$AG$418,Tabla33[Código Emisión],Tabla33[[#This Row],[Código Emisión]],Tabla33[Fecha de operación],Tabla33[[#This Row],[Fecha de operación]]),0)-Tabla33[[#This Row],[Accrued]]*Tabla33[[#This Row],[Valor Nominal]]</f>
        <v>0</v>
      </c>
      <c r="AI197" s="444">
        <f>+IF(Tabla33[[#This Row],[Amortización k | cupón de intereses]]="Amortización de K",IF(Tabla33[[#This Row],[Precio Clean]]&gt;1,Tabla33[[#This Row],[Valor Nominal]]*(Tabla33[[#This Row],[Precio Clean]]-1),0),0)</f>
        <v>0</v>
      </c>
      <c r="AJ197" s="444">
        <f>+IF(Tabla33[[#This Row],[Amortización k | cupón de intereses]]="Amortización de K",IF(Tabla33[[#This Row],[Precio Clean]]&lt;1,Tabla33[[#This Row],[Valor Nominal]]*(Tabla33[[#This Row],[Precio Clean]]-1),0),0)</f>
        <v>0</v>
      </c>
    </row>
    <row r="198" spans="1:36">
      <c r="A198" s="502"/>
      <c r="B198" s="437" t="str">
        <f t="shared" si="134"/>
        <v>Banco Nacional de Fomento</v>
      </c>
      <c r="C198" s="437" t="str">
        <f t="shared" si="131"/>
        <v>BNF_6,50%_2982028_BB2462-71_100K</v>
      </c>
      <c r="D198" s="437" t="s">
        <v>453</v>
      </c>
      <c r="E198" s="437" t="str">
        <f t="shared" si="135"/>
        <v>AA+py</v>
      </c>
      <c r="F198" s="437" t="s">
        <v>297</v>
      </c>
      <c r="G198" s="437" t="s">
        <v>298</v>
      </c>
      <c r="H198" s="437">
        <f t="shared" si="132"/>
        <v>9</v>
      </c>
      <c r="I198" s="492">
        <v>1673.97</v>
      </c>
      <c r="J198" s="451"/>
      <c r="K198" s="450"/>
      <c r="L198" s="451"/>
      <c r="M198" s="493"/>
      <c r="N198" s="493"/>
      <c r="O198" s="494">
        <f t="shared" si="133"/>
        <v>6.6095194220542886E-2</v>
      </c>
      <c r="P198" s="494">
        <f t="shared" si="133"/>
        <v>6.4517406068218541E-2</v>
      </c>
      <c r="Q198" s="450">
        <f t="shared" si="133"/>
        <v>45903</v>
      </c>
      <c r="R198" s="450">
        <v>46083</v>
      </c>
      <c r="S198" s="509" t="s">
        <v>146</v>
      </c>
      <c r="T198" s="510">
        <f>Tabla33[[#This Row],[Cantidad]]*Tabla33[[#This Row],[Cortes]]</f>
        <v>15065.73</v>
      </c>
      <c r="U198" s="511">
        <f t="shared" si="105"/>
        <v>14902.827347451606</v>
      </c>
      <c r="V198" s="511">
        <f t="shared" si="106"/>
        <v>14900.214370995207</v>
      </c>
      <c r="W198" s="497">
        <f>IF(Tabla33[[#This Row],[Fecha de operación]]=$C$1,0,U198-V198)</f>
        <v>2.6129764563993376</v>
      </c>
      <c r="X198" s="512" t="str">
        <f t="shared" si="115"/>
        <v>Vigente</v>
      </c>
      <c r="Y198" s="498" t="s">
        <v>450</v>
      </c>
      <c r="Z198" s="469">
        <f t="shared" si="116"/>
        <v>62</v>
      </c>
      <c r="AA198" s="499">
        <f t="shared" si="136"/>
        <v>2.4538876674227628</v>
      </c>
      <c r="AB198" s="499">
        <f t="shared" si="136"/>
        <v>2.4139992304269358</v>
      </c>
      <c r="AC198" s="469" t="s">
        <v>451</v>
      </c>
      <c r="AD198" s="469" t="s">
        <v>454</v>
      </c>
      <c r="AF198" s="444">
        <f>+IF(Tabla33[[#This Row],[Amortización k | cupón de intereses]]="Amortización de K",Tabla33[[#This Row],[Valor Nominal]],0)</f>
        <v>0</v>
      </c>
      <c r="AG198" s="444">
        <f>+IF(AND(Tabla33[[#This Row],[Amortización k | cupón de intereses]]="Cupón de interés",Tabla33[[#This Row],[Estado]]="Vigente"),Tabla33[[#This Row],[Valor Nominal]],0)</f>
        <v>15065.73</v>
      </c>
      <c r="AH198" s="444">
        <f>+IF(Tabla33[[#This Row],[Amortización k | cupón de intereses]]="Amortización de K",SUMIFS($AG$7:$AG$418,Tabla33[Código Emisión],Tabla33[[#This Row],[Código Emisión]],Tabla33[Fecha de operación],Tabla33[[#This Row],[Fecha de operación]]),0)-Tabla33[[#This Row],[Accrued]]*Tabla33[[#This Row],[Valor Nominal]]</f>
        <v>0</v>
      </c>
      <c r="AI198" s="444">
        <f>+IF(Tabla33[[#This Row],[Amortización k | cupón de intereses]]="Amortización de K",IF(Tabla33[[#This Row],[Precio Clean]]&gt;1,Tabla33[[#This Row],[Valor Nominal]]*(Tabla33[[#This Row],[Precio Clean]]-1),0),0)</f>
        <v>0</v>
      </c>
      <c r="AJ198" s="444">
        <f>+IF(Tabla33[[#This Row],[Amortización k | cupón de intereses]]="Amortización de K",IF(Tabla33[[#This Row],[Precio Clean]]&lt;1,Tabla33[[#This Row],[Valor Nominal]]*(Tabla33[[#This Row],[Precio Clean]]-1),0),0)</f>
        <v>0</v>
      </c>
    </row>
    <row r="199" spans="1:36">
      <c r="A199" s="502"/>
      <c r="B199" s="437" t="str">
        <f t="shared" si="134"/>
        <v>Banco Nacional de Fomento</v>
      </c>
      <c r="C199" s="437" t="str">
        <f t="shared" si="131"/>
        <v>BNF_6,50%_2982028_BB2462-71_100K</v>
      </c>
      <c r="D199" s="437" t="s">
        <v>453</v>
      </c>
      <c r="E199" s="437" t="str">
        <f t="shared" si="135"/>
        <v>AA+py</v>
      </c>
      <c r="F199" s="437" t="s">
        <v>297</v>
      </c>
      <c r="G199" s="437" t="s">
        <v>298</v>
      </c>
      <c r="H199" s="437">
        <f t="shared" si="132"/>
        <v>9</v>
      </c>
      <c r="I199" s="492">
        <v>1638.35</v>
      </c>
      <c r="J199" s="451"/>
      <c r="K199" s="450"/>
      <c r="L199" s="451"/>
      <c r="M199" s="493"/>
      <c r="N199" s="493"/>
      <c r="O199" s="494">
        <f t="shared" si="133"/>
        <v>6.6095194220542886E-2</v>
      </c>
      <c r="P199" s="494">
        <f t="shared" si="133"/>
        <v>6.4517406068218541E-2</v>
      </c>
      <c r="Q199" s="450">
        <f t="shared" si="133"/>
        <v>45903</v>
      </c>
      <c r="R199" s="450">
        <v>45989</v>
      </c>
      <c r="S199" s="509" t="s">
        <v>146</v>
      </c>
      <c r="T199" s="510">
        <f>Tabla33[[#This Row],[Cantidad]]*Tabla33[[#This Row],[Cortes]]</f>
        <v>14745.15</v>
      </c>
      <c r="U199" s="511" t="b">
        <f t="shared" si="105"/>
        <v>0</v>
      </c>
      <c r="V199" s="511" t="b">
        <f t="shared" si="106"/>
        <v>0</v>
      </c>
      <c r="W199" s="497">
        <f>IF(Tabla33[[#This Row],[Fecha de operación]]=$C$1,0,U199-V199)</f>
        <v>0</v>
      </c>
      <c r="X199" s="512" t="str">
        <f t="shared" si="115"/>
        <v>Vencido</v>
      </c>
      <c r="Y199" s="498" t="s">
        <v>450</v>
      </c>
      <c r="Z199" s="469">
        <f t="shared" si="116"/>
        <v>-32</v>
      </c>
      <c r="AA199" s="499">
        <f t="shared" si="136"/>
        <v>2.4538876674227628</v>
      </c>
      <c r="AB199" s="499">
        <f t="shared" si="136"/>
        <v>2.4139992304269358</v>
      </c>
      <c r="AC199" s="469" t="s">
        <v>451</v>
      </c>
      <c r="AD199" s="469" t="s">
        <v>454</v>
      </c>
      <c r="AF199" s="444">
        <f>+IF(Tabla33[[#This Row],[Amortización k | cupón de intereses]]="Amortización de K",Tabla33[[#This Row],[Valor Nominal]],0)</f>
        <v>0</v>
      </c>
      <c r="AG199" s="444">
        <f>+IF(AND(Tabla33[[#This Row],[Amortización k | cupón de intereses]]="Cupón de interés",Tabla33[[#This Row],[Estado]]="Vigente"),Tabla33[[#This Row],[Valor Nominal]],0)</f>
        <v>0</v>
      </c>
      <c r="AH199" s="444">
        <f>+IF(Tabla33[[#This Row],[Amortización k | cupón de intereses]]="Amortización de K",SUMIFS($AG$7:$AG$418,Tabla33[Código Emisión],Tabla33[[#This Row],[Código Emisión]],Tabla33[Fecha de operación],Tabla33[[#This Row],[Fecha de operación]]),0)-Tabla33[[#This Row],[Accrued]]*Tabla33[[#This Row],[Valor Nominal]]</f>
        <v>0</v>
      </c>
      <c r="AI199" s="444">
        <f>+IF(Tabla33[[#This Row],[Amortización k | cupón de intereses]]="Amortización de K",IF(Tabla33[[#This Row],[Precio Clean]]&gt;1,Tabla33[[#This Row],[Valor Nominal]]*(Tabla33[[#This Row],[Precio Clean]]-1),0),0)</f>
        <v>0</v>
      </c>
      <c r="AJ199" s="444">
        <f>+IF(Tabla33[[#This Row],[Amortización k | cupón de intereses]]="Amortización de K",IF(Tabla33[[#This Row],[Precio Clean]]&lt;1,Tabla33[[#This Row],[Valor Nominal]]*(Tabla33[[#This Row],[Precio Clean]]-1),0),0)</f>
        <v>0</v>
      </c>
    </row>
    <row r="200" spans="1:36" ht="15">
      <c r="A200" s="500">
        <f>+A186+1</f>
        <v>24</v>
      </c>
      <c r="B200" s="475" t="s">
        <v>485</v>
      </c>
      <c r="C200" s="475" t="s">
        <v>515</v>
      </c>
      <c r="D200" s="475" t="s">
        <v>453</v>
      </c>
      <c r="E200" s="475" t="s">
        <v>487</v>
      </c>
      <c r="F200" s="475" t="s">
        <v>297</v>
      </c>
      <c r="G200" s="475" t="s">
        <v>298</v>
      </c>
      <c r="H200" s="475">
        <v>8</v>
      </c>
      <c r="I200" s="477">
        <v>100000</v>
      </c>
      <c r="J200" s="478">
        <v>6.5000000000000002E-2</v>
      </c>
      <c r="K200" s="479">
        <f>_xlfn.MAXIFS(R:R,C:C,C200,AD:AD,"Cupón de interés",X:X,"Vencido")</f>
        <v>45995</v>
      </c>
      <c r="L200" s="478">
        <f>+Tabla33[[#This Row],[Tasa de Interés]]*($U$5-Tabla33[[#This Row],[Last coupon]])/365</f>
        <v>4.6301369863013695E-3</v>
      </c>
      <c r="M200" s="480">
        <f>+Tabla33[[#This Row],[Precio Dirty]]-Tabla33[[#This Row],[Accrued]]</f>
        <v>1.0012139533620847</v>
      </c>
      <c r="N200" s="481">
        <f>SUMIFS(U:U,C:C,C200,Q:Q,Q200)/SUMIFS(T:T,C:C,C200,Q:Q,Q200,AD:AD,"Amortización de K")</f>
        <v>1.0058440903483861</v>
      </c>
      <c r="O200" s="482">
        <v>6.6069158911705006E-2</v>
      </c>
      <c r="P200" s="482">
        <f>+NOMINAL(Tabla33[[#This Row],[YTM]],4)</f>
        <v>6.4492590757251556E-2</v>
      </c>
      <c r="Q200" s="484">
        <v>45904</v>
      </c>
      <c r="R200" s="484">
        <v>47001</v>
      </c>
      <c r="S200" s="504" t="s">
        <v>146</v>
      </c>
      <c r="T200" s="505">
        <f>Tabla33[[#This Row],[Cantidad]]*Tabla33[[#This Row],[Cortes]]</f>
        <v>800000</v>
      </c>
      <c r="U200" s="506">
        <f t="shared" si="105"/>
        <v>673733.50594091904</v>
      </c>
      <c r="V200" s="506">
        <f t="shared" si="106"/>
        <v>673615.42243422393</v>
      </c>
      <c r="W200" s="487">
        <f>IF(Tabla33[[#This Row],[Fecha de operación]]=$C$1,0,U200-V200)</f>
        <v>118.08350669511128</v>
      </c>
      <c r="X200" s="507" t="str">
        <f t="shared" si="115"/>
        <v>Vigente</v>
      </c>
      <c r="Y200" s="489" t="s">
        <v>450</v>
      </c>
      <c r="Z200" s="488">
        <f t="shared" si="116"/>
        <v>980</v>
      </c>
      <c r="AA200" s="508">
        <f t="shared" ref="AA200" si="137">IF(Y200="Mensual",DURATION($C$1,$C$1+Z200*12,J200/12,O200/12,1)/12,DURATION($C$1,R200,J200,O200,IF(Y200="Cupón cero",1,IF(Y200="Al vencimiento",1,IF(Y200="Anual",1,IF(Y200="Semestral",2,IF(Y200="Trimestral",4,"")))))))</f>
        <v>2.4705627476236369</v>
      </c>
      <c r="AB200" s="508">
        <f t="shared" ref="AB200" si="138">IF(Y200="Mensual",MDURATION($C$1,$C$1+Z200*12,J200/12,O200/12,1)/12,MDURATION($C$1,R200,J200,O200,IF(Y200="Cupón cero",1,IF(Y200="Al vencimiento",1,IF(Y200="Anual",1,IF(Y200="Semestral",2,IF(Y200="Trimestral",4,"")))))))</f>
        <v>2.4304188158815183</v>
      </c>
      <c r="AC200" s="488" t="s">
        <v>451</v>
      </c>
      <c r="AD200" s="488" t="s">
        <v>452</v>
      </c>
      <c r="AF200" s="444">
        <f>+IF(Tabla33[[#This Row],[Amortización k | cupón de intereses]]="Amortización de K",Tabla33[[#This Row],[Valor Nominal]],0)</f>
        <v>800000</v>
      </c>
      <c r="AG200" s="444">
        <f>+IF(AND(Tabla33[[#This Row],[Amortización k | cupón de intereses]]="Cupón de interés",Tabla33[[#This Row],[Estado]]="Vigente"),Tabla33[[#This Row],[Valor Nominal]],0)</f>
        <v>0</v>
      </c>
      <c r="AH200" s="444">
        <f>+IF(Tabla33[[#This Row],[Amortización k | cupón de intereses]]="Amortización de K",SUMIFS($AG$7:$AG$418,Tabla33[Código Emisión],Tabla33[[#This Row],[Código Emisión]],Tabla33[Fecha de operación],Tabla33[[#This Row],[Fecha de operación]]),0)-Tabla33[[#This Row],[Accrued]]*Tabla33[[#This Row],[Valor Nominal]]</f>
        <v>139615.7304109589</v>
      </c>
      <c r="AI200" s="444">
        <f>+IF(Tabla33[[#This Row],[Amortización k | cupón de intereses]]="Amortización de K",IF(Tabla33[[#This Row],[Precio Clean]]&gt;1,Tabla33[[#This Row],[Valor Nominal]]*(Tabla33[[#This Row],[Precio Clean]]-1),0),0)</f>
        <v>971.16268966779273</v>
      </c>
      <c r="AJ200" s="444">
        <f>+IF(Tabla33[[#This Row],[Amortización k | cupón de intereses]]="Amortización de K",IF(Tabla33[[#This Row],[Precio Clean]]&lt;1,Tabla33[[#This Row],[Valor Nominal]]*(Tabla33[[#This Row],[Precio Clean]]-1),0),0)</f>
        <v>0</v>
      </c>
    </row>
    <row r="201" spans="1:36">
      <c r="A201" s="502"/>
      <c r="B201" s="437" t="str">
        <f>+B200</f>
        <v>Banco Nacional de Fomento</v>
      </c>
      <c r="C201" s="437" t="str">
        <f>+C200</f>
        <v>BNF_6,50%_04092028_BB2497-04_100K</v>
      </c>
      <c r="D201" s="437" t="s">
        <v>453</v>
      </c>
      <c r="E201" s="437" t="str">
        <f>+E200</f>
        <v>AA+py</v>
      </c>
      <c r="F201" s="437" t="s">
        <v>297</v>
      </c>
      <c r="G201" s="437" t="s">
        <v>298</v>
      </c>
      <c r="H201" s="437">
        <f>+H200</f>
        <v>8</v>
      </c>
      <c r="I201" s="492">
        <v>17.8</v>
      </c>
      <c r="J201" s="451"/>
      <c r="K201" s="450"/>
      <c r="L201" s="451"/>
      <c r="M201" s="493"/>
      <c r="N201" s="493"/>
      <c r="O201" s="494">
        <f>+O200</f>
        <v>6.6069158911705006E-2</v>
      </c>
      <c r="P201" s="494">
        <f t="shared" ref="P201:P213" si="139">+P200</f>
        <v>6.4492590757251556E-2</v>
      </c>
      <c r="Q201" s="450">
        <v>45904</v>
      </c>
      <c r="R201" s="450">
        <v>47001</v>
      </c>
      <c r="S201" s="509" t="s">
        <v>146</v>
      </c>
      <c r="T201" s="510">
        <f>Tabla33[[#This Row],[Cantidad]]*Tabla33[[#This Row],[Cortes]]</f>
        <v>142.4</v>
      </c>
      <c r="U201" s="511">
        <f t="shared" si="105"/>
        <v>119.92456405748361</v>
      </c>
      <c r="V201" s="511">
        <f t="shared" si="106"/>
        <v>119.90354519329186</v>
      </c>
      <c r="W201" s="497">
        <f>IF(Tabla33[[#This Row],[Fecha de operación]]=$C$1,0,U201-V201)</f>
        <v>2.1018864191745479E-2</v>
      </c>
      <c r="X201" s="512" t="str">
        <f t="shared" si="115"/>
        <v>Vigente</v>
      </c>
      <c r="Y201" s="498" t="s">
        <v>450</v>
      </c>
      <c r="Z201" s="469">
        <f t="shared" si="116"/>
        <v>980</v>
      </c>
      <c r="AA201" s="499">
        <f>+AA200</f>
        <v>2.4705627476236369</v>
      </c>
      <c r="AB201" s="499">
        <f>+AB200</f>
        <v>2.4304188158815183</v>
      </c>
      <c r="AC201" s="469" t="s">
        <v>451</v>
      </c>
      <c r="AD201" s="469" t="s">
        <v>454</v>
      </c>
      <c r="AF201" s="444">
        <f>+IF(Tabla33[[#This Row],[Amortización k | cupón de intereses]]="Amortización de K",Tabla33[[#This Row],[Valor Nominal]],0)</f>
        <v>0</v>
      </c>
      <c r="AG201" s="444">
        <f>+IF(AND(Tabla33[[#This Row],[Amortización k | cupón de intereses]]="Cupón de interés",Tabla33[[#This Row],[Estado]]="Vigente"),Tabla33[[#This Row],[Valor Nominal]],0)</f>
        <v>142.4</v>
      </c>
      <c r="AH201" s="444">
        <f>+IF(Tabla33[[#This Row],[Amortización k | cupón de intereses]]="Amortización de K",SUMIFS($AG$7:$AG$418,Tabla33[Código Emisión],Tabla33[[#This Row],[Código Emisión]],Tabla33[Fecha de operación],Tabla33[[#This Row],[Fecha de operación]]),0)-Tabla33[[#This Row],[Accrued]]*Tabla33[[#This Row],[Valor Nominal]]</f>
        <v>0</v>
      </c>
      <c r="AI201" s="444">
        <f>+IF(Tabla33[[#This Row],[Amortización k | cupón de intereses]]="Amortización de K",IF(Tabla33[[#This Row],[Precio Clean]]&gt;1,Tabla33[[#This Row],[Valor Nominal]]*(Tabla33[[#This Row],[Precio Clean]]-1),0),0)</f>
        <v>0</v>
      </c>
      <c r="AJ201" s="444">
        <f>+IF(Tabla33[[#This Row],[Amortización k | cupón de intereses]]="Amortización de K",IF(Tabla33[[#This Row],[Precio Clean]]&lt;1,Tabla33[[#This Row],[Valor Nominal]]*(Tabla33[[#This Row],[Precio Clean]]-1),0),0)</f>
        <v>0</v>
      </c>
    </row>
    <row r="202" spans="1:36">
      <c r="A202" s="502"/>
      <c r="B202" s="437" t="str">
        <f t="shared" ref="B202:C213" si="140">+B201</f>
        <v>Banco Nacional de Fomento</v>
      </c>
      <c r="C202" s="437" t="str">
        <f t="shared" si="140"/>
        <v>BNF_6,50%_04092028_BB2497-04_100K</v>
      </c>
      <c r="D202" s="437" t="s">
        <v>453</v>
      </c>
      <c r="E202" s="437" t="str">
        <f t="shared" ref="E202:E213" si="141">+E201</f>
        <v>AA+py</v>
      </c>
      <c r="F202" s="437" t="s">
        <v>297</v>
      </c>
      <c r="G202" s="437" t="s">
        <v>298</v>
      </c>
      <c r="H202" s="437">
        <f t="shared" ref="H202:H213" si="142">+H201</f>
        <v>8</v>
      </c>
      <c r="I202" s="492">
        <v>1620.54</v>
      </c>
      <c r="J202" s="451"/>
      <c r="K202" s="450"/>
      <c r="L202" s="451"/>
      <c r="M202" s="493"/>
      <c r="N202" s="493"/>
      <c r="O202" s="494">
        <f t="shared" ref="O202:O213" si="143">+O201</f>
        <v>6.6069158911705006E-2</v>
      </c>
      <c r="P202" s="494">
        <f t="shared" si="139"/>
        <v>6.4492590757251556E-2</v>
      </c>
      <c r="Q202" s="450">
        <v>45904</v>
      </c>
      <c r="R202" s="450">
        <v>47000</v>
      </c>
      <c r="S202" s="509" t="s">
        <v>146</v>
      </c>
      <c r="T202" s="510">
        <f>Tabla33[[#This Row],[Cantidad]]*Tabla33[[#This Row],[Cortes]]</f>
        <v>12964.32</v>
      </c>
      <c r="U202" s="511">
        <f t="shared" si="105"/>
        <v>10920.034883083148</v>
      </c>
      <c r="V202" s="511">
        <f t="shared" si="106"/>
        <v>10918.12095717497</v>
      </c>
      <c r="W202" s="497">
        <f>IF(Tabla33[[#This Row],[Fecha de operación]]=$C$1,0,U202-V202)</f>
        <v>1.9139259081784985</v>
      </c>
      <c r="X202" s="512" t="str">
        <f t="shared" si="115"/>
        <v>Vigente</v>
      </c>
      <c r="Y202" s="498" t="s">
        <v>450</v>
      </c>
      <c r="Z202" s="469">
        <f t="shared" si="116"/>
        <v>979</v>
      </c>
      <c r="AA202" s="499">
        <f t="shared" ref="AA202:AB213" si="144">+AA201</f>
        <v>2.4705627476236369</v>
      </c>
      <c r="AB202" s="499">
        <f t="shared" si="144"/>
        <v>2.4304188158815183</v>
      </c>
      <c r="AC202" s="469" t="s">
        <v>451</v>
      </c>
      <c r="AD202" s="469" t="s">
        <v>454</v>
      </c>
      <c r="AF202" s="444">
        <f>+IF(Tabla33[[#This Row],[Amortización k | cupón de intereses]]="Amortización de K",Tabla33[[#This Row],[Valor Nominal]],0)</f>
        <v>0</v>
      </c>
      <c r="AG202" s="444">
        <f>+IF(AND(Tabla33[[#This Row],[Amortización k | cupón de intereses]]="Cupón de interés",Tabla33[[#This Row],[Estado]]="Vigente"),Tabla33[[#This Row],[Valor Nominal]],0)</f>
        <v>12964.32</v>
      </c>
      <c r="AH202" s="444">
        <f>+IF(Tabla33[[#This Row],[Amortización k | cupón de intereses]]="Amortización de K",SUMIFS($AG$7:$AG$418,Tabla33[Código Emisión],Tabla33[[#This Row],[Código Emisión]],Tabla33[Fecha de operación],Tabla33[[#This Row],[Fecha de operación]]),0)-Tabla33[[#This Row],[Accrued]]*Tabla33[[#This Row],[Valor Nominal]]</f>
        <v>0</v>
      </c>
      <c r="AI202" s="444">
        <f>+IF(Tabla33[[#This Row],[Amortización k | cupón de intereses]]="Amortización de K",IF(Tabla33[[#This Row],[Precio Clean]]&gt;1,Tabla33[[#This Row],[Valor Nominal]]*(Tabla33[[#This Row],[Precio Clean]]-1),0),0)</f>
        <v>0</v>
      </c>
      <c r="AJ202" s="444">
        <f>+IF(Tabla33[[#This Row],[Amortización k | cupón de intereses]]="Amortización de K",IF(Tabla33[[#This Row],[Precio Clean]]&lt;1,Tabla33[[#This Row],[Valor Nominal]]*(Tabla33[[#This Row],[Precio Clean]]-1),0),0)</f>
        <v>0</v>
      </c>
    </row>
    <row r="203" spans="1:36">
      <c r="A203" s="502"/>
      <c r="B203" s="437" t="str">
        <f t="shared" si="140"/>
        <v>Banco Nacional de Fomento</v>
      </c>
      <c r="C203" s="437" t="str">
        <f t="shared" si="140"/>
        <v>BNF_6,50%_04092028_BB2497-04_100K</v>
      </c>
      <c r="D203" s="437" t="s">
        <v>453</v>
      </c>
      <c r="E203" s="437" t="str">
        <f t="shared" si="141"/>
        <v>AA+py</v>
      </c>
      <c r="F203" s="437" t="s">
        <v>297</v>
      </c>
      <c r="G203" s="437" t="s">
        <v>298</v>
      </c>
      <c r="H203" s="437">
        <f t="shared" si="142"/>
        <v>8</v>
      </c>
      <c r="I203" s="492">
        <v>1620.54</v>
      </c>
      <c r="J203" s="451"/>
      <c r="K203" s="450"/>
      <c r="L203" s="451"/>
      <c r="M203" s="493"/>
      <c r="N203" s="493"/>
      <c r="O203" s="494">
        <f t="shared" si="143"/>
        <v>6.6069158911705006E-2</v>
      </c>
      <c r="P203" s="494">
        <f t="shared" si="139"/>
        <v>6.4492590757251556E-2</v>
      </c>
      <c r="Q203" s="450">
        <v>45904</v>
      </c>
      <c r="R203" s="450">
        <v>46909</v>
      </c>
      <c r="S203" s="509" t="s">
        <v>146</v>
      </c>
      <c r="T203" s="510">
        <f>Tabla33[[#This Row],[Cantidad]]*Tabla33[[#This Row],[Cortes]]</f>
        <v>12964.32</v>
      </c>
      <c r="U203" s="511">
        <f t="shared" si="105"/>
        <v>11095.613990212343</v>
      </c>
      <c r="V203" s="511">
        <f t="shared" si="106"/>
        <v>11093.669291013999</v>
      </c>
      <c r="W203" s="497">
        <f>IF(Tabla33[[#This Row],[Fecha de operación]]=$C$1,0,U203-V203)</f>
        <v>1.9446991983440967</v>
      </c>
      <c r="X203" s="512" t="str">
        <f t="shared" si="115"/>
        <v>Vigente</v>
      </c>
      <c r="Y203" s="498" t="s">
        <v>450</v>
      </c>
      <c r="Z203" s="469">
        <f t="shared" si="116"/>
        <v>888</v>
      </c>
      <c r="AA203" s="499">
        <f t="shared" si="144"/>
        <v>2.4705627476236369</v>
      </c>
      <c r="AB203" s="499">
        <f t="shared" si="144"/>
        <v>2.4304188158815183</v>
      </c>
      <c r="AC203" s="469" t="s">
        <v>451</v>
      </c>
      <c r="AD203" s="469" t="s">
        <v>454</v>
      </c>
      <c r="AF203" s="444">
        <f>+IF(Tabla33[[#This Row],[Amortización k | cupón de intereses]]="Amortización de K",Tabla33[[#This Row],[Valor Nominal]],0)</f>
        <v>0</v>
      </c>
      <c r="AG203" s="444">
        <f>+IF(AND(Tabla33[[#This Row],[Amortización k | cupón de intereses]]="Cupón de interés",Tabla33[[#This Row],[Estado]]="Vigente"),Tabla33[[#This Row],[Valor Nominal]],0)</f>
        <v>12964.32</v>
      </c>
      <c r="AH203" s="444">
        <f>+IF(Tabla33[[#This Row],[Amortización k | cupón de intereses]]="Amortización de K",SUMIFS($AG$7:$AG$418,Tabla33[Código Emisión],Tabla33[[#This Row],[Código Emisión]],Tabla33[Fecha de operación],Tabla33[[#This Row],[Fecha de operación]]),0)-Tabla33[[#This Row],[Accrued]]*Tabla33[[#This Row],[Valor Nominal]]</f>
        <v>0</v>
      </c>
      <c r="AI203" s="444">
        <f>+IF(Tabla33[[#This Row],[Amortización k | cupón de intereses]]="Amortización de K",IF(Tabla33[[#This Row],[Precio Clean]]&gt;1,Tabla33[[#This Row],[Valor Nominal]]*(Tabla33[[#This Row],[Precio Clean]]-1),0),0)</f>
        <v>0</v>
      </c>
      <c r="AJ203" s="444">
        <f>+IF(Tabla33[[#This Row],[Amortización k | cupón de intereses]]="Amortización de K",IF(Tabla33[[#This Row],[Precio Clean]]&lt;1,Tabla33[[#This Row],[Valor Nominal]]*(Tabla33[[#This Row],[Precio Clean]]-1),0),0)</f>
        <v>0</v>
      </c>
    </row>
    <row r="204" spans="1:36">
      <c r="A204" s="502"/>
      <c r="B204" s="437" t="str">
        <f t="shared" si="140"/>
        <v>Banco Nacional de Fomento</v>
      </c>
      <c r="C204" s="437" t="str">
        <f t="shared" si="140"/>
        <v>BNF_6,50%_04092028_BB2497-04_100K</v>
      </c>
      <c r="D204" s="437" t="s">
        <v>453</v>
      </c>
      <c r="E204" s="437" t="str">
        <f t="shared" si="141"/>
        <v>AA+py</v>
      </c>
      <c r="F204" s="437" t="s">
        <v>297</v>
      </c>
      <c r="G204" s="437" t="s">
        <v>298</v>
      </c>
      <c r="H204" s="437">
        <f t="shared" si="142"/>
        <v>8</v>
      </c>
      <c r="I204" s="492">
        <v>1620.54</v>
      </c>
      <c r="J204" s="451"/>
      <c r="K204" s="450"/>
      <c r="L204" s="451"/>
      <c r="M204" s="493"/>
      <c r="N204" s="493"/>
      <c r="O204" s="494">
        <f t="shared" si="143"/>
        <v>6.6069158911705006E-2</v>
      </c>
      <c r="P204" s="494">
        <f t="shared" si="139"/>
        <v>6.4492590757251556E-2</v>
      </c>
      <c r="Q204" s="450">
        <v>45904</v>
      </c>
      <c r="R204" s="450">
        <v>46818</v>
      </c>
      <c r="S204" s="509" t="s">
        <v>146</v>
      </c>
      <c r="T204" s="510">
        <f>Tabla33[[#This Row],[Cantidad]]*Tabla33[[#This Row],[Cortes]]</f>
        <v>12964.32</v>
      </c>
      <c r="U204" s="511">
        <f t="shared" si="105"/>
        <v>11274.016167339974</v>
      </c>
      <c r="V204" s="511">
        <f t="shared" si="106"/>
        <v>11272.04020005938</v>
      </c>
      <c r="W204" s="497">
        <f>IF(Tabla33[[#This Row],[Fecha de operación]]=$C$1,0,U204-V204)</f>
        <v>1.9759672805939772</v>
      </c>
      <c r="X204" s="512" t="str">
        <f t="shared" si="115"/>
        <v>Vigente</v>
      </c>
      <c r="Y204" s="498" t="s">
        <v>450</v>
      </c>
      <c r="Z204" s="469">
        <f t="shared" si="116"/>
        <v>797</v>
      </c>
      <c r="AA204" s="499">
        <f t="shared" si="144"/>
        <v>2.4705627476236369</v>
      </c>
      <c r="AB204" s="499">
        <f t="shared" si="144"/>
        <v>2.4304188158815183</v>
      </c>
      <c r="AC204" s="469" t="s">
        <v>451</v>
      </c>
      <c r="AD204" s="469" t="s">
        <v>454</v>
      </c>
      <c r="AF204" s="444">
        <f>+IF(Tabla33[[#This Row],[Amortización k | cupón de intereses]]="Amortización de K",Tabla33[[#This Row],[Valor Nominal]],0)</f>
        <v>0</v>
      </c>
      <c r="AG204" s="444">
        <f>+IF(AND(Tabla33[[#This Row],[Amortización k | cupón de intereses]]="Cupón de interés",Tabla33[[#This Row],[Estado]]="Vigente"),Tabla33[[#This Row],[Valor Nominal]],0)</f>
        <v>12964.32</v>
      </c>
      <c r="AH204" s="444">
        <f>+IF(Tabla33[[#This Row],[Amortización k | cupón de intereses]]="Amortización de K",SUMIFS($AG$7:$AG$418,Tabla33[Código Emisión],Tabla33[[#This Row],[Código Emisión]],Tabla33[Fecha de operación],Tabla33[[#This Row],[Fecha de operación]]),0)-Tabla33[[#This Row],[Accrued]]*Tabla33[[#This Row],[Valor Nominal]]</f>
        <v>0</v>
      </c>
      <c r="AI204" s="444">
        <f>+IF(Tabla33[[#This Row],[Amortización k | cupón de intereses]]="Amortización de K",IF(Tabla33[[#This Row],[Precio Clean]]&gt;1,Tabla33[[#This Row],[Valor Nominal]]*(Tabla33[[#This Row],[Precio Clean]]-1),0),0)</f>
        <v>0</v>
      </c>
      <c r="AJ204" s="444">
        <f>+IF(Tabla33[[#This Row],[Amortización k | cupón de intereses]]="Amortización de K",IF(Tabla33[[#This Row],[Precio Clean]]&lt;1,Tabla33[[#This Row],[Valor Nominal]]*(Tabla33[[#This Row],[Precio Clean]]-1),0),0)</f>
        <v>0</v>
      </c>
    </row>
    <row r="205" spans="1:36">
      <c r="A205" s="502"/>
      <c r="B205" s="437" t="str">
        <f t="shared" si="140"/>
        <v>Banco Nacional de Fomento</v>
      </c>
      <c r="C205" s="437" t="str">
        <f t="shared" si="140"/>
        <v>BNF_6,50%_04092028_BB2497-04_100K</v>
      </c>
      <c r="D205" s="437" t="s">
        <v>453</v>
      </c>
      <c r="E205" s="437" t="str">
        <f t="shared" si="141"/>
        <v>AA+py</v>
      </c>
      <c r="F205" s="437" t="s">
        <v>297</v>
      </c>
      <c r="G205" s="437" t="s">
        <v>298</v>
      </c>
      <c r="H205" s="437">
        <f t="shared" si="142"/>
        <v>8</v>
      </c>
      <c r="I205" s="492">
        <v>1620.54</v>
      </c>
      <c r="J205" s="451"/>
      <c r="K205" s="450"/>
      <c r="L205" s="451"/>
      <c r="M205" s="493"/>
      <c r="N205" s="493"/>
      <c r="O205" s="494">
        <f t="shared" si="143"/>
        <v>6.6069158911705006E-2</v>
      </c>
      <c r="P205" s="494">
        <f t="shared" si="139"/>
        <v>6.4492590757251556E-2</v>
      </c>
      <c r="Q205" s="450">
        <v>45904</v>
      </c>
      <c r="R205" s="450">
        <v>46727</v>
      </c>
      <c r="S205" s="509" t="s">
        <v>146</v>
      </c>
      <c r="T205" s="510">
        <f>Tabla33[[#This Row],[Cantidad]]*Tabla33[[#This Row],[Cortes]]</f>
        <v>12964.32</v>
      </c>
      <c r="U205" s="511">
        <f t="shared" si="105"/>
        <v>11455.286805539876</v>
      </c>
      <c r="V205" s="511">
        <f t="shared" si="106"/>
        <v>11453.279067429377</v>
      </c>
      <c r="W205" s="497">
        <f>IF(Tabla33[[#This Row],[Fecha de operación]]=$C$1,0,U205-V205)</f>
        <v>2.0077381104983942</v>
      </c>
      <c r="X205" s="512" t="str">
        <f t="shared" si="115"/>
        <v>Vigente</v>
      </c>
      <c r="Y205" s="498" t="s">
        <v>450</v>
      </c>
      <c r="Z205" s="469">
        <f t="shared" si="116"/>
        <v>706</v>
      </c>
      <c r="AA205" s="499">
        <f t="shared" si="144"/>
        <v>2.4705627476236369</v>
      </c>
      <c r="AB205" s="499">
        <f t="shared" si="144"/>
        <v>2.4304188158815183</v>
      </c>
      <c r="AC205" s="469" t="s">
        <v>451</v>
      </c>
      <c r="AD205" s="469" t="s">
        <v>454</v>
      </c>
      <c r="AF205" s="444">
        <f>+IF(Tabla33[[#This Row],[Amortización k | cupón de intereses]]="Amortización de K",Tabla33[[#This Row],[Valor Nominal]],0)</f>
        <v>0</v>
      </c>
      <c r="AG205" s="444">
        <f>+IF(AND(Tabla33[[#This Row],[Amortización k | cupón de intereses]]="Cupón de interés",Tabla33[[#This Row],[Estado]]="Vigente"),Tabla33[[#This Row],[Valor Nominal]],0)</f>
        <v>12964.32</v>
      </c>
      <c r="AH205" s="444">
        <f>+IF(Tabla33[[#This Row],[Amortización k | cupón de intereses]]="Amortización de K",SUMIFS($AG$7:$AG$418,Tabla33[Código Emisión],Tabla33[[#This Row],[Código Emisión]],Tabla33[Fecha de operación],Tabla33[[#This Row],[Fecha de operación]]),0)-Tabla33[[#This Row],[Accrued]]*Tabla33[[#This Row],[Valor Nominal]]</f>
        <v>0</v>
      </c>
      <c r="AI205" s="444">
        <f>+IF(Tabla33[[#This Row],[Amortización k | cupón de intereses]]="Amortización de K",IF(Tabla33[[#This Row],[Precio Clean]]&gt;1,Tabla33[[#This Row],[Valor Nominal]]*(Tabla33[[#This Row],[Precio Clean]]-1),0),0)</f>
        <v>0</v>
      </c>
      <c r="AJ205" s="444">
        <f>+IF(Tabla33[[#This Row],[Amortización k | cupón de intereses]]="Amortización de K",IF(Tabla33[[#This Row],[Precio Clean]]&lt;1,Tabla33[[#This Row],[Valor Nominal]]*(Tabla33[[#This Row],[Precio Clean]]-1),0),0)</f>
        <v>0</v>
      </c>
    </row>
    <row r="206" spans="1:36">
      <c r="A206" s="502"/>
      <c r="B206" s="437" t="str">
        <f t="shared" si="140"/>
        <v>Banco Nacional de Fomento</v>
      </c>
      <c r="C206" s="437" t="str">
        <f t="shared" si="140"/>
        <v>BNF_6,50%_04092028_BB2497-04_100K</v>
      </c>
      <c r="D206" s="437" t="s">
        <v>453</v>
      </c>
      <c r="E206" s="437" t="str">
        <f t="shared" si="141"/>
        <v>AA+py</v>
      </c>
      <c r="F206" s="437" t="s">
        <v>297</v>
      </c>
      <c r="G206" s="437" t="s">
        <v>298</v>
      </c>
      <c r="H206" s="437">
        <f t="shared" si="142"/>
        <v>8</v>
      </c>
      <c r="I206" s="492">
        <v>1673.97</v>
      </c>
      <c r="J206" s="451"/>
      <c r="K206" s="450"/>
      <c r="L206" s="451"/>
      <c r="M206" s="493"/>
      <c r="N206" s="493"/>
      <c r="O206" s="494">
        <f t="shared" si="143"/>
        <v>6.6069158911705006E-2</v>
      </c>
      <c r="P206" s="494">
        <f t="shared" si="139"/>
        <v>6.4492590757251556E-2</v>
      </c>
      <c r="Q206" s="450">
        <v>45904</v>
      </c>
      <c r="R206" s="450">
        <v>46636</v>
      </c>
      <c r="S206" s="509" t="s">
        <v>146</v>
      </c>
      <c r="T206" s="510">
        <f>Tabla33[[#This Row],[Cantidad]]*Tabla33[[#This Row],[Cortes]]</f>
        <v>13391.76</v>
      </c>
      <c r="U206" s="511">
        <f t="shared" si="105"/>
        <v>12023.231137078226</v>
      </c>
      <c r="V206" s="511">
        <f t="shared" si="106"/>
        <v>12021.123856852508</v>
      </c>
      <c r="W206" s="497">
        <f>IF(Tabla33[[#This Row],[Fecha de operación]]=$C$1,0,U206-V206)</f>
        <v>2.1072802257185685</v>
      </c>
      <c r="X206" s="512" t="str">
        <f t="shared" si="115"/>
        <v>Vigente</v>
      </c>
      <c r="Y206" s="498" t="s">
        <v>450</v>
      </c>
      <c r="Z206" s="469">
        <f t="shared" si="116"/>
        <v>615</v>
      </c>
      <c r="AA206" s="499">
        <f t="shared" si="144"/>
        <v>2.4705627476236369</v>
      </c>
      <c r="AB206" s="499">
        <f t="shared" si="144"/>
        <v>2.4304188158815183</v>
      </c>
      <c r="AC206" s="469" t="s">
        <v>451</v>
      </c>
      <c r="AD206" s="469" t="s">
        <v>454</v>
      </c>
      <c r="AF206" s="444">
        <f>+IF(Tabla33[[#This Row],[Amortización k | cupón de intereses]]="Amortización de K",Tabla33[[#This Row],[Valor Nominal]],0)</f>
        <v>0</v>
      </c>
      <c r="AG206" s="444">
        <f>+IF(AND(Tabla33[[#This Row],[Amortización k | cupón de intereses]]="Cupón de interés",Tabla33[[#This Row],[Estado]]="Vigente"),Tabla33[[#This Row],[Valor Nominal]],0)</f>
        <v>13391.76</v>
      </c>
      <c r="AH206" s="444">
        <f>+IF(Tabla33[[#This Row],[Amortización k | cupón de intereses]]="Amortización de K",SUMIFS($AG$7:$AG$418,Tabla33[Código Emisión],Tabla33[[#This Row],[Código Emisión]],Tabla33[Fecha de operación],Tabla33[[#This Row],[Fecha de operación]]),0)-Tabla33[[#This Row],[Accrued]]*Tabla33[[#This Row],[Valor Nominal]]</f>
        <v>0</v>
      </c>
      <c r="AI206" s="444">
        <f>+IF(Tabla33[[#This Row],[Amortización k | cupón de intereses]]="Amortización de K",IF(Tabla33[[#This Row],[Precio Clean]]&gt;1,Tabla33[[#This Row],[Valor Nominal]]*(Tabla33[[#This Row],[Precio Clean]]-1),0),0)</f>
        <v>0</v>
      </c>
      <c r="AJ206" s="444">
        <f>+IF(Tabla33[[#This Row],[Amortización k | cupón de intereses]]="Amortización de K",IF(Tabla33[[#This Row],[Precio Clean]]&lt;1,Tabla33[[#This Row],[Valor Nominal]]*(Tabla33[[#This Row],[Precio Clean]]-1),0),0)</f>
        <v>0</v>
      </c>
    </row>
    <row r="207" spans="1:36">
      <c r="A207" s="502"/>
      <c r="B207" s="437" t="str">
        <f t="shared" si="140"/>
        <v>Banco Nacional de Fomento</v>
      </c>
      <c r="C207" s="437" t="str">
        <f t="shared" si="140"/>
        <v>BNF_6,50%_04092028_BB2497-04_100K</v>
      </c>
      <c r="D207" s="437" t="s">
        <v>453</v>
      </c>
      <c r="E207" s="437" t="str">
        <f t="shared" si="141"/>
        <v>AA+py</v>
      </c>
      <c r="F207" s="437" t="s">
        <v>297</v>
      </c>
      <c r="G207" s="437" t="s">
        <v>298</v>
      </c>
      <c r="H207" s="437">
        <f t="shared" si="142"/>
        <v>8</v>
      </c>
      <c r="I207" s="492">
        <v>1638.35</v>
      </c>
      <c r="J207" s="451"/>
      <c r="K207" s="450"/>
      <c r="L207" s="451"/>
      <c r="M207" s="493"/>
      <c r="N207" s="493"/>
      <c r="O207" s="494">
        <f t="shared" si="143"/>
        <v>6.6069158911705006E-2</v>
      </c>
      <c r="P207" s="494">
        <f t="shared" si="139"/>
        <v>6.4492590757251556E-2</v>
      </c>
      <c r="Q207" s="450">
        <v>45904</v>
      </c>
      <c r="R207" s="450">
        <v>46542</v>
      </c>
      <c r="S207" s="509" t="s">
        <v>146</v>
      </c>
      <c r="T207" s="510">
        <f>Tabla33[[#This Row],[Cantidad]]*Tabla33[[#This Row],[Cortes]]</f>
        <v>13106.8</v>
      </c>
      <c r="U207" s="511">
        <f t="shared" si="105"/>
        <v>11962.884174326415</v>
      </c>
      <c r="V207" s="511">
        <f t="shared" si="106"/>
        <v>11960.787470954774</v>
      </c>
      <c r="W207" s="497">
        <f>IF(Tabla33[[#This Row],[Fecha de operación]]=$C$1,0,U207-V207)</f>
        <v>2.0967033716406149</v>
      </c>
      <c r="X207" s="512" t="str">
        <f t="shared" si="115"/>
        <v>Vigente</v>
      </c>
      <c r="Y207" s="498" t="s">
        <v>450</v>
      </c>
      <c r="Z207" s="469">
        <f t="shared" si="116"/>
        <v>521</v>
      </c>
      <c r="AA207" s="499">
        <f t="shared" si="144"/>
        <v>2.4705627476236369</v>
      </c>
      <c r="AB207" s="499">
        <f t="shared" si="144"/>
        <v>2.4304188158815183</v>
      </c>
      <c r="AC207" s="469" t="s">
        <v>451</v>
      </c>
      <c r="AD207" s="469" t="s">
        <v>454</v>
      </c>
      <c r="AF207" s="444">
        <f>+IF(Tabla33[[#This Row],[Amortización k | cupón de intereses]]="Amortización de K",Tabla33[[#This Row],[Valor Nominal]],0)</f>
        <v>0</v>
      </c>
      <c r="AG207" s="444">
        <f>+IF(AND(Tabla33[[#This Row],[Amortización k | cupón de intereses]]="Cupón de interés",Tabla33[[#This Row],[Estado]]="Vigente"),Tabla33[[#This Row],[Valor Nominal]],0)</f>
        <v>13106.8</v>
      </c>
      <c r="AH207" s="444">
        <f>+IF(Tabla33[[#This Row],[Amortización k | cupón de intereses]]="Amortización de K",SUMIFS($AG$7:$AG$418,Tabla33[Código Emisión],Tabla33[[#This Row],[Código Emisión]],Tabla33[Fecha de operación],Tabla33[[#This Row],[Fecha de operación]]),0)-Tabla33[[#This Row],[Accrued]]*Tabla33[[#This Row],[Valor Nominal]]</f>
        <v>0</v>
      </c>
      <c r="AI207" s="444">
        <f>+IF(Tabla33[[#This Row],[Amortización k | cupón de intereses]]="Amortización de K",IF(Tabla33[[#This Row],[Precio Clean]]&gt;1,Tabla33[[#This Row],[Valor Nominal]]*(Tabla33[[#This Row],[Precio Clean]]-1),0),0)</f>
        <v>0</v>
      </c>
      <c r="AJ207" s="444">
        <f>+IF(Tabla33[[#This Row],[Amortización k | cupón de intereses]]="Amortización de K",IF(Tabla33[[#This Row],[Precio Clean]]&lt;1,Tabla33[[#This Row],[Valor Nominal]]*(Tabla33[[#This Row],[Precio Clean]]-1),0),0)</f>
        <v>0</v>
      </c>
    </row>
    <row r="208" spans="1:36">
      <c r="A208" s="502"/>
      <c r="B208" s="437" t="str">
        <f t="shared" si="140"/>
        <v>Banco Nacional de Fomento</v>
      </c>
      <c r="C208" s="437" t="str">
        <f t="shared" si="140"/>
        <v>BNF_6,50%_04092028_BB2497-04_100K</v>
      </c>
      <c r="D208" s="437" t="s">
        <v>453</v>
      </c>
      <c r="E208" s="437" t="str">
        <f t="shared" si="141"/>
        <v>AA+py</v>
      </c>
      <c r="F208" s="437" t="s">
        <v>297</v>
      </c>
      <c r="G208" s="437" t="s">
        <v>298</v>
      </c>
      <c r="H208" s="437">
        <f t="shared" si="142"/>
        <v>8</v>
      </c>
      <c r="I208" s="492">
        <v>1602.73</v>
      </c>
      <c r="J208" s="451"/>
      <c r="K208" s="450"/>
      <c r="L208" s="451"/>
      <c r="M208" s="493"/>
      <c r="N208" s="493"/>
      <c r="O208" s="494">
        <f t="shared" si="143"/>
        <v>6.6069158911705006E-2</v>
      </c>
      <c r="P208" s="494">
        <f t="shared" si="139"/>
        <v>6.4492590757251556E-2</v>
      </c>
      <c r="Q208" s="450">
        <v>45904</v>
      </c>
      <c r="R208" s="450">
        <v>46450</v>
      </c>
      <c r="S208" s="509" t="s">
        <v>146</v>
      </c>
      <c r="T208" s="510">
        <f>Tabla33[[#This Row],[Cantidad]]*Tabla33[[#This Row],[Cortes]]</f>
        <v>12821.84</v>
      </c>
      <c r="U208" s="511">
        <f t="shared" si="105"/>
        <v>11893.043755177703</v>
      </c>
      <c r="V208" s="511">
        <f t="shared" si="106"/>
        <v>11890.959292553378</v>
      </c>
      <c r="W208" s="497">
        <f>IF(Tabla33[[#This Row],[Fecha de operación]]=$C$1,0,U208-V208)</f>
        <v>2.0844626243251696</v>
      </c>
      <c r="X208" s="512" t="str">
        <f t="shared" si="115"/>
        <v>Vigente</v>
      </c>
      <c r="Y208" s="498" t="s">
        <v>450</v>
      </c>
      <c r="Z208" s="469">
        <f t="shared" si="116"/>
        <v>429</v>
      </c>
      <c r="AA208" s="499">
        <f t="shared" si="144"/>
        <v>2.4705627476236369</v>
      </c>
      <c r="AB208" s="499">
        <f t="shared" si="144"/>
        <v>2.4304188158815183</v>
      </c>
      <c r="AC208" s="469" t="s">
        <v>451</v>
      </c>
      <c r="AD208" s="469" t="s">
        <v>454</v>
      </c>
      <c r="AF208" s="444">
        <f>+IF(Tabla33[[#This Row],[Amortización k | cupón de intereses]]="Amortización de K",Tabla33[[#This Row],[Valor Nominal]],0)</f>
        <v>0</v>
      </c>
      <c r="AG208" s="444">
        <f>+IF(AND(Tabla33[[#This Row],[Amortización k | cupón de intereses]]="Cupón de interés",Tabla33[[#This Row],[Estado]]="Vigente"),Tabla33[[#This Row],[Valor Nominal]],0)</f>
        <v>12821.84</v>
      </c>
      <c r="AH208" s="444">
        <f>+IF(Tabla33[[#This Row],[Amortización k | cupón de intereses]]="Amortización de K",SUMIFS($AG$7:$AG$418,Tabla33[Código Emisión],Tabla33[[#This Row],[Código Emisión]],Tabla33[Fecha de operación],Tabla33[[#This Row],[Fecha de operación]]),0)-Tabla33[[#This Row],[Accrued]]*Tabla33[[#This Row],[Valor Nominal]]</f>
        <v>0</v>
      </c>
      <c r="AI208" s="444">
        <f>+IF(Tabla33[[#This Row],[Amortización k | cupón de intereses]]="Amortización de K",IF(Tabla33[[#This Row],[Precio Clean]]&gt;1,Tabla33[[#This Row],[Valor Nominal]]*(Tabla33[[#This Row],[Precio Clean]]-1),0),0)</f>
        <v>0</v>
      </c>
      <c r="AJ208" s="444">
        <f>+IF(Tabla33[[#This Row],[Amortización k | cupón de intereses]]="Amortización de K",IF(Tabla33[[#This Row],[Precio Clean]]&lt;1,Tabla33[[#This Row],[Valor Nominal]]*(Tabla33[[#This Row],[Precio Clean]]-1),0),0)</f>
        <v>0</v>
      </c>
    </row>
    <row r="209" spans="1:36">
      <c r="A209" s="502"/>
      <c r="B209" s="437" t="str">
        <f t="shared" si="140"/>
        <v>Banco Nacional de Fomento</v>
      </c>
      <c r="C209" s="437" t="str">
        <f t="shared" si="140"/>
        <v>BNF_6,50%_04092028_BB2497-04_100K</v>
      </c>
      <c r="D209" s="437" t="s">
        <v>453</v>
      </c>
      <c r="E209" s="437" t="str">
        <f t="shared" si="141"/>
        <v>AA+py</v>
      </c>
      <c r="F209" s="437" t="s">
        <v>297</v>
      </c>
      <c r="G209" s="437" t="s">
        <v>298</v>
      </c>
      <c r="H209" s="437">
        <f t="shared" si="142"/>
        <v>8</v>
      </c>
      <c r="I209" s="492">
        <v>1620.54</v>
      </c>
      <c r="J209" s="451"/>
      <c r="K209" s="450"/>
      <c r="L209" s="451"/>
      <c r="M209" s="493"/>
      <c r="N209" s="493"/>
      <c r="O209" s="494">
        <f t="shared" si="143"/>
        <v>6.6069158911705006E-2</v>
      </c>
      <c r="P209" s="494">
        <f t="shared" si="139"/>
        <v>6.4492590757251556E-2</v>
      </c>
      <c r="Q209" s="450">
        <v>45904</v>
      </c>
      <c r="R209" s="450">
        <v>46360</v>
      </c>
      <c r="S209" s="509" t="s">
        <v>146</v>
      </c>
      <c r="T209" s="510">
        <f>Tabla33[[#This Row],[Cantidad]]*Tabla33[[#This Row],[Cortes]]</f>
        <v>12964.32</v>
      </c>
      <c r="U209" s="511">
        <f t="shared" si="105"/>
        <v>12216.409870915275</v>
      </c>
      <c r="V209" s="511">
        <f t="shared" si="106"/>
        <v>12214.268732758925</v>
      </c>
      <c r="W209" s="497">
        <f>IF(Tabla33[[#This Row],[Fecha de operación]]=$C$1,0,U209-V209)</f>
        <v>2.14113815635028</v>
      </c>
      <c r="X209" s="512" t="str">
        <f t="shared" si="115"/>
        <v>Vigente</v>
      </c>
      <c r="Y209" s="498" t="s">
        <v>450</v>
      </c>
      <c r="Z209" s="469">
        <f t="shared" si="116"/>
        <v>339</v>
      </c>
      <c r="AA209" s="499">
        <f t="shared" si="144"/>
        <v>2.4705627476236369</v>
      </c>
      <c r="AB209" s="499">
        <f t="shared" si="144"/>
        <v>2.4304188158815183</v>
      </c>
      <c r="AC209" s="469" t="s">
        <v>451</v>
      </c>
      <c r="AD209" s="469" t="s">
        <v>454</v>
      </c>
      <c r="AF209" s="444">
        <f>+IF(Tabla33[[#This Row],[Amortización k | cupón de intereses]]="Amortización de K",Tabla33[[#This Row],[Valor Nominal]],0)</f>
        <v>0</v>
      </c>
      <c r="AG209" s="444">
        <f>+IF(AND(Tabla33[[#This Row],[Amortización k | cupón de intereses]]="Cupón de interés",Tabla33[[#This Row],[Estado]]="Vigente"),Tabla33[[#This Row],[Valor Nominal]],0)</f>
        <v>12964.32</v>
      </c>
      <c r="AH209" s="444">
        <f>+IF(Tabla33[[#This Row],[Amortización k | cupón de intereses]]="Amortización de K",SUMIFS($AG$7:$AG$418,Tabla33[Código Emisión],Tabla33[[#This Row],[Código Emisión]],Tabla33[Fecha de operación],Tabla33[[#This Row],[Fecha de operación]]),0)-Tabla33[[#This Row],[Accrued]]*Tabla33[[#This Row],[Valor Nominal]]</f>
        <v>0</v>
      </c>
      <c r="AI209" s="444">
        <f>+IF(Tabla33[[#This Row],[Amortización k | cupón de intereses]]="Amortización de K",IF(Tabla33[[#This Row],[Precio Clean]]&gt;1,Tabla33[[#This Row],[Valor Nominal]]*(Tabla33[[#This Row],[Precio Clean]]-1),0),0)</f>
        <v>0</v>
      </c>
      <c r="AJ209" s="444">
        <f>+IF(Tabla33[[#This Row],[Amortización k | cupón de intereses]]="Amortización de K",IF(Tabla33[[#This Row],[Precio Clean]]&lt;1,Tabla33[[#This Row],[Valor Nominal]]*(Tabla33[[#This Row],[Precio Clean]]-1),0),0)</f>
        <v>0</v>
      </c>
    </row>
    <row r="210" spans="1:36">
      <c r="A210" s="502"/>
      <c r="B210" s="437" t="str">
        <f t="shared" si="140"/>
        <v>Banco Nacional de Fomento</v>
      </c>
      <c r="C210" s="437" t="str">
        <f t="shared" si="140"/>
        <v>BNF_6,50%_04092028_BB2497-04_100K</v>
      </c>
      <c r="D210" s="437" t="s">
        <v>453</v>
      </c>
      <c r="E210" s="437" t="str">
        <f t="shared" si="141"/>
        <v>AA+py</v>
      </c>
      <c r="F210" s="437" t="s">
        <v>297</v>
      </c>
      <c r="G210" s="437" t="s">
        <v>298</v>
      </c>
      <c r="H210" s="437">
        <f t="shared" si="142"/>
        <v>8</v>
      </c>
      <c r="I210" s="492">
        <v>1638.35</v>
      </c>
      <c r="J210" s="451"/>
      <c r="K210" s="450"/>
      <c r="L210" s="451"/>
      <c r="M210" s="493"/>
      <c r="N210" s="493"/>
      <c r="O210" s="494">
        <f t="shared" si="143"/>
        <v>6.6069158911705006E-2</v>
      </c>
      <c r="P210" s="494">
        <f t="shared" si="139"/>
        <v>6.4492590757251556E-2</v>
      </c>
      <c r="Q210" s="450">
        <v>45904</v>
      </c>
      <c r="R210" s="450">
        <v>46269</v>
      </c>
      <c r="S210" s="509" t="s">
        <v>146</v>
      </c>
      <c r="T210" s="510">
        <f>Tabla33[[#This Row],[Cantidad]]*Tabla33[[#This Row],[Cortes]]</f>
        <v>13106.8</v>
      </c>
      <c r="U210" s="511">
        <f t="shared" si="105"/>
        <v>12549.251967194446</v>
      </c>
      <c r="V210" s="511">
        <f t="shared" si="106"/>
        <v>12547.052492675781</v>
      </c>
      <c r="W210" s="497">
        <f>IF(Tabla33[[#This Row],[Fecha de operación]]=$C$1,0,U210-V210)</f>
        <v>2.1994745186657383</v>
      </c>
      <c r="X210" s="512" t="str">
        <f t="shared" si="115"/>
        <v>Vigente</v>
      </c>
      <c r="Y210" s="498" t="s">
        <v>450</v>
      </c>
      <c r="Z210" s="469">
        <f t="shared" si="116"/>
        <v>248</v>
      </c>
      <c r="AA210" s="499">
        <f t="shared" si="144"/>
        <v>2.4705627476236369</v>
      </c>
      <c r="AB210" s="499">
        <f t="shared" si="144"/>
        <v>2.4304188158815183</v>
      </c>
      <c r="AC210" s="469" t="s">
        <v>451</v>
      </c>
      <c r="AD210" s="469" t="s">
        <v>454</v>
      </c>
      <c r="AF210" s="444">
        <f>+IF(Tabla33[[#This Row],[Amortización k | cupón de intereses]]="Amortización de K",Tabla33[[#This Row],[Valor Nominal]],0)</f>
        <v>0</v>
      </c>
      <c r="AG210" s="444">
        <f>+IF(AND(Tabla33[[#This Row],[Amortización k | cupón de intereses]]="Cupón de interés",Tabla33[[#This Row],[Estado]]="Vigente"),Tabla33[[#This Row],[Valor Nominal]],0)</f>
        <v>13106.8</v>
      </c>
      <c r="AH210" s="444">
        <f>+IF(Tabla33[[#This Row],[Amortización k | cupón de intereses]]="Amortización de K",SUMIFS($AG$7:$AG$418,Tabla33[Código Emisión],Tabla33[[#This Row],[Código Emisión]],Tabla33[Fecha de operación],Tabla33[[#This Row],[Fecha de operación]]),0)-Tabla33[[#This Row],[Accrued]]*Tabla33[[#This Row],[Valor Nominal]]</f>
        <v>0</v>
      </c>
      <c r="AI210" s="444">
        <f>+IF(Tabla33[[#This Row],[Amortización k | cupón de intereses]]="Amortización de K",IF(Tabla33[[#This Row],[Precio Clean]]&gt;1,Tabla33[[#This Row],[Valor Nominal]]*(Tabla33[[#This Row],[Precio Clean]]-1),0),0)</f>
        <v>0</v>
      </c>
      <c r="AJ210" s="444">
        <f>+IF(Tabla33[[#This Row],[Amortización k | cupón de intereses]]="Amortización de K",IF(Tabla33[[#This Row],[Precio Clean]]&lt;1,Tabla33[[#This Row],[Valor Nominal]]*(Tabla33[[#This Row],[Precio Clean]]-1),0),0)</f>
        <v>0</v>
      </c>
    </row>
    <row r="211" spans="1:36">
      <c r="A211" s="502"/>
      <c r="B211" s="437" t="str">
        <f t="shared" si="140"/>
        <v>Banco Nacional de Fomento</v>
      </c>
      <c r="C211" s="437" t="str">
        <f t="shared" si="140"/>
        <v>BNF_6,50%_04092028_BB2497-04_100K</v>
      </c>
      <c r="D211" s="437" t="s">
        <v>453</v>
      </c>
      <c r="E211" s="437" t="str">
        <f t="shared" si="141"/>
        <v>AA+py</v>
      </c>
      <c r="F211" s="437" t="s">
        <v>297</v>
      </c>
      <c r="G211" s="437" t="s">
        <v>298</v>
      </c>
      <c r="H211" s="437">
        <f t="shared" si="142"/>
        <v>8</v>
      </c>
      <c r="I211" s="492">
        <v>1638.35</v>
      </c>
      <c r="J211" s="451"/>
      <c r="K211" s="450"/>
      <c r="L211" s="451"/>
      <c r="M211" s="493"/>
      <c r="N211" s="493"/>
      <c r="O211" s="494">
        <f t="shared" si="143"/>
        <v>6.6069158911705006E-2</v>
      </c>
      <c r="P211" s="494">
        <f t="shared" si="139"/>
        <v>6.4492590757251556E-2</v>
      </c>
      <c r="Q211" s="450">
        <v>45904</v>
      </c>
      <c r="R211" s="450">
        <v>46177</v>
      </c>
      <c r="S211" s="509" t="s">
        <v>146</v>
      </c>
      <c r="T211" s="510">
        <f>Tabla33[[#This Row],[Cantidad]]*Tabla33[[#This Row],[Cortes]]</f>
        <v>13106.8</v>
      </c>
      <c r="U211" s="511">
        <f t="shared" si="105"/>
        <v>12753.261869882308</v>
      </c>
      <c r="V211" s="511">
        <f t="shared" si="106"/>
        <v>12751.026639082416</v>
      </c>
      <c r="W211" s="497">
        <f>IF(Tabla33[[#This Row],[Fecha de operación]]=$C$1,0,U211-V211)</f>
        <v>2.235230799891724</v>
      </c>
      <c r="X211" s="512" t="str">
        <f t="shared" si="115"/>
        <v>Vigente</v>
      </c>
      <c r="Y211" s="498" t="s">
        <v>450</v>
      </c>
      <c r="Z211" s="469">
        <f t="shared" si="116"/>
        <v>156</v>
      </c>
      <c r="AA211" s="499">
        <f t="shared" si="144"/>
        <v>2.4705627476236369</v>
      </c>
      <c r="AB211" s="499">
        <f t="shared" si="144"/>
        <v>2.4304188158815183</v>
      </c>
      <c r="AC211" s="469" t="s">
        <v>451</v>
      </c>
      <c r="AD211" s="469" t="s">
        <v>454</v>
      </c>
      <c r="AF211" s="444">
        <f>+IF(Tabla33[[#This Row],[Amortización k | cupón de intereses]]="Amortización de K",Tabla33[[#This Row],[Valor Nominal]],0)</f>
        <v>0</v>
      </c>
      <c r="AG211" s="444">
        <f>+IF(AND(Tabla33[[#This Row],[Amortización k | cupón de intereses]]="Cupón de interés",Tabla33[[#This Row],[Estado]]="Vigente"),Tabla33[[#This Row],[Valor Nominal]],0)</f>
        <v>13106.8</v>
      </c>
      <c r="AH211" s="444">
        <f>+IF(Tabla33[[#This Row],[Amortización k | cupón de intereses]]="Amortización de K",SUMIFS($AG$7:$AG$418,Tabla33[Código Emisión],Tabla33[[#This Row],[Código Emisión]],Tabla33[Fecha de operación],Tabla33[[#This Row],[Fecha de operación]]),0)-Tabla33[[#This Row],[Accrued]]*Tabla33[[#This Row],[Valor Nominal]]</f>
        <v>0</v>
      </c>
      <c r="AI211" s="444">
        <f>+IF(Tabla33[[#This Row],[Amortización k | cupón de intereses]]="Amortización de K",IF(Tabla33[[#This Row],[Precio Clean]]&gt;1,Tabla33[[#This Row],[Valor Nominal]]*(Tabla33[[#This Row],[Precio Clean]]-1),0),0)</f>
        <v>0</v>
      </c>
      <c r="AJ211" s="444">
        <f>+IF(Tabla33[[#This Row],[Amortización k | cupón de intereses]]="Amortización de K",IF(Tabla33[[#This Row],[Precio Clean]]&lt;1,Tabla33[[#This Row],[Valor Nominal]]*(Tabla33[[#This Row],[Precio Clean]]-1),0),0)</f>
        <v>0</v>
      </c>
    </row>
    <row r="212" spans="1:36">
      <c r="A212" s="502"/>
      <c r="B212" s="437" t="str">
        <f t="shared" si="140"/>
        <v>Banco Nacional de Fomento</v>
      </c>
      <c r="C212" s="437" t="str">
        <f t="shared" si="140"/>
        <v>BNF_6,50%_04092028_BB2497-04_100K</v>
      </c>
      <c r="D212" s="437" t="s">
        <v>453</v>
      </c>
      <c r="E212" s="437" t="str">
        <f t="shared" si="141"/>
        <v>AA+py</v>
      </c>
      <c r="F212" s="437" t="s">
        <v>297</v>
      </c>
      <c r="G212" s="437" t="s">
        <v>298</v>
      </c>
      <c r="H212" s="437">
        <f t="shared" si="142"/>
        <v>8</v>
      </c>
      <c r="I212" s="492">
        <v>1602.73</v>
      </c>
      <c r="J212" s="451"/>
      <c r="K212" s="450"/>
      <c r="L212" s="451"/>
      <c r="M212" s="493"/>
      <c r="N212" s="493"/>
      <c r="O212" s="494">
        <f t="shared" si="143"/>
        <v>6.6069158911705006E-2</v>
      </c>
      <c r="P212" s="494">
        <f t="shared" si="139"/>
        <v>6.4492590757251556E-2</v>
      </c>
      <c r="Q212" s="450">
        <v>45904</v>
      </c>
      <c r="R212" s="450">
        <v>46085</v>
      </c>
      <c r="S212" s="509" t="s">
        <v>146</v>
      </c>
      <c r="T212" s="510">
        <f>Tabla33[[#This Row],[Cantidad]]*Tabla33[[#This Row],[Cortes]]</f>
        <v>12821.84</v>
      </c>
      <c r="U212" s="511">
        <f t="shared" si="105"/>
        <v>12678.807152982399</v>
      </c>
      <c r="V212" s="511">
        <f t="shared" si="106"/>
        <v>12676.584971665701</v>
      </c>
      <c r="W212" s="497">
        <f>IF(Tabla33[[#This Row],[Fecha de operación]]=$C$1,0,U212-V212)</f>
        <v>2.22218131669797</v>
      </c>
      <c r="X212" s="512" t="str">
        <f t="shared" si="115"/>
        <v>Vigente</v>
      </c>
      <c r="Y212" s="498" t="s">
        <v>450</v>
      </c>
      <c r="Z212" s="469">
        <f t="shared" si="116"/>
        <v>64</v>
      </c>
      <c r="AA212" s="499">
        <f t="shared" si="144"/>
        <v>2.4705627476236369</v>
      </c>
      <c r="AB212" s="499">
        <f t="shared" si="144"/>
        <v>2.4304188158815183</v>
      </c>
      <c r="AC212" s="469" t="s">
        <v>451</v>
      </c>
      <c r="AD212" s="469" t="s">
        <v>454</v>
      </c>
      <c r="AF212" s="444">
        <f>+IF(Tabla33[[#This Row],[Amortización k | cupón de intereses]]="Amortización de K",Tabla33[[#This Row],[Valor Nominal]],0)</f>
        <v>0</v>
      </c>
      <c r="AG212" s="444">
        <f>+IF(AND(Tabla33[[#This Row],[Amortización k | cupón de intereses]]="Cupón de interés",Tabla33[[#This Row],[Estado]]="Vigente"),Tabla33[[#This Row],[Valor Nominal]],0)</f>
        <v>12821.84</v>
      </c>
      <c r="AH212" s="444">
        <f>+IF(Tabla33[[#This Row],[Amortización k | cupón de intereses]]="Amortización de K",SUMIFS($AG$7:$AG$418,Tabla33[Código Emisión],Tabla33[[#This Row],[Código Emisión]],Tabla33[Fecha de operación],Tabla33[[#This Row],[Fecha de operación]]),0)-Tabla33[[#This Row],[Accrued]]*Tabla33[[#This Row],[Valor Nominal]]</f>
        <v>0</v>
      </c>
      <c r="AI212" s="444">
        <f>+IF(Tabla33[[#This Row],[Amortización k | cupón de intereses]]="Amortización de K",IF(Tabla33[[#This Row],[Precio Clean]]&gt;1,Tabla33[[#This Row],[Valor Nominal]]*(Tabla33[[#This Row],[Precio Clean]]-1),0),0)</f>
        <v>0</v>
      </c>
      <c r="AJ212" s="444">
        <f>+IF(Tabla33[[#This Row],[Amortización k | cupón de intereses]]="Amortización de K",IF(Tabla33[[#This Row],[Precio Clean]]&lt;1,Tabla33[[#This Row],[Valor Nominal]]*(Tabla33[[#This Row],[Precio Clean]]-1),0),0)</f>
        <v>0</v>
      </c>
    </row>
    <row r="213" spans="1:36">
      <c r="A213" s="502"/>
      <c r="B213" s="437" t="str">
        <f t="shared" si="140"/>
        <v>Banco Nacional de Fomento</v>
      </c>
      <c r="C213" s="437" t="str">
        <f t="shared" si="140"/>
        <v>BNF_6,50%_04092028_BB2497-04_100K</v>
      </c>
      <c r="D213" s="437" t="s">
        <v>453</v>
      </c>
      <c r="E213" s="437" t="str">
        <f t="shared" si="141"/>
        <v>AA+py</v>
      </c>
      <c r="F213" s="437" t="s">
        <v>297</v>
      </c>
      <c r="G213" s="437" t="s">
        <v>298</v>
      </c>
      <c r="H213" s="437">
        <f t="shared" si="142"/>
        <v>8</v>
      </c>
      <c r="I213" s="492">
        <v>1620.54</v>
      </c>
      <c r="J213" s="451"/>
      <c r="K213" s="450"/>
      <c r="L213" s="451"/>
      <c r="M213" s="493"/>
      <c r="N213" s="493"/>
      <c r="O213" s="494">
        <f t="shared" si="143"/>
        <v>6.6069158911705006E-2</v>
      </c>
      <c r="P213" s="494">
        <f t="shared" si="139"/>
        <v>6.4492590757251556E-2</v>
      </c>
      <c r="Q213" s="450">
        <v>45904</v>
      </c>
      <c r="R213" s="450">
        <v>45995</v>
      </c>
      <c r="S213" s="509" t="s">
        <v>146</v>
      </c>
      <c r="T213" s="510">
        <f>Tabla33[[#This Row],[Cantidad]]*Tabla33[[#This Row],[Cortes]]</f>
        <v>12964.32</v>
      </c>
      <c r="U213" s="511" t="b">
        <f t="shared" si="105"/>
        <v>0</v>
      </c>
      <c r="V213" s="511" t="b">
        <f t="shared" si="106"/>
        <v>0</v>
      </c>
      <c r="W213" s="497">
        <f>IF(Tabla33[[#This Row],[Fecha de operación]]=$C$1,0,U213-V213)</f>
        <v>0</v>
      </c>
      <c r="X213" s="512" t="str">
        <f t="shared" si="115"/>
        <v>Vencido</v>
      </c>
      <c r="Y213" s="498" t="s">
        <v>450</v>
      </c>
      <c r="Z213" s="469">
        <f t="shared" si="116"/>
        <v>-26</v>
      </c>
      <c r="AA213" s="499">
        <f t="shared" si="144"/>
        <v>2.4705627476236369</v>
      </c>
      <c r="AB213" s="499">
        <f t="shared" si="144"/>
        <v>2.4304188158815183</v>
      </c>
      <c r="AC213" s="469" t="s">
        <v>451</v>
      </c>
      <c r="AD213" s="469" t="s">
        <v>454</v>
      </c>
      <c r="AF213" s="444">
        <f>+IF(Tabla33[[#This Row],[Amortización k | cupón de intereses]]="Amortización de K",Tabla33[[#This Row],[Valor Nominal]],0)</f>
        <v>0</v>
      </c>
      <c r="AG213" s="444">
        <f>+IF(AND(Tabla33[[#This Row],[Amortización k | cupón de intereses]]="Cupón de interés",Tabla33[[#This Row],[Estado]]="Vigente"),Tabla33[[#This Row],[Valor Nominal]],0)</f>
        <v>0</v>
      </c>
      <c r="AH213" s="444">
        <f>+IF(Tabla33[[#This Row],[Amortización k | cupón de intereses]]="Amortización de K",SUMIFS($AG$7:$AG$418,Tabla33[Código Emisión],Tabla33[[#This Row],[Código Emisión]],Tabla33[Fecha de operación],Tabla33[[#This Row],[Fecha de operación]]),0)-Tabla33[[#This Row],[Accrued]]*Tabla33[[#This Row],[Valor Nominal]]</f>
        <v>0</v>
      </c>
      <c r="AI213" s="444">
        <f>+IF(Tabla33[[#This Row],[Amortización k | cupón de intereses]]="Amortización de K",IF(Tabla33[[#This Row],[Precio Clean]]&gt;1,Tabla33[[#This Row],[Valor Nominal]]*(Tabla33[[#This Row],[Precio Clean]]-1),0),0)</f>
        <v>0</v>
      </c>
      <c r="AJ213" s="444">
        <f>+IF(Tabla33[[#This Row],[Amortización k | cupón de intereses]]="Amortización de K",IF(Tabla33[[#This Row],[Precio Clean]]&lt;1,Tabla33[[#This Row],[Valor Nominal]]*(Tabla33[[#This Row],[Precio Clean]]-1),0),0)</f>
        <v>0</v>
      </c>
    </row>
    <row r="214" spans="1:36" ht="15">
      <c r="A214" s="500">
        <f>+A200+1</f>
        <v>25</v>
      </c>
      <c r="B214" s="475" t="s">
        <v>516</v>
      </c>
      <c r="C214" s="475" t="s">
        <v>517</v>
      </c>
      <c r="D214" s="475" t="s">
        <v>453</v>
      </c>
      <c r="E214" s="475" t="s">
        <v>449</v>
      </c>
      <c r="F214" s="475" t="s">
        <v>297</v>
      </c>
      <c r="G214" s="475" t="s">
        <v>298</v>
      </c>
      <c r="H214" s="475">
        <v>1</v>
      </c>
      <c r="I214" s="477">
        <v>50000</v>
      </c>
      <c r="J214" s="478">
        <v>6.3E-2</v>
      </c>
      <c r="K214" s="479">
        <f>_xlfn.MAXIFS(R:R,C:C,C214,AD:AD,"Cupón de interés",X:X,"Vencido")</f>
        <v>45943</v>
      </c>
      <c r="L214" s="478">
        <f>+Tabla33[[#This Row],[Tasa de Interés]]*($U$5-Tabla33[[#This Row],[Last coupon]])/365</f>
        <v>1.3463013698630136E-2</v>
      </c>
      <c r="M214" s="480">
        <f>+Tabla33[[#This Row],[Precio Dirty]]-Tabla33[[#This Row],[Accrued]]</f>
        <v>0.98834410252168248</v>
      </c>
      <c r="N214" s="481">
        <f>SUMIFS(U:U,C:C,C214,Q:Q,Q214)/SUMIFS(T:T,C:C,C214,Q:Q,Q214,AD:AD,"Amortización de K")</f>
        <v>1.0018071162203126</v>
      </c>
      <c r="O214" s="482">
        <v>6.8107643723487862E-2</v>
      </c>
      <c r="P214" s="482">
        <v>6.698586712486998E-2</v>
      </c>
      <c r="Q214" s="484">
        <v>45909</v>
      </c>
      <c r="R214" s="484">
        <v>47224</v>
      </c>
      <c r="S214" s="504" t="s">
        <v>146</v>
      </c>
      <c r="T214" s="505">
        <f>Tabla33[[#This Row],[Cantidad]]*Tabla33[[#This Row],[Cortes]]</f>
        <v>50000</v>
      </c>
      <c r="U214" s="505">
        <f t="shared" si="105"/>
        <v>40240.004843820025</v>
      </c>
      <c r="V214" s="505">
        <f t="shared" si="106"/>
        <v>40232.741514254216</v>
      </c>
      <c r="W214" s="505">
        <f>IF(Tabla33[[#This Row],[Fecha de operación]]=$C$1,0,U214-V214)</f>
        <v>7.2633295658088173</v>
      </c>
      <c r="X214" s="507" t="str">
        <f t="shared" si="115"/>
        <v>Vigente</v>
      </c>
      <c r="Y214" s="489" t="s">
        <v>450</v>
      </c>
      <c r="Z214" s="488">
        <f t="shared" si="116"/>
        <v>1203</v>
      </c>
      <c r="AA214" s="508">
        <f t="shared" ref="AA214" si="145">IF(Y214="Mensual",DURATION($C$1,$C$1+Z214*12,J214/12,O214/12,1)/12,DURATION($C$1,R214,J214,O214,IF(Y214="Cupón cero",1,IF(Y214="Al vencimiento",1,IF(Y214="Anual",1,IF(Y214="Semestral",2,IF(Y214="Trimestral",4,"")))))))</f>
        <v>2.9593839016067913</v>
      </c>
      <c r="AB214" s="508">
        <f t="shared" ref="AB214" si="146">IF(Y214="Mensual",MDURATION($C$1,$C$1+Z214*12,J214/12,O214/12,1)/12,MDURATION($C$1,R214,J214,O214,IF(Y214="Cupón cero",1,IF(Y214="Al vencimiento",1,IF(Y214="Anual",1,IF(Y214="Semestral",2,IF(Y214="Trimestral",4,"")))))))</f>
        <v>2.9098383433119821</v>
      </c>
      <c r="AC214" s="488" t="s">
        <v>451</v>
      </c>
      <c r="AD214" s="488" t="s">
        <v>452</v>
      </c>
      <c r="AF214" s="444">
        <f>+IF(Tabla33[[#This Row],[Amortización k | cupón de intereses]]="Amortización de K",Tabla33[[#This Row],[Valor Nominal]],0)</f>
        <v>50000</v>
      </c>
      <c r="AG214" s="444">
        <f>+IF(AND(Tabla33[[#This Row],[Amortización k | cupón de intereses]]="Cupón de interés",Tabla33[[#This Row],[Estado]]="Vigente"),Tabla33[[#This Row],[Valor Nominal]],0)</f>
        <v>0</v>
      </c>
      <c r="AH214" s="444">
        <f>+IF(Tabla33[[#This Row],[Amortización k | cupón de intereses]]="Amortización de K",SUMIFS($AG$7:$AG$418,Tabla33[Código Emisión],Tabla33[[#This Row],[Código Emisión]],Tabla33[Fecha de operación],Tabla33[[#This Row],[Fecha de operación]]),0)-Tabla33[[#This Row],[Accrued]]*Tabla33[[#This Row],[Valor Nominal]]</f>
        <v>10382.059315068494</v>
      </c>
      <c r="AI214" s="444">
        <f>+IF(Tabla33[[#This Row],[Amortización k | cupón de intereses]]="Amortización de K",IF(Tabla33[[#This Row],[Precio Clean]]&gt;1,Tabla33[[#This Row],[Valor Nominal]]*(Tabla33[[#This Row],[Precio Clean]]-1),0),0)</f>
        <v>0</v>
      </c>
      <c r="AJ214" s="444">
        <f>+IF(Tabla33[[#This Row],[Amortización k | cupón de intereses]]="Amortización de K",IF(Tabla33[[#This Row],[Precio Clean]]&lt;1,Tabla33[[#This Row],[Valor Nominal]]*(Tabla33[[#This Row],[Precio Clean]]-1),0),0)</f>
        <v>-582.79487391587611</v>
      </c>
    </row>
    <row r="215" spans="1:36">
      <c r="A215" s="502"/>
      <c r="B215" s="437" t="str">
        <f>+B214</f>
        <v>Bancop S.A.</v>
      </c>
      <c r="C215" s="437" t="str">
        <f>+C214</f>
        <v>BCO_6,30%_16042029_AA3719_50K</v>
      </c>
      <c r="D215" s="437" t="s">
        <v>453</v>
      </c>
      <c r="E215" s="437" t="str">
        <f>+E214</f>
        <v>AA-py</v>
      </c>
      <c r="F215" s="437" t="s">
        <v>297</v>
      </c>
      <c r="G215" s="437" t="s">
        <v>298</v>
      </c>
      <c r="H215" s="437">
        <f>+H214</f>
        <v>1</v>
      </c>
      <c r="I215" s="492">
        <v>181.27</v>
      </c>
      <c r="J215" s="451"/>
      <c r="K215" s="450"/>
      <c r="L215" s="451"/>
      <c r="M215" s="493"/>
      <c r="N215" s="493"/>
      <c r="O215" s="494">
        <f>+O214</f>
        <v>6.8107643723487862E-2</v>
      </c>
      <c r="P215" s="494">
        <f t="shared" ref="P215:Q223" si="147">+P214</f>
        <v>6.698586712486998E-2</v>
      </c>
      <c r="Q215" s="450">
        <f>+Q214</f>
        <v>45909</v>
      </c>
      <c r="R215" s="450">
        <v>47224</v>
      </c>
      <c r="S215" s="509" t="s">
        <v>146</v>
      </c>
      <c r="T215" s="510">
        <f>Tabla33[[#This Row],[Cantidad]]*Tabla33[[#This Row],[Cortes]]</f>
        <v>181.27</v>
      </c>
      <c r="U215" s="511">
        <f t="shared" si="105"/>
        <v>145.88611356078513</v>
      </c>
      <c r="V215" s="511">
        <f t="shared" si="106"/>
        <v>145.85978108577726</v>
      </c>
      <c r="W215" s="497">
        <f>IF(Tabla33[[#This Row],[Fecha de operación]]=$C$1,0,U215-V215)</f>
        <v>2.633247500787661E-2</v>
      </c>
      <c r="X215" s="512" t="str">
        <f t="shared" si="115"/>
        <v>Vigente</v>
      </c>
      <c r="Y215" s="498" t="s">
        <v>450</v>
      </c>
      <c r="Z215" s="469">
        <f t="shared" si="116"/>
        <v>1203</v>
      </c>
      <c r="AA215" s="499">
        <f>+AA214</f>
        <v>2.9593839016067913</v>
      </c>
      <c r="AB215" s="499">
        <f>+AB214</f>
        <v>2.9098383433119821</v>
      </c>
      <c r="AC215" s="469" t="s">
        <v>451</v>
      </c>
      <c r="AD215" s="469" t="s">
        <v>454</v>
      </c>
      <c r="AF215" s="444">
        <f>+IF(Tabla33[[#This Row],[Amortización k | cupón de intereses]]="Amortización de K",Tabla33[[#This Row],[Valor Nominal]],0)</f>
        <v>0</v>
      </c>
      <c r="AG215" s="444">
        <f>+IF(AND(Tabla33[[#This Row],[Amortización k | cupón de intereses]]="Cupón de interés",Tabla33[[#This Row],[Estado]]="Vigente"),Tabla33[[#This Row],[Valor Nominal]],0)</f>
        <v>181.27</v>
      </c>
      <c r="AH215" s="444">
        <f>+IF(Tabla33[[#This Row],[Amortización k | cupón de intereses]]="Amortización de K",SUMIFS($AG$7:$AG$418,Tabla33[Código Emisión],Tabla33[[#This Row],[Código Emisión]],Tabla33[Fecha de operación],Tabla33[[#This Row],[Fecha de operación]]),0)-Tabla33[[#This Row],[Accrued]]*Tabla33[[#This Row],[Valor Nominal]]</f>
        <v>0</v>
      </c>
      <c r="AI215" s="444">
        <f>+IF(Tabla33[[#This Row],[Amortización k | cupón de intereses]]="Amortización de K",IF(Tabla33[[#This Row],[Precio Clean]]&gt;1,Tabla33[[#This Row],[Valor Nominal]]*(Tabla33[[#This Row],[Precio Clean]]-1),0),0)</f>
        <v>0</v>
      </c>
      <c r="AJ215" s="444">
        <f>+IF(Tabla33[[#This Row],[Amortización k | cupón de intereses]]="Amortización de K",IF(Tabla33[[#This Row],[Precio Clean]]&lt;1,Tabla33[[#This Row],[Valor Nominal]]*(Tabla33[[#This Row],[Precio Clean]]-1),0),0)</f>
        <v>0</v>
      </c>
    </row>
    <row r="216" spans="1:36">
      <c r="A216" s="502"/>
      <c r="B216" s="437" t="str">
        <f t="shared" ref="B216:C223" si="148">+B215</f>
        <v>Bancop S.A.</v>
      </c>
      <c r="C216" s="437" t="str">
        <f t="shared" si="148"/>
        <v>BCO_6,30%_16042029_AA3719_50K</v>
      </c>
      <c r="D216" s="437" t="s">
        <v>453</v>
      </c>
      <c r="E216" s="437" t="str">
        <f t="shared" ref="E216:E223" si="149">+E215</f>
        <v>AA-py</v>
      </c>
      <c r="F216" s="437" t="s">
        <v>297</v>
      </c>
      <c r="G216" s="437" t="s">
        <v>298</v>
      </c>
      <c r="H216" s="437">
        <f t="shared" ref="H216:H223" si="150">+H215</f>
        <v>1</v>
      </c>
      <c r="I216" s="492">
        <v>1553.42</v>
      </c>
      <c r="J216" s="451"/>
      <c r="K216" s="450"/>
      <c r="L216" s="451"/>
      <c r="M216" s="493"/>
      <c r="N216" s="493"/>
      <c r="O216" s="494">
        <f t="shared" ref="O216:O223" si="151">+O215</f>
        <v>6.8107643723487862E-2</v>
      </c>
      <c r="P216" s="494">
        <f t="shared" si="147"/>
        <v>6.698586712486998E-2</v>
      </c>
      <c r="Q216" s="450">
        <f t="shared" si="147"/>
        <v>45909</v>
      </c>
      <c r="R216" s="450">
        <v>47203</v>
      </c>
      <c r="S216" s="509" t="s">
        <v>146</v>
      </c>
      <c r="T216" s="510">
        <f>Tabla33[[#This Row],[Cantidad]]*Tabla33[[#This Row],[Cortes]]</f>
        <v>1553.42</v>
      </c>
      <c r="U216" s="511">
        <f t="shared" si="105"/>
        <v>1254.9408491372765</v>
      </c>
      <c r="V216" s="511">
        <f t="shared" si="106"/>
        <v>1254.7143320429509</v>
      </c>
      <c r="W216" s="497">
        <f>IF(Tabla33[[#This Row],[Fecha de operación]]=$C$1,0,U216-V216)</f>
        <v>0.22651709432557254</v>
      </c>
      <c r="X216" s="512" t="str">
        <f t="shared" si="115"/>
        <v>Vigente</v>
      </c>
      <c r="Y216" s="498" t="s">
        <v>450</v>
      </c>
      <c r="Z216" s="469">
        <f t="shared" si="116"/>
        <v>1182</v>
      </c>
      <c r="AA216" s="499">
        <f t="shared" ref="AA216:AB223" si="152">+AA215</f>
        <v>2.9593839016067913</v>
      </c>
      <c r="AB216" s="499">
        <f t="shared" si="152"/>
        <v>2.9098383433119821</v>
      </c>
      <c r="AC216" s="469" t="s">
        <v>451</v>
      </c>
      <c r="AD216" s="469" t="s">
        <v>454</v>
      </c>
      <c r="AF216" s="444">
        <f>+IF(Tabla33[[#This Row],[Amortización k | cupón de intereses]]="Amortización de K",Tabla33[[#This Row],[Valor Nominal]],0)</f>
        <v>0</v>
      </c>
      <c r="AG216" s="444">
        <f>+IF(AND(Tabla33[[#This Row],[Amortización k | cupón de intereses]]="Cupón de interés",Tabla33[[#This Row],[Estado]]="Vigente"),Tabla33[[#This Row],[Valor Nominal]],0)</f>
        <v>1553.42</v>
      </c>
      <c r="AH216" s="444">
        <f>+IF(Tabla33[[#This Row],[Amortización k | cupón de intereses]]="Amortización de K",SUMIFS($AG$7:$AG$418,Tabla33[Código Emisión],Tabla33[[#This Row],[Código Emisión]],Tabla33[Fecha de operación],Tabla33[[#This Row],[Fecha de operación]]),0)-Tabla33[[#This Row],[Accrued]]*Tabla33[[#This Row],[Valor Nominal]]</f>
        <v>0</v>
      </c>
      <c r="AI216" s="444">
        <f>+IF(Tabla33[[#This Row],[Amortización k | cupón de intereses]]="Amortización de K",IF(Tabla33[[#This Row],[Precio Clean]]&gt;1,Tabla33[[#This Row],[Valor Nominal]]*(Tabla33[[#This Row],[Precio Clean]]-1),0),0)</f>
        <v>0</v>
      </c>
      <c r="AJ216" s="444">
        <f>+IF(Tabla33[[#This Row],[Amortización k | cupón de intereses]]="Amortización de K",IF(Tabla33[[#This Row],[Precio Clean]]&lt;1,Tabla33[[#This Row],[Valor Nominal]]*(Tabla33[[#This Row],[Precio Clean]]-1),0),0)</f>
        <v>0</v>
      </c>
    </row>
    <row r="217" spans="1:36">
      <c r="A217" s="502"/>
      <c r="B217" s="437" t="str">
        <f t="shared" si="148"/>
        <v>Bancop S.A.</v>
      </c>
      <c r="C217" s="437" t="str">
        <f t="shared" si="148"/>
        <v>BCO_6,30%_16042029_AA3719_50K</v>
      </c>
      <c r="D217" s="437" t="s">
        <v>453</v>
      </c>
      <c r="E217" s="437" t="str">
        <f t="shared" si="149"/>
        <v>AA-py</v>
      </c>
      <c r="F217" s="437" t="s">
        <v>297</v>
      </c>
      <c r="G217" s="437" t="s">
        <v>298</v>
      </c>
      <c r="H217" s="437">
        <f t="shared" si="150"/>
        <v>1</v>
      </c>
      <c r="I217" s="492">
        <v>1553.42</v>
      </c>
      <c r="J217" s="451"/>
      <c r="K217" s="450"/>
      <c r="L217" s="451"/>
      <c r="M217" s="493"/>
      <c r="N217" s="493"/>
      <c r="O217" s="494">
        <f t="shared" si="151"/>
        <v>6.8107643723487862E-2</v>
      </c>
      <c r="P217" s="494">
        <f t="shared" si="147"/>
        <v>6.698586712486998E-2</v>
      </c>
      <c r="Q217" s="450">
        <f t="shared" si="147"/>
        <v>45909</v>
      </c>
      <c r="R217" s="450">
        <v>47023</v>
      </c>
      <c r="S217" s="509" t="s">
        <v>146</v>
      </c>
      <c r="T217" s="510">
        <f>Tabla33[[#This Row],[Cantidad]]*Tabla33[[#This Row],[Cortes]]</f>
        <v>1553.42</v>
      </c>
      <c r="U217" s="511">
        <f t="shared" si="105"/>
        <v>1296.387319308647</v>
      </c>
      <c r="V217" s="511">
        <f t="shared" si="106"/>
        <v>1296.1533211175033</v>
      </c>
      <c r="W217" s="497">
        <f>IF(Tabla33[[#This Row],[Fecha de operación]]=$C$1,0,U217-V217)</f>
        <v>0.23399819114365528</v>
      </c>
      <c r="X217" s="512" t="str">
        <f t="shared" si="115"/>
        <v>Vigente</v>
      </c>
      <c r="Y217" s="498" t="s">
        <v>450</v>
      </c>
      <c r="Z217" s="469">
        <f t="shared" si="116"/>
        <v>1002</v>
      </c>
      <c r="AA217" s="499">
        <f t="shared" si="152"/>
        <v>2.9593839016067913</v>
      </c>
      <c r="AB217" s="499">
        <f t="shared" si="152"/>
        <v>2.9098383433119821</v>
      </c>
      <c r="AC217" s="469" t="s">
        <v>451</v>
      </c>
      <c r="AD217" s="469" t="s">
        <v>454</v>
      </c>
      <c r="AF217" s="444">
        <f>+IF(Tabla33[[#This Row],[Amortización k | cupón de intereses]]="Amortización de K",Tabla33[[#This Row],[Valor Nominal]],0)</f>
        <v>0</v>
      </c>
      <c r="AG217" s="444">
        <f>+IF(AND(Tabla33[[#This Row],[Amortización k | cupón de intereses]]="Cupón de interés",Tabla33[[#This Row],[Estado]]="Vigente"),Tabla33[[#This Row],[Valor Nominal]],0)</f>
        <v>1553.42</v>
      </c>
      <c r="AH217" s="444">
        <f>+IF(Tabla33[[#This Row],[Amortización k | cupón de intereses]]="Amortización de K",SUMIFS($AG$7:$AG$418,Tabla33[Código Emisión],Tabla33[[#This Row],[Código Emisión]],Tabla33[Fecha de operación],Tabla33[[#This Row],[Fecha de operación]]),0)-Tabla33[[#This Row],[Accrued]]*Tabla33[[#This Row],[Valor Nominal]]</f>
        <v>0</v>
      </c>
      <c r="AI217" s="444">
        <f>+IF(Tabla33[[#This Row],[Amortización k | cupón de intereses]]="Amortización de K",IF(Tabla33[[#This Row],[Precio Clean]]&gt;1,Tabla33[[#This Row],[Valor Nominal]]*(Tabla33[[#This Row],[Precio Clean]]-1),0),0)</f>
        <v>0</v>
      </c>
      <c r="AJ217" s="444">
        <f>+IF(Tabla33[[#This Row],[Amortización k | cupón de intereses]]="Amortización de K",IF(Tabla33[[#This Row],[Precio Clean]]&lt;1,Tabla33[[#This Row],[Valor Nominal]]*(Tabla33[[#This Row],[Precio Clean]]-1),0),0)</f>
        <v>0</v>
      </c>
    </row>
    <row r="218" spans="1:36">
      <c r="A218" s="502"/>
      <c r="B218" s="437" t="str">
        <f t="shared" si="148"/>
        <v>Bancop S.A.</v>
      </c>
      <c r="C218" s="437" t="str">
        <f t="shared" si="148"/>
        <v>BCO_6,30%_16042029_AA3719_50K</v>
      </c>
      <c r="D218" s="437" t="s">
        <v>453</v>
      </c>
      <c r="E218" s="437" t="str">
        <f t="shared" si="149"/>
        <v>AA-py</v>
      </c>
      <c r="F218" s="437" t="s">
        <v>297</v>
      </c>
      <c r="G218" s="437" t="s">
        <v>298</v>
      </c>
      <c r="H218" s="437">
        <f t="shared" si="150"/>
        <v>1</v>
      </c>
      <c r="I218" s="492">
        <v>1544.79</v>
      </c>
      <c r="J218" s="451"/>
      <c r="K218" s="450"/>
      <c r="L218" s="451"/>
      <c r="M218" s="493"/>
      <c r="N218" s="493"/>
      <c r="O218" s="494">
        <f t="shared" si="151"/>
        <v>6.8107643723487862E-2</v>
      </c>
      <c r="P218" s="494">
        <f t="shared" si="147"/>
        <v>6.698586712486998E-2</v>
      </c>
      <c r="Q218" s="450">
        <f t="shared" si="147"/>
        <v>45909</v>
      </c>
      <c r="R218" s="450">
        <v>46843</v>
      </c>
      <c r="S218" s="509" t="s">
        <v>146</v>
      </c>
      <c r="T218" s="510">
        <f>Tabla33[[#This Row],[Cantidad]]*Tabla33[[#This Row],[Cortes]]</f>
        <v>1544.79</v>
      </c>
      <c r="U218" s="511">
        <f t="shared" ref="U218:U281" si="153">IF(X218="VIgente",(T218/(1+O218)^((R218-$U$5)/365)))</f>
        <v>1331.7627080121397</v>
      </c>
      <c r="V218" s="511">
        <f t="shared" ref="V218:V281" si="154">IF(X218="VIgente",(T218/(1+O218)^((R218-$V$5)/365)))</f>
        <v>1331.5223245556942</v>
      </c>
      <c r="W218" s="497">
        <f>IF(Tabla33[[#This Row],[Fecha de operación]]=$C$1,0,U218-V218)</f>
        <v>0.24038345644544279</v>
      </c>
      <c r="X218" s="512" t="str">
        <f t="shared" si="115"/>
        <v>Vigente</v>
      </c>
      <c r="Y218" s="498" t="s">
        <v>450</v>
      </c>
      <c r="Z218" s="469">
        <f t="shared" si="116"/>
        <v>822</v>
      </c>
      <c r="AA218" s="499">
        <f t="shared" si="152"/>
        <v>2.9593839016067913</v>
      </c>
      <c r="AB218" s="499">
        <f t="shared" si="152"/>
        <v>2.9098383433119821</v>
      </c>
      <c r="AC218" s="469" t="s">
        <v>451</v>
      </c>
      <c r="AD218" s="469" t="s">
        <v>454</v>
      </c>
      <c r="AF218" s="444">
        <f>+IF(Tabla33[[#This Row],[Amortización k | cupón de intereses]]="Amortización de K",Tabla33[[#This Row],[Valor Nominal]],0)</f>
        <v>0</v>
      </c>
      <c r="AG218" s="444">
        <f>+IF(AND(Tabla33[[#This Row],[Amortización k | cupón de intereses]]="Cupón de interés",Tabla33[[#This Row],[Estado]]="Vigente"),Tabla33[[#This Row],[Valor Nominal]],0)</f>
        <v>1544.79</v>
      </c>
      <c r="AH218" s="444">
        <f>+IF(Tabla33[[#This Row],[Amortización k | cupón de intereses]]="Amortización de K",SUMIFS($AG$7:$AG$418,Tabla33[Código Emisión],Tabla33[[#This Row],[Código Emisión]],Tabla33[Fecha de operación],Tabla33[[#This Row],[Fecha de operación]]),0)-Tabla33[[#This Row],[Accrued]]*Tabla33[[#This Row],[Valor Nominal]]</f>
        <v>0</v>
      </c>
      <c r="AI218" s="444">
        <f>+IF(Tabla33[[#This Row],[Amortización k | cupón de intereses]]="Amortización de K",IF(Tabla33[[#This Row],[Precio Clean]]&gt;1,Tabla33[[#This Row],[Valor Nominal]]*(Tabla33[[#This Row],[Precio Clean]]-1),0),0)</f>
        <v>0</v>
      </c>
      <c r="AJ218" s="444">
        <f>+IF(Tabla33[[#This Row],[Amortización k | cupón de intereses]]="Amortización de K",IF(Tabla33[[#This Row],[Precio Clean]]&lt;1,Tabla33[[#This Row],[Valor Nominal]]*(Tabla33[[#This Row],[Precio Clean]]-1),0),0)</f>
        <v>0</v>
      </c>
    </row>
    <row r="219" spans="1:36">
      <c r="A219" s="502"/>
      <c r="B219" s="437" t="str">
        <f t="shared" si="148"/>
        <v>Bancop S.A.</v>
      </c>
      <c r="C219" s="437" t="str">
        <f t="shared" si="148"/>
        <v>BCO_6,30%_16042029_AA3719_50K</v>
      </c>
      <c r="D219" s="437" t="s">
        <v>453</v>
      </c>
      <c r="E219" s="437" t="str">
        <f t="shared" si="149"/>
        <v>AA-py</v>
      </c>
      <c r="F219" s="437" t="s">
        <v>297</v>
      </c>
      <c r="G219" s="437" t="s">
        <v>298</v>
      </c>
      <c r="H219" s="437">
        <f t="shared" si="150"/>
        <v>1</v>
      </c>
      <c r="I219" s="492">
        <v>1562.05</v>
      </c>
      <c r="J219" s="451"/>
      <c r="K219" s="450"/>
      <c r="L219" s="451"/>
      <c r="M219" s="493"/>
      <c r="N219" s="493"/>
      <c r="O219" s="494">
        <f t="shared" si="151"/>
        <v>6.8107643723487862E-2</v>
      </c>
      <c r="P219" s="494">
        <f t="shared" si="147"/>
        <v>6.698586712486998E-2</v>
      </c>
      <c r="Q219" s="450">
        <f t="shared" si="147"/>
        <v>45909</v>
      </c>
      <c r="R219" s="450">
        <v>46664</v>
      </c>
      <c r="S219" s="509" t="s">
        <v>146</v>
      </c>
      <c r="T219" s="510">
        <f>Tabla33[[#This Row],[Cantidad]]*Tabla33[[#This Row],[Cortes]]</f>
        <v>1562.05</v>
      </c>
      <c r="U219" s="511">
        <f t="shared" si="153"/>
        <v>1390.8665169877445</v>
      </c>
      <c r="V219" s="511">
        <f t="shared" si="154"/>
        <v>1390.615465281013</v>
      </c>
      <c r="W219" s="497">
        <f>IF(Tabla33[[#This Row],[Fecha de operación]]=$C$1,0,U219-V219)</f>
        <v>0.25105170673145949</v>
      </c>
      <c r="X219" s="512" t="str">
        <f t="shared" si="115"/>
        <v>Vigente</v>
      </c>
      <c r="Y219" s="498" t="s">
        <v>450</v>
      </c>
      <c r="Z219" s="469">
        <f t="shared" si="116"/>
        <v>643</v>
      </c>
      <c r="AA219" s="499">
        <f t="shared" si="152"/>
        <v>2.9593839016067913</v>
      </c>
      <c r="AB219" s="499">
        <f t="shared" si="152"/>
        <v>2.9098383433119821</v>
      </c>
      <c r="AC219" s="469" t="s">
        <v>451</v>
      </c>
      <c r="AD219" s="469" t="s">
        <v>454</v>
      </c>
      <c r="AF219" s="444">
        <f>+IF(Tabla33[[#This Row],[Amortización k | cupón de intereses]]="Amortización de K",Tabla33[[#This Row],[Valor Nominal]],0)</f>
        <v>0</v>
      </c>
      <c r="AG219" s="444">
        <f>+IF(AND(Tabla33[[#This Row],[Amortización k | cupón de intereses]]="Cupón de interés",Tabla33[[#This Row],[Estado]]="Vigente"),Tabla33[[#This Row],[Valor Nominal]],0)</f>
        <v>1562.05</v>
      </c>
      <c r="AH219" s="444">
        <f>+IF(Tabla33[[#This Row],[Amortización k | cupón de intereses]]="Amortización de K",SUMIFS($AG$7:$AG$418,Tabla33[Código Emisión],Tabla33[[#This Row],[Código Emisión]],Tabla33[Fecha de operación],Tabla33[[#This Row],[Fecha de operación]]),0)-Tabla33[[#This Row],[Accrued]]*Tabla33[[#This Row],[Valor Nominal]]</f>
        <v>0</v>
      </c>
      <c r="AI219" s="444">
        <f>+IF(Tabla33[[#This Row],[Amortización k | cupón de intereses]]="Amortización de K",IF(Tabla33[[#This Row],[Precio Clean]]&gt;1,Tabla33[[#This Row],[Valor Nominal]]*(Tabla33[[#This Row],[Precio Clean]]-1),0),0)</f>
        <v>0</v>
      </c>
      <c r="AJ219" s="444">
        <f>+IF(Tabla33[[#This Row],[Amortización k | cupón de intereses]]="Amortización de K",IF(Tabla33[[#This Row],[Precio Clean]]&lt;1,Tabla33[[#This Row],[Valor Nominal]]*(Tabla33[[#This Row],[Precio Clean]]-1),0),0)</f>
        <v>0</v>
      </c>
    </row>
    <row r="220" spans="1:36">
      <c r="A220" s="502"/>
      <c r="B220" s="437" t="str">
        <f t="shared" si="148"/>
        <v>Bancop S.A.</v>
      </c>
      <c r="C220" s="437" t="str">
        <f t="shared" si="148"/>
        <v>BCO_6,30%_16042029_AA3719_50K</v>
      </c>
      <c r="D220" s="437" t="s">
        <v>453</v>
      </c>
      <c r="E220" s="437" t="str">
        <f t="shared" si="149"/>
        <v>AA-py</v>
      </c>
      <c r="F220" s="437" t="s">
        <v>297</v>
      </c>
      <c r="G220" s="437" t="s">
        <v>298</v>
      </c>
      <c r="H220" s="437">
        <f t="shared" si="150"/>
        <v>1</v>
      </c>
      <c r="I220" s="492">
        <v>1553.42</v>
      </c>
      <c r="J220" s="451"/>
      <c r="K220" s="450"/>
      <c r="L220" s="451"/>
      <c r="M220" s="493"/>
      <c r="N220" s="493"/>
      <c r="O220" s="494">
        <f t="shared" si="151"/>
        <v>6.8107643723487862E-2</v>
      </c>
      <c r="P220" s="494">
        <f t="shared" si="147"/>
        <v>6.698586712486998E-2</v>
      </c>
      <c r="Q220" s="450">
        <f t="shared" si="147"/>
        <v>45909</v>
      </c>
      <c r="R220" s="450">
        <v>46483</v>
      </c>
      <c r="S220" s="509" t="s">
        <v>146</v>
      </c>
      <c r="T220" s="510">
        <f>Tabla33[[#This Row],[Cantidad]]*Tabla33[[#This Row],[Cortes]]</f>
        <v>1553.42</v>
      </c>
      <c r="U220" s="511">
        <f t="shared" si="153"/>
        <v>1429.1220792643496</v>
      </c>
      <c r="V220" s="511">
        <f t="shared" si="154"/>
        <v>1428.8641224203641</v>
      </c>
      <c r="W220" s="497">
        <f>IF(Tabla33[[#This Row],[Fecha de operación]]=$C$1,0,U220-V220)</f>
        <v>0.25795684398553931</v>
      </c>
      <c r="X220" s="512" t="str">
        <f t="shared" si="115"/>
        <v>Vigente</v>
      </c>
      <c r="Y220" s="498" t="s">
        <v>450</v>
      </c>
      <c r="Z220" s="469">
        <f t="shared" si="116"/>
        <v>462</v>
      </c>
      <c r="AA220" s="499">
        <f t="shared" si="152"/>
        <v>2.9593839016067913</v>
      </c>
      <c r="AB220" s="499">
        <f t="shared" si="152"/>
        <v>2.9098383433119821</v>
      </c>
      <c r="AC220" s="469" t="s">
        <v>451</v>
      </c>
      <c r="AD220" s="469" t="s">
        <v>454</v>
      </c>
      <c r="AF220" s="444">
        <f>+IF(Tabla33[[#This Row],[Amortización k | cupón de intereses]]="Amortización de K",Tabla33[[#This Row],[Valor Nominal]],0)</f>
        <v>0</v>
      </c>
      <c r="AG220" s="444">
        <f>+IF(AND(Tabla33[[#This Row],[Amortización k | cupón de intereses]]="Cupón de interés",Tabla33[[#This Row],[Estado]]="Vigente"),Tabla33[[#This Row],[Valor Nominal]],0)</f>
        <v>1553.42</v>
      </c>
      <c r="AH220" s="444">
        <f>+IF(Tabla33[[#This Row],[Amortización k | cupón de intereses]]="Amortización de K",SUMIFS($AG$7:$AG$418,Tabla33[Código Emisión],Tabla33[[#This Row],[Código Emisión]],Tabla33[Fecha de operación],Tabla33[[#This Row],[Fecha de operación]]),0)-Tabla33[[#This Row],[Accrued]]*Tabla33[[#This Row],[Valor Nominal]]</f>
        <v>0</v>
      </c>
      <c r="AI220" s="444">
        <f>+IF(Tabla33[[#This Row],[Amortización k | cupón de intereses]]="Amortización de K",IF(Tabla33[[#This Row],[Precio Clean]]&gt;1,Tabla33[[#This Row],[Valor Nominal]]*(Tabla33[[#This Row],[Precio Clean]]-1),0),0)</f>
        <v>0</v>
      </c>
      <c r="AJ220" s="444">
        <f>+IF(Tabla33[[#This Row],[Amortización k | cupón de intereses]]="Amortización de K",IF(Tabla33[[#This Row],[Precio Clean]]&lt;1,Tabla33[[#This Row],[Valor Nominal]]*(Tabla33[[#This Row],[Precio Clean]]-1),0),0)</f>
        <v>0</v>
      </c>
    </row>
    <row r="221" spans="1:36">
      <c r="A221" s="502"/>
      <c r="B221" s="437" t="str">
        <f t="shared" si="148"/>
        <v>Bancop S.A.</v>
      </c>
      <c r="C221" s="437" t="str">
        <f t="shared" si="148"/>
        <v>BCO_6,30%_16042029_AA3719_50K</v>
      </c>
      <c r="D221" s="437" t="s">
        <v>453</v>
      </c>
      <c r="E221" s="437" t="str">
        <f t="shared" si="149"/>
        <v>AA-py</v>
      </c>
      <c r="F221" s="437" t="s">
        <v>297</v>
      </c>
      <c r="G221" s="437" t="s">
        <v>298</v>
      </c>
      <c r="H221" s="437">
        <f t="shared" si="150"/>
        <v>1</v>
      </c>
      <c r="I221" s="492">
        <v>1536.16</v>
      </c>
      <c r="J221" s="451"/>
      <c r="K221" s="450"/>
      <c r="L221" s="451"/>
      <c r="M221" s="493"/>
      <c r="N221" s="493"/>
      <c r="O221" s="494">
        <f t="shared" si="151"/>
        <v>6.8107643723487862E-2</v>
      </c>
      <c r="P221" s="494">
        <f t="shared" si="147"/>
        <v>6.698586712486998E-2</v>
      </c>
      <c r="Q221" s="450">
        <f t="shared" si="147"/>
        <v>45909</v>
      </c>
      <c r="R221" s="450">
        <v>46303</v>
      </c>
      <c r="S221" s="509" t="s">
        <v>146</v>
      </c>
      <c r="T221" s="510">
        <f>Tabla33[[#This Row],[Cantidad]]*Tabla33[[#This Row],[Cortes]]</f>
        <v>1536.16</v>
      </c>
      <c r="U221" s="511">
        <f t="shared" si="153"/>
        <v>1459.917811552471</v>
      </c>
      <c r="V221" s="511">
        <f t="shared" si="154"/>
        <v>1459.6542960721563</v>
      </c>
      <c r="W221" s="497">
        <f>IF(Tabla33[[#This Row],[Fecha de operación]]=$C$1,0,U221-V221)</f>
        <v>0.26351548031470884</v>
      </c>
      <c r="X221" s="512" t="str">
        <f t="shared" si="115"/>
        <v>Vigente</v>
      </c>
      <c r="Y221" s="498" t="s">
        <v>450</v>
      </c>
      <c r="Z221" s="469">
        <f t="shared" si="116"/>
        <v>282</v>
      </c>
      <c r="AA221" s="499">
        <f t="shared" si="152"/>
        <v>2.9593839016067913</v>
      </c>
      <c r="AB221" s="499">
        <f t="shared" si="152"/>
        <v>2.9098383433119821</v>
      </c>
      <c r="AC221" s="469" t="s">
        <v>451</v>
      </c>
      <c r="AD221" s="469" t="s">
        <v>454</v>
      </c>
      <c r="AF221" s="444">
        <f>+IF(Tabla33[[#This Row],[Amortización k | cupón de intereses]]="Amortización de K",Tabla33[[#This Row],[Valor Nominal]],0)</f>
        <v>0</v>
      </c>
      <c r="AG221" s="444">
        <f>+IF(AND(Tabla33[[#This Row],[Amortización k | cupón de intereses]]="Cupón de interés",Tabla33[[#This Row],[Estado]]="Vigente"),Tabla33[[#This Row],[Valor Nominal]],0)</f>
        <v>1536.16</v>
      </c>
      <c r="AH221" s="444">
        <f>+IF(Tabla33[[#This Row],[Amortización k | cupón de intereses]]="Amortización de K",SUMIFS($AG$7:$AG$418,Tabla33[Código Emisión],Tabla33[[#This Row],[Código Emisión]],Tabla33[Fecha de operación],Tabla33[[#This Row],[Fecha de operación]]),0)-Tabla33[[#This Row],[Accrued]]*Tabla33[[#This Row],[Valor Nominal]]</f>
        <v>0</v>
      </c>
      <c r="AI221" s="444">
        <f>+IF(Tabla33[[#This Row],[Amortización k | cupón de intereses]]="Amortización de K",IF(Tabla33[[#This Row],[Precio Clean]]&gt;1,Tabla33[[#This Row],[Valor Nominal]]*(Tabla33[[#This Row],[Precio Clean]]-1),0),0)</f>
        <v>0</v>
      </c>
      <c r="AJ221" s="444">
        <f>+IF(Tabla33[[#This Row],[Amortización k | cupón de intereses]]="Amortización de K",IF(Tabla33[[#This Row],[Precio Clean]]&lt;1,Tabla33[[#This Row],[Valor Nominal]]*(Tabla33[[#This Row],[Precio Clean]]-1),0),0)</f>
        <v>0</v>
      </c>
    </row>
    <row r="222" spans="1:36">
      <c r="A222" s="502"/>
      <c r="B222" s="437" t="str">
        <f t="shared" si="148"/>
        <v>Bancop S.A.</v>
      </c>
      <c r="C222" s="437" t="str">
        <f t="shared" si="148"/>
        <v>BCO_6,30%_16042029_AA3719_50K</v>
      </c>
      <c r="D222" s="437" t="s">
        <v>453</v>
      </c>
      <c r="E222" s="437" t="str">
        <f t="shared" si="149"/>
        <v>AA-py</v>
      </c>
      <c r="F222" s="437" t="s">
        <v>297</v>
      </c>
      <c r="G222" s="437" t="s">
        <v>298</v>
      </c>
      <c r="H222" s="437">
        <f t="shared" si="150"/>
        <v>1</v>
      </c>
      <c r="I222" s="492">
        <v>1570.68</v>
      </c>
      <c r="J222" s="451"/>
      <c r="K222" s="450"/>
      <c r="L222" s="451"/>
      <c r="M222" s="493"/>
      <c r="N222" s="493"/>
      <c r="O222" s="494">
        <f t="shared" si="151"/>
        <v>6.8107643723487862E-2</v>
      </c>
      <c r="P222" s="494">
        <f t="shared" si="147"/>
        <v>6.698586712486998E-2</v>
      </c>
      <c r="Q222" s="450">
        <f t="shared" si="147"/>
        <v>45909</v>
      </c>
      <c r="R222" s="450">
        <v>46125</v>
      </c>
      <c r="S222" s="509" t="s">
        <v>146</v>
      </c>
      <c r="T222" s="510">
        <f>Tabla33[[#This Row],[Cantidad]]*Tabla33[[#This Row],[Cortes]]</f>
        <v>1570.68</v>
      </c>
      <c r="U222" s="511">
        <f t="shared" si="153"/>
        <v>1541.4675693721922</v>
      </c>
      <c r="V222" s="511">
        <f t="shared" si="154"/>
        <v>1541.1893341429766</v>
      </c>
      <c r="W222" s="497">
        <f>IF(Tabla33[[#This Row],[Fecha de operación]]=$C$1,0,U222-V222)</f>
        <v>0.27823522921562471</v>
      </c>
      <c r="X222" s="512" t="str">
        <f t="shared" si="115"/>
        <v>Vigente</v>
      </c>
      <c r="Y222" s="498" t="s">
        <v>450</v>
      </c>
      <c r="Z222" s="469">
        <f t="shared" si="116"/>
        <v>104</v>
      </c>
      <c r="AA222" s="499">
        <f t="shared" si="152"/>
        <v>2.9593839016067913</v>
      </c>
      <c r="AB222" s="499">
        <f t="shared" si="152"/>
        <v>2.9098383433119821</v>
      </c>
      <c r="AC222" s="469" t="s">
        <v>451</v>
      </c>
      <c r="AD222" s="469" t="s">
        <v>454</v>
      </c>
      <c r="AF222" s="444">
        <f>+IF(Tabla33[[#This Row],[Amortización k | cupón de intereses]]="Amortización de K",Tabla33[[#This Row],[Valor Nominal]],0)</f>
        <v>0</v>
      </c>
      <c r="AG222" s="444">
        <f>+IF(AND(Tabla33[[#This Row],[Amortización k | cupón de intereses]]="Cupón de interés",Tabla33[[#This Row],[Estado]]="Vigente"),Tabla33[[#This Row],[Valor Nominal]],0)</f>
        <v>1570.68</v>
      </c>
      <c r="AH222" s="444">
        <f>+IF(Tabla33[[#This Row],[Amortización k | cupón de intereses]]="Amortización de K",SUMIFS($AG$7:$AG$418,Tabla33[Código Emisión],Tabla33[[#This Row],[Código Emisión]],Tabla33[Fecha de operación],Tabla33[[#This Row],[Fecha de operación]]),0)-Tabla33[[#This Row],[Accrued]]*Tabla33[[#This Row],[Valor Nominal]]</f>
        <v>0</v>
      </c>
      <c r="AI222" s="444">
        <f>+IF(Tabla33[[#This Row],[Amortización k | cupón de intereses]]="Amortización de K",IF(Tabla33[[#This Row],[Precio Clean]]&gt;1,Tabla33[[#This Row],[Valor Nominal]]*(Tabla33[[#This Row],[Precio Clean]]-1),0),0)</f>
        <v>0</v>
      </c>
      <c r="AJ222" s="444">
        <f>+IF(Tabla33[[#This Row],[Amortización k | cupón de intereses]]="Amortización de K",IF(Tabla33[[#This Row],[Precio Clean]]&lt;1,Tabla33[[#This Row],[Valor Nominal]]*(Tabla33[[#This Row],[Precio Clean]]-1),0),0)</f>
        <v>0</v>
      </c>
    </row>
    <row r="223" spans="1:36">
      <c r="A223" s="502"/>
      <c r="B223" s="437" t="str">
        <f t="shared" si="148"/>
        <v>Bancop S.A.</v>
      </c>
      <c r="C223" s="437" t="str">
        <f t="shared" si="148"/>
        <v>BCO_6,30%_16042029_AA3719_50K</v>
      </c>
      <c r="D223" s="437" t="s">
        <v>453</v>
      </c>
      <c r="E223" s="437" t="str">
        <f t="shared" si="149"/>
        <v>AA-py</v>
      </c>
      <c r="F223" s="437" t="s">
        <v>297</v>
      </c>
      <c r="G223" s="437" t="s">
        <v>298</v>
      </c>
      <c r="H223" s="437">
        <f t="shared" si="150"/>
        <v>1</v>
      </c>
      <c r="I223" s="492">
        <v>1553.42</v>
      </c>
      <c r="J223" s="451"/>
      <c r="K223" s="450"/>
      <c r="L223" s="451"/>
      <c r="M223" s="493"/>
      <c r="N223" s="493"/>
      <c r="O223" s="494">
        <f t="shared" si="151"/>
        <v>6.8107643723487862E-2</v>
      </c>
      <c r="P223" s="494">
        <f t="shared" si="147"/>
        <v>6.698586712486998E-2</v>
      </c>
      <c r="Q223" s="450">
        <f t="shared" si="147"/>
        <v>45909</v>
      </c>
      <c r="R223" s="450">
        <v>45943</v>
      </c>
      <c r="S223" s="509" t="s">
        <v>146</v>
      </c>
      <c r="T223" s="510">
        <f>Tabla33[[#This Row],[Cantidad]]*Tabla33[[#This Row],[Cortes]]</f>
        <v>1553.42</v>
      </c>
      <c r="U223" s="511" t="b">
        <f t="shared" si="153"/>
        <v>0</v>
      </c>
      <c r="V223" s="511" t="b">
        <f t="shared" si="154"/>
        <v>0</v>
      </c>
      <c r="W223" s="497">
        <f>IF(Tabla33[[#This Row],[Fecha de operación]]=$C$1,0,U223-V223)</f>
        <v>0</v>
      </c>
      <c r="X223" s="512" t="str">
        <f t="shared" si="115"/>
        <v>Vencido</v>
      </c>
      <c r="Y223" s="498" t="s">
        <v>450</v>
      </c>
      <c r="Z223" s="469">
        <f t="shared" si="116"/>
        <v>-78</v>
      </c>
      <c r="AA223" s="499">
        <f t="shared" si="152"/>
        <v>2.9593839016067913</v>
      </c>
      <c r="AB223" s="499">
        <f t="shared" si="152"/>
        <v>2.9098383433119821</v>
      </c>
      <c r="AC223" s="469" t="s">
        <v>451</v>
      </c>
      <c r="AD223" s="469" t="s">
        <v>454</v>
      </c>
      <c r="AF223" s="444">
        <f>+IF(Tabla33[[#This Row],[Amortización k | cupón de intereses]]="Amortización de K",Tabla33[[#This Row],[Valor Nominal]],0)</f>
        <v>0</v>
      </c>
      <c r="AG223" s="444">
        <f>+IF(AND(Tabla33[[#This Row],[Amortización k | cupón de intereses]]="Cupón de interés",Tabla33[[#This Row],[Estado]]="Vigente"),Tabla33[[#This Row],[Valor Nominal]],0)</f>
        <v>0</v>
      </c>
      <c r="AH223" s="444">
        <f>+IF(Tabla33[[#This Row],[Amortización k | cupón de intereses]]="Amortización de K",SUMIFS($AG$7:$AG$418,Tabla33[Código Emisión],Tabla33[[#This Row],[Código Emisión]],Tabla33[Fecha de operación],Tabla33[[#This Row],[Fecha de operación]]),0)-Tabla33[[#This Row],[Accrued]]*Tabla33[[#This Row],[Valor Nominal]]</f>
        <v>0</v>
      </c>
      <c r="AI223" s="444">
        <f>+IF(Tabla33[[#This Row],[Amortización k | cupón de intereses]]="Amortización de K",IF(Tabla33[[#This Row],[Precio Clean]]&gt;1,Tabla33[[#This Row],[Valor Nominal]]*(Tabla33[[#This Row],[Precio Clean]]-1),0),0)</f>
        <v>0</v>
      </c>
      <c r="AJ223" s="444">
        <f>+IF(Tabla33[[#This Row],[Amortización k | cupón de intereses]]="Amortización de K",IF(Tabla33[[#This Row],[Precio Clean]]&lt;1,Tabla33[[#This Row],[Valor Nominal]]*(Tabla33[[#This Row],[Precio Clean]]-1),0),0)</f>
        <v>0</v>
      </c>
    </row>
    <row r="224" spans="1:36" ht="15">
      <c r="A224" s="500">
        <f>+A214+1</f>
        <v>26</v>
      </c>
      <c r="B224" s="475" t="s">
        <v>447</v>
      </c>
      <c r="C224" s="475" t="s">
        <v>518</v>
      </c>
      <c r="D224" s="475" t="s">
        <v>453</v>
      </c>
      <c r="E224" s="475" t="s">
        <v>449</v>
      </c>
      <c r="F224" s="475" t="s">
        <v>297</v>
      </c>
      <c r="G224" s="475" t="s">
        <v>298</v>
      </c>
      <c r="H224" s="475">
        <v>5</v>
      </c>
      <c r="I224" s="477">
        <v>100000</v>
      </c>
      <c r="J224" s="478">
        <v>6.5000000000000002E-2</v>
      </c>
      <c r="K224" s="479">
        <f>_xlfn.MAXIFS(R:R,C:C,C224,AD:AD,"Cupón de interés",X:X,"Vencido")</f>
        <v>46003</v>
      </c>
      <c r="L224" s="478">
        <f>+Tabla33[[#This Row],[Tasa de Interés]]*($U$5-Tabla33[[#This Row],[Last coupon]])/365</f>
        <v>3.2054794520547944E-3</v>
      </c>
      <c r="M224" s="480">
        <f>+Tabla33[[#This Row],[Precio Dirty]]-Tabla33[[#This Row],[Accrued]]</f>
        <v>0.99941640787294861</v>
      </c>
      <c r="N224" s="481">
        <f>SUMIFS(U:U,C:C,C224,Q:Q,Q224)/SUMIFS(T:T,C:C,C224,Q:Q,Q224,AD:AD,"Amortización de K")</f>
        <v>1.0026218873250035</v>
      </c>
      <c r="O224" s="482">
        <v>6.7999967932701105E-2</v>
      </c>
      <c r="P224" s="482">
        <v>6.5000000000000002E-2</v>
      </c>
      <c r="Q224" s="484">
        <v>45912</v>
      </c>
      <c r="R224" s="484">
        <v>46248</v>
      </c>
      <c r="S224" s="504" t="s">
        <v>146</v>
      </c>
      <c r="T224" s="505">
        <f>Tabla33[[#This Row],[Cantidad]]*Tabla33[[#This Row],[Cortes]]</f>
        <v>500000</v>
      </c>
      <c r="U224" s="506">
        <f t="shared" si="153"/>
        <v>479955.57603533193</v>
      </c>
      <c r="V224" s="506">
        <f t="shared" si="154"/>
        <v>479869.0764925754</v>
      </c>
      <c r="W224" s="487">
        <f>IF(Tabla33[[#This Row],[Fecha de operación]]=$C$1,0,U224-V224)</f>
        <v>86.499542756529991</v>
      </c>
      <c r="X224" s="507" t="str">
        <f t="shared" si="115"/>
        <v>Vigente</v>
      </c>
      <c r="Y224" s="489" t="s">
        <v>450</v>
      </c>
      <c r="Z224" s="488">
        <f t="shared" si="116"/>
        <v>227</v>
      </c>
      <c r="AA224" s="508">
        <f>IF(Y224="Mensual",DURATION($C$1,$C$1+Z224*12,J224/12,O224/12,1)/12,DURATION($C$1,R224,J224,O224,IF(Y224="Cupón cero",1,IF(Y224="Al vencimiento",1,IF(Y224="Anual",1,IF(Y224="Semestral",2,IF(Y224="Trimestral",4,"")))))))</f>
        <v>0.61027923616480073</v>
      </c>
      <c r="AB224" s="508">
        <f t="shared" ref="AB224" si="155">IF(Y224="Mensual",MDURATION($C$1,$C$1+Z224*12,J224/12,O224/12,1)/12,MDURATION($C$1,R224,J224,O224,IF(Y224="Cupón cero",1,IF(Y224="Al vencimiento",1,IF(Y224="Anual",1,IF(Y224="Semestral",2,IF(Y224="Trimestral",4,"")))))))</f>
        <v>0.60007791639677499</v>
      </c>
      <c r="AC224" s="488" t="s">
        <v>451</v>
      </c>
      <c r="AD224" s="488" t="s">
        <v>452</v>
      </c>
      <c r="AF224" s="444">
        <f>+IF(Tabla33[[#This Row],[Amortización k | cupón de intereses]]="Amortización de K",Tabla33[[#This Row],[Valor Nominal]],0)</f>
        <v>500000</v>
      </c>
      <c r="AG224" s="444">
        <f>+IF(AND(Tabla33[[#This Row],[Amortización k | cupón de intereses]]="Cupón de interés",Tabla33[[#This Row],[Estado]]="Vigente"),Tabla33[[#This Row],[Valor Nominal]],0)</f>
        <v>0</v>
      </c>
      <c r="AH224" s="444">
        <f>+IF(Tabla33[[#This Row],[Amortización k | cupón de intereses]]="Amortización de K",SUMIFS($AG$7:$AG$418,Tabla33[Código Emisión],Tabla33[[#This Row],[Código Emisión]],Tabla33[Fecha de operación],Tabla33[[#This Row],[Fecha de operación]]),0)-Tabla33[[#This Row],[Accrued]]*Tabla33[[#This Row],[Valor Nominal]]</f>
        <v>20217.260273972603</v>
      </c>
      <c r="AI224" s="444">
        <f>+IF(Tabla33[[#This Row],[Amortización k | cupón de intereses]]="Amortización de K",IF(Tabla33[[#This Row],[Precio Clean]]&gt;1,Tabla33[[#This Row],[Valor Nominal]]*(Tabla33[[#This Row],[Precio Clean]]-1),0),0)</f>
        <v>0</v>
      </c>
      <c r="AJ224" s="444">
        <f>+IF(Tabla33[[#This Row],[Amortización k | cupón de intereses]]="Amortización de K",IF(Tabla33[[#This Row],[Precio Clean]]&lt;1,Tabla33[[#This Row],[Valor Nominal]]*(Tabla33[[#This Row],[Precio Clean]]-1),0),0)</f>
        <v>-291.79606352569556</v>
      </c>
    </row>
    <row r="225" spans="1:36">
      <c r="A225" s="502"/>
      <c r="B225" s="437" t="str">
        <f t="shared" ref="B225:C235" si="156">+B224</f>
        <v>Banco Basa SA</v>
      </c>
      <c r="C225" s="437" t="str">
        <f t="shared" si="156"/>
        <v>BASA_6,50%_14082026_AA3002-06_100K</v>
      </c>
      <c r="D225" s="437" t="s">
        <v>453</v>
      </c>
      <c r="E225" s="437" t="str">
        <f t="shared" ref="E225:E235" si="157">+E224</f>
        <v>AA-py</v>
      </c>
      <c r="F225" s="437" t="s">
        <v>297</v>
      </c>
      <c r="G225" s="437" t="s">
        <v>298</v>
      </c>
      <c r="H225" s="437">
        <f t="shared" ref="H225:H235" si="158">+H224</f>
        <v>5</v>
      </c>
      <c r="I225" s="445">
        <v>571</v>
      </c>
      <c r="J225" s="462"/>
      <c r="K225" s="450"/>
      <c r="L225" s="462"/>
      <c r="M225" s="493"/>
      <c r="N225" s="493"/>
      <c r="O225" s="516">
        <f t="shared" ref="O225:P235" si="159">+O224</f>
        <v>6.7999967932701105E-2</v>
      </c>
      <c r="P225" s="516">
        <f t="shared" si="159"/>
        <v>6.5000000000000002E-2</v>
      </c>
      <c r="Q225" s="450">
        <v>45912</v>
      </c>
      <c r="R225" s="450">
        <v>46248</v>
      </c>
      <c r="S225" s="509" t="s">
        <v>146</v>
      </c>
      <c r="T225" s="510">
        <f>Tabla33[[#This Row],[Cantidad]]*Tabla33[[#This Row],[Cortes]]</f>
        <v>2855</v>
      </c>
      <c r="U225" s="511">
        <f t="shared" si="153"/>
        <v>2740.5463391617454</v>
      </c>
      <c r="V225" s="511">
        <f t="shared" si="154"/>
        <v>2740.0524267726055</v>
      </c>
      <c r="W225" s="497">
        <f>IF(Tabla33[[#This Row],[Fecha de operación]]=$C$1,0,U225-V225)</f>
        <v>0.49391238913995039</v>
      </c>
      <c r="X225" s="512" t="str">
        <f t="shared" si="115"/>
        <v>Vigente</v>
      </c>
      <c r="Y225" s="517" t="s">
        <v>450</v>
      </c>
      <c r="Z225" s="449">
        <f t="shared" si="116"/>
        <v>227</v>
      </c>
      <c r="AA225" s="518">
        <f t="shared" ref="AA225:AB235" si="160">+AA224</f>
        <v>0.61027923616480073</v>
      </c>
      <c r="AB225" s="518">
        <f t="shared" si="160"/>
        <v>0.60007791639677499</v>
      </c>
      <c r="AC225" s="449" t="s">
        <v>451</v>
      </c>
      <c r="AD225" s="449" t="s">
        <v>454</v>
      </c>
      <c r="AF225" s="444">
        <f>+IF(Tabla33[[#This Row],[Amortización k | cupón de intereses]]="Amortización de K",Tabla33[[#This Row],[Valor Nominal]],0)</f>
        <v>0</v>
      </c>
      <c r="AG225" s="444">
        <f>+IF(AND(Tabla33[[#This Row],[Amortización k | cupón de intereses]]="Cupón de interés",Tabla33[[#This Row],[Estado]]="Vigente"),Tabla33[[#This Row],[Valor Nominal]],0)</f>
        <v>2855</v>
      </c>
      <c r="AH225" s="444">
        <f>+IF(Tabla33[[#This Row],[Amortización k | cupón de intereses]]="Amortización de K",SUMIFS($AG$7:$AG$418,Tabla33[Código Emisión],Tabla33[[#This Row],[Código Emisión]],Tabla33[Fecha de operación],Tabla33[[#This Row],[Fecha de operación]]),0)-Tabla33[[#This Row],[Accrued]]*Tabla33[[#This Row],[Valor Nominal]]</f>
        <v>0</v>
      </c>
      <c r="AI225" s="444">
        <f>+IF(Tabla33[[#This Row],[Amortización k | cupón de intereses]]="Amortización de K",IF(Tabla33[[#This Row],[Precio Clean]]&gt;1,Tabla33[[#This Row],[Valor Nominal]]*(Tabla33[[#This Row],[Precio Clean]]-1),0),0)</f>
        <v>0</v>
      </c>
      <c r="AJ225" s="444">
        <f>+IF(Tabla33[[#This Row],[Amortización k | cupón de intereses]]="Amortización de K",IF(Tabla33[[#This Row],[Precio Clean]]&lt;1,Tabla33[[#This Row],[Valor Nominal]]*(Tabla33[[#This Row],[Precio Clean]]-1),0),0)</f>
        <v>0</v>
      </c>
    </row>
    <row r="226" spans="1:36">
      <c r="A226" s="502"/>
      <c r="B226" s="437" t="str">
        <f t="shared" si="156"/>
        <v>Banco Basa SA</v>
      </c>
      <c r="C226" s="437" t="str">
        <f t="shared" si="156"/>
        <v>BASA_6,50%_14082026_AA3002-06_100K</v>
      </c>
      <c r="D226" s="437" t="s">
        <v>453</v>
      </c>
      <c r="E226" s="437" t="str">
        <f t="shared" si="157"/>
        <v>AA-py</v>
      </c>
      <c r="F226" s="437" t="s">
        <v>297</v>
      </c>
      <c r="G226" s="437" t="s">
        <v>298</v>
      </c>
      <c r="H226" s="437">
        <f t="shared" si="158"/>
        <v>5</v>
      </c>
      <c r="I226" s="445">
        <v>552</v>
      </c>
      <c r="J226" s="462"/>
      <c r="K226" s="450"/>
      <c r="L226" s="462"/>
      <c r="M226" s="493"/>
      <c r="N226" s="493"/>
      <c r="O226" s="516">
        <f t="shared" si="159"/>
        <v>6.7999967932701105E-2</v>
      </c>
      <c r="P226" s="516">
        <f t="shared" si="159"/>
        <v>6.5000000000000002E-2</v>
      </c>
      <c r="Q226" s="450">
        <v>45912</v>
      </c>
      <c r="R226" s="450">
        <v>46216</v>
      </c>
      <c r="S226" s="509" t="s">
        <v>146</v>
      </c>
      <c r="T226" s="510">
        <f>Tabla33[[#This Row],[Cantidad]]*Tabla33[[#This Row],[Cortes]]</f>
        <v>2760</v>
      </c>
      <c r="U226" s="511">
        <f t="shared" si="153"/>
        <v>2664.679587845575</v>
      </c>
      <c r="V226" s="511">
        <f t="shared" si="154"/>
        <v>2664.1993484704117</v>
      </c>
      <c r="W226" s="497">
        <f>IF(Tabla33[[#This Row],[Fecha de operación]]=$C$1,0,U226-V226)</f>
        <v>0.48023937516336446</v>
      </c>
      <c r="X226" s="512" t="str">
        <f t="shared" si="115"/>
        <v>Vigente</v>
      </c>
      <c r="Y226" s="517" t="s">
        <v>450</v>
      </c>
      <c r="Z226" s="449">
        <f t="shared" si="116"/>
        <v>195</v>
      </c>
      <c r="AA226" s="518">
        <f t="shared" si="160"/>
        <v>0.61027923616480073</v>
      </c>
      <c r="AB226" s="518">
        <f t="shared" si="160"/>
        <v>0.60007791639677499</v>
      </c>
      <c r="AC226" s="449" t="s">
        <v>451</v>
      </c>
      <c r="AD226" s="449" t="s">
        <v>454</v>
      </c>
      <c r="AF226" s="444">
        <f>+IF(Tabla33[[#This Row],[Amortización k | cupón de intereses]]="Amortización de K",Tabla33[[#This Row],[Valor Nominal]],0)</f>
        <v>0</v>
      </c>
      <c r="AG226" s="444">
        <f>+IF(AND(Tabla33[[#This Row],[Amortización k | cupón de intereses]]="Cupón de interés",Tabla33[[#This Row],[Estado]]="Vigente"),Tabla33[[#This Row],[Valor Nominal]],0)</f>
        <v>2760</v>
      </c>
      <c r="AH226" s="444">
        <f>+IF(Tabla33[[#This Row],[Amortización k | cupón de intereses]]="Amortización de K",SUMIFS($AG$7:$AG$418,Tabla33[Código Emisión],Tabla33[[#This Row],[Código Emisión]],Tabla33[Fecha de operación],Tabla33[[#This Row],[Fecha de operación]]),0)-Tabla33[[#This Row],[Accrued]]*Tabla33[[#This Row],[Valor Nominal]]</f>
        <v>0</v>
      </c>
      <c r="AI226" s="444">
        <f>+IF(Tabla33[[#This Row],[Amortización k | cupón de intereses]]="Amortización de K",IF(Tabla33[[#This Row],[Precio Clean]]&gt;1,Tabla33[[#This Row],[Valor Nominal]]*(Tabla33[[#This Row],[Precio Clean]]-1),0),0)</f>
        <v>0</v>
      </c>
      <c r="AJ226" s="444">
        <f>+IF(Tabla33[[#This Row],[Amortización k | cupón de intereses]]="Amortización de K",IF(Tabla33[[#This Row],[Precio Clean]]&lt;1,Tabla33[[#This Row],[Valor Nominal]]*(Tabla33[[#This Row],[Precio Clean]]-1),0),0)</f>
        <v>0</v>
      </c>
    </row>
    <row r="227" spans="1:36">
      <c r="A227" s="502"/>
      <c r="B227" s="437" t="str">
        <f t="shared" si="156"/>
        <v>Banco Basa SA</v>
      </c>
      <c r="C227" s="437" t="str">
        <f t="shared" si="156"/>
        <v>BASA_6,50%_14082026_AA3002-06_100K</v>
      </c>
      <c r="D227" s="437" t="s">
        <v>453</v>
      </c>
      <c r="E227" s="437" t="str">
        <f t="shared" si="157"/>
        <v>AA-py</v>
      </c>
      <c r="F227" s="437" t="s">
        <v>297</v>
      </c>
      <c r="G227" s="437" t="s">
        <v>298</v>
      </c>
      <c r="H227" s="437">
        <f t="shared" si="158"/>
        <v>5</v>
      </c>
      <c r="I227" s="445">
        <v>552</v>
      </c>
      <c r="J227" s="462"/>
      <c r="K227" s="450"/>
      <c r="L227" s="462"/>
      <c r="M227" s="493"/>
      <c r="N227" s="493"/>
      <c r="O227" s="516">
        <f t="shared" si="159"/>
        <v>6.7999967932701105E-2</v>
      </c>
      <c r="P227" s="516">
        <f t="shared" si="159"/>
        <v>6.5000000000000002E-2</v>
      </c>
      <c r="Q227" s="450">
        <v>45912</v>
      </c>
      <c r="R227" s="450">
        <v>46185</v>
      </c>
      <c r="S227" s="509" t="s">
        <v>146</v>
      </c>
      <c r="T227" s="510">
        <f>Tabla33[[#This Row],[Cantidad]]*Tabla33[[#This Row],[Cortes]]</f>
        <v>2760</v>
      </c>
      <c r="U227" s="511">
        <f t="shared" si="153"/>
        <v>2679.6100228540126</v>
      </c>
      <c r="V227" s="511">
        <f t="shared" si="154"/>
        <v>2679.1270926552274</v>
      </c>
      <c r="W227" s="497">
        <f>IF(Tabla33[[#This Row],[Fecha de operación]]=$C$1,0,U227-V227)</f>
        <v>0.48293019878519772</v>
      </c>
      <c r="X227" s="512" t="str">
        <f t="shared" si="115"/>
        <v>Vigente</v>
      </c>
      <c r="Y227" s="517" t="s">
        <v>450</v>
      </c>
      <c r="Z227" s="449">
        <f t="shared" si="116"/>
        <v>164</v>
      </c>
      <c r="AA227" s="518">
        <f t="shared" si="160"/>
        <v>0.61027923616480073</v>
      </c>
      <c r="AB227" s="518">
        <f t="shared" si="160"/>
        <v>0.60007791639677499</v>
      </c>
      <c r="AC227" s="449" t="s">
        <v>451</v>
      </c>
      <c r="AD227" s="449" t="s">
        <v>454</v>
      </c>
      <c r="AF227" s="444">
        <f>+IF(Tabla33[[#This Row],[Amortización k | cupón de intereses]]="Amortización de K",Tabla33[[#This Row],[Valor Nominal]],0)</f>
        <v>0</v>
      </c>
      <c r="AG227" s="444">
        <f>+IF(AND(Tabla33[[#This Row],[Amortización k | cupón de intereses]]="Cupón de interés",Tabla33[[#This Row],[Estado]]="Vigente"),Tabla33[[#This Row],[Valor Nominal]],0)</f>
        <v>2760</v>
      </c>
      <c r="AH227" s="444">
        <f>+IF(Tabla33[[#This Row],[Amortización k | cupón de intereses]]="Amortización de K",SUMIFS($AG$7:$AG$418,Tabla33[Código Emisión],Tabla33[[#This Row],[Código Emisión]],Tabla33[Fecha de operación],Tabla33[[#This Row],[Fecha de operación]]),0)-Tabla33[[#This Row],[Accrued]]*Tabla33[[#This Row],[Valor Nominal]]</f>
        <v>0</v>
      </c>
      <c r="AI227" s="444">
        <f>+IF(Tabla33[[#This Row],[Amortización k | cupón de intereses]]="Amortización de K",IF(Tabla33[[#This Row],[Precio Clean]]&gt;1,Tabla33[[#This Row],[Valor Nominal]]*(Tabla33[[#This Row],[Precio Clean]]-1),0),0)</f>
        <v>0</v>
      </c>
      <c r="AJ227" s="444">
        <f>+IF(Tabla33[[#This Row],[Amortización k | cupón de intereses]]="Amortización de K",IF(Tabla33[[#This Row],[Precio Clean]]&lt;1,Tabla33[[#This Row],[Valor Nominal]]*(Tabla33[[#This Row],[Precio Clean]]-1),0),0)</f>
        <v>0</v>
      </c>
    </row>
    <row r="228" spans="1:36">
      <c r="A228" s="502"/>
      <c r="B228" s="437" t="str">
        <f t="shared" si="156"/>
        <v>Banco Basa SA</v>
      </c>
      <c r="C228" s="437" t="str">
        <f t="shared" si="156"/>
        <v>BASA_6,50%_14082026_AA3002-06_100K</v>
      </c>
      <c r="D228" s="437" t="s">
        <v>453</v>
      </c>
      <c r="E228" s="437" t="str">
        <f t="shared" si="157"/>
        <v>AA-py</v>
      </c>
      <c r="F228" s="437" t="s">
        <v>297</v>
      </c>
      <c r="G228" s="437" t="s">
        <v>298</v>
      </c>
      <c r="H228" s="437">
        <f t="shared" si="158"/>
        <v>5</v>
      </c>
      <c r="I228" s="445">
        <v>516</v>
      </c>
      <c r="J228" s="462"/>
      <c r="K228" s="450"/>
      <c r="L228" s="462"/>
      <c r="M228" s="493"/>
      <c r="N228" s="493"/>
      <c r="O228" s="516">
        <f t="shared" si="159"/>
        <v>6.7999967932701105E-2</v>
      </c>
      <c r="P228" s="516">
        <f t="shared" si="159"/>
        <v>6.5000000000000002E-2</v>
      </c>
      <c r="Q228" s="450">
        <v>45912</v>
      </c>
      <c r="R228" s="450">
        <v>46154</v>
      </c>
      <c r="S228" s="509" t="s">
        <v>146</v>
      </c>
      <c r="T228" s="510">
        <f>Tabla33[[#This Row],[Cantidad]]*Tabla33[[#This Row],[Cortes]]</f>
        <v>2580</v>
      </c>
      <c r="U228" s="511">
        <f t="shared" si="153"/>
        <v>2518.887759120601</v>
      </c>
      <c r="V228" s="511">
        <f t="shared" si="154"/>
        <v>2518.4337949407936</v>
      </c>
      <c r="W228" s="497">
        <f>IF(Tabla33[[#This Row],[Fecha de operación]]=$C$1,0,U228-V228)</f>
        <v>0.45396417980737169</v>
      </c>
      <c r="X228" s="512" t="str">
        <f t="shared" si="115"/>
        <v>Vigente</v>
      </c>
      <c r="Y228" s="517" t="s">
        <v>450</v>
      </c>
      <c r="Z228" s="449">
        <f t="shared" si="116"/>
        <v>133</v>
      </c>
      <c r="AA228" s="518">
        <f t="shared" si="160"/>
        <v>0.61027923616480073</v>
      </c>
      <c r="AB228" s="518">
        <f t="shared" si="160"/>
        <v>0.60007791639677499</v>
      </c>
      <c r="AC228" s="449" t="s">
        <v>451</v>
      </c>
      <c r="AD228" s="449" t="s">
        <v>454</v>
      </c>
      <c r="AF228" s="444">
        <f>+IF(Tabla33[[#This Row],[Amortización k | cupón de intereses]]="Amortización de K",Tabla33[[#This Row],[Valor Nominal]],0)</f>
        <v>0</v>
      </c>
      <c r="AG228" s="444">
        <f>+IF(AND(Tabla33[[#This Row],[Amortización k | cupón de intereses]]="Cupón de interés",Tabla33[[#This Row],[Estado]]="Vigente"),Tabla33[[#This Row],[Valor Nominal]],0)</f>
        <v>2580</v>
      </c>
      <c r="AH228" s="444">
        <f>+IF(Tabla33[[#This Row],[Amortización k | cupón de intereses]]="Amortización de K",SUMIFS($AG$7:$AG$418,Tabla33[Código Emisión],Tabla33[[#This Row],[Código Emisión]],Tabla33[Fecha de operación],Tabla33[[#This Row],[Fecha de operación]]),0)-Tabla33[[#This Row],[Accrued]]*Tabla33[[#This Row],[Valor Nominal]]</f>
        <v>0</v>
      </c>
      <c r="AI228" s="444">
        <f>+IF(Tabla33[[#This Row],[Amortización k | cupón de intereses]]="Amortización de K",IF(Tabla33[[#This Row],[Precio Clean]]&gt;1,Tabla33[[#This Row],[Valor Nominal]]*(Tabla33[[#This Row],[Precio Clean]]-1),0),0)</f>
        <v>0</v>
      </c>
      <c r="AJ228" s="444">
        <f>+IF(Tabla33[[#This Row],[Amortización k | cupón de intereses]]="Amortización de K",IF(Tabla33[[#This Row],[Precio Clean]]&lt;1,Tabla33[[#This Row],[Valor Nominal]]*(Tabla33[[#This Row],[Precio Clean]]-1),0),0)</f>
        <v>0</v>
      </c>
    </row>
    <row r="229" spans="1:36">
      <c r="A229" s="502"/>
      <c r="B229" s="437" t="str">
        <f t="shared" si="156"/>
        <v>Banco Basa SA</v>
      </c>
      <c r="C229" s="437" t="str">
        <f t="shared" si="156"/>
        <v>BASA_6,50%_14082026_AA3002-06_100K</v>
      </c>
      <c r="D229" s="437" t="s">
        <v>453</v>
      </c>
      <c r="E229" s="437" t="str">
        <f t="shared" si="157"/>
        <v>AA-py</v>
      </c>
      <c r="F229" s="437" t="s">
        <v>297</v>
      </c>
      <c r="G229" s="437" t="s">
        <v>298</v>
      </c>
      <c r="H229" s="437">
        <f t="shared" si="158"/>
        <v>5</v>
      </c>
      <c r="I229" s="445">
        <v>570</v>
      </c>
      <c r="J229" s="462"/>
      <c r="K229" s="450"/>
      <c r="L229" s="462"/>
      <c r="M229" s="493"/>
      <c r="N229" s="493"/>
      <c r="O229" s="516">
        <f t="shared" si="159"/>
        <v>6.7999967932701105E-2</v>
      </c>
      <c r="P229" s="516">
        <f t="shared" si="159"/>
        <v>6.5000000000000002E-2</v>
      </c>
      <c r="Q229" s="450">
        <v>45912</v>
      </c>
      <c r="R229" s="450">
        <v>46125</v>
      </c>
      <c r="S229" s="509" t="s">
        <v>146</v>
      </c>
      <c r="T229" s="510">
        <f>Tabla33[[#This Row],[Cantidad]]*Tabla33[[#This Row],[Cortes]]</f>
        <v>2850</v>
      </c>
      <c r="U229" s="511">
        <f t="shared" si="153"/>
        <v>2797.0743692252922</v>
      </c>
      <c r="V229" s="511">
        <f t="shared" si="154"/>
        <v>2796.570269125044</v>
      </c>
      <c r="W229" s="497">
        <f>IF(Tabla33[[#This Row],[Fecha de operación]]=$C$1,0,U229-V229)</f>
        <v>0.50410010024825169</v>
      </c>
      <c r="X229" s="512" t="str">
        <f t="shared" ref="X229:X292" si="161">IF(R229&lt;=$U$5,"Vencido","Vigente")</f>
        <v>Vigente</v>
      </c>
      <c r="Y229" s="517" t="s">
        <v>450</v>
      </c>
      <c r="Z229" s="449">
        <f t="shared" ref="Z229:Z292" si="162">+R229-$U$5</f>
        <v>104</v>
      </c>
      <c r="AA229" s="518">
        <f t="shared" si="160"/>
        <v>0.61027923616480073</v>
      </c>
      <c r="AB229" s="518">
        <f t="shared" si="160"/>
        <v>0.60007791639677499</v>
      </c>
      <c r="AC229" s="449" t="s">
        <v>451</v>
      </c>
      <c r="AD229" s="449" t="s">
        <v>454</v>
      </c>
      <c r="AF229" s="444">
        <f>+IF(Tabla33[[#This Row],[Amortización k | cupón de intereses]]="Amortización de K",Tabla33[[#This Row],[Valor Nominal]],0)</f>
        <v>0</v>
      </c>
      <c r="AG229" s="444">
        <f>+IF(AND(Tabla33[[#This Row],[Amortización k | cupón de intereses]]="Cupón de interés",Tabla33[[#This Row],[Estado]]="Vigente"),Tabla33[[#This Row],[Valor Nominal]],0)</f>
        <v>2850</v>
      </c>
      <c r="AH229" s="444">
        <f>+IF(Tabla33[[#This Row],[Amortización k | cupón de intereses]]="Amortización de K",SUMIFS($AG$7:$AG$418,Tabla33[Código Emisión],Tabla33[[#This Row],[Código Emisión]],Tabla33[Fecha de operación],Tabla33[[#This Row],[Fecha de operación]]),0)-Tabla33[[#This Row],[Accrued]]*Tabla33[[#This Row],[Valor Nominal]]</f>
        <v>0</v>
      </c>
      <c r="AI229" s="444">
        <f>+IF(Tabla33[[#This Row],[Amortización k | cupón de intereses]]="Amortización de K",IF(Tabla33[[#This Row],[Precio Clean]]&gt;1,Tabla33[[#This Row],[Valor Nominal]]*(Tabla33[[#This Row],[Precio Clean]]-1),0),0)</f>
        <v>0</v>
      </c>
      <c r="AJ229" s="444">
        <f>+IF(Tabla33[[#This Row],[Amortización k | cupón de intereses]]="Amortización de K",IF(Tabla33[[#This Row],[Precio Clean]]&lt;1,Tabla33[[#This Row],[Valor Nominal]]*(Tabla33[[#This Row],[Precio Clean]]-1),0),0)</f>
        <v>0</v>
      </c>
    </row>
    <row r="230" spans="1:36">
      <c r="A230" s="502"/>
      <c r="B230" s="437" t="str">
        <f t="shared" si="156"/>
        <v>Banco Basa SA</v>
      </c>
      <c r="C230" s="437" t="str">
        <f t="shared" si="156"/>
        <v>BASA_6,50%_14082026_AA3002-06_100K</v>
      </c>
      <c r="D230" s="437" t="s">
        <v>453</v>
      </c>
      <c r="E230" s="437" t="str">
        <f t="shared" si="157"/>
        <v>AA-py</v>
      </c>
      <c r="F230" s="437" t="s">
        <v>297</v>
      </c>
      <c r="G230" s="437" t="s">
        <v>298</v>
      </c>
      <c r="H230" s="437">
        <f t="shared" si="158"/>
        <v>5</v>
      </c>
      <c r="I230" s="445">
        <v>499</v>
      </c>
      <c r="J230" s="462"/>
      <c r="K230" s="450"/>
      <c r="L230" s="462"/>
      <c r="M230" s="493"/>
      <c r="N230" s="493"/>
      <c r="O230" s="516">
        <f t="shared" si="159"/>
        <v>6.7999967932701105E-2</v>
      </c>
      <c r="P230" s="516">
        <f t="shared" si="159"/>
        <v>6.5000000000000002E-2</v>
      </c>
      <c r="Q230" s="450">
        <v>45912</v>
      </c>
      <c r="R230" s="450">
        <v>46093</v>
      </c>
      <c r="S230" s="509" t="s">
        <v>146</v>
      </c>
      <c r="T230" s="510">
        <f>Tabla33[[#This Row],[Cantidad]]*Tabla33[[#This Row],[Cortes]]</f>
        <v>2495</v>
      </c>
      <c r="U230" s="511">
        <f t="shared" si="153"/>
        <v>2462.8308180683644</v>
      </c>
      <c r="V230" s="511">
        <f t="shared" si="154"/>
        <v>2462.3869566980907</v>
      </c>
      <c r="W230" s="497">
        <f>IF(Tabla33[[#This Row],[Fecha de operación]]=$C$1,0,U230-V230)</f>
        <v>0.44386137027368022</v>
      </c>
      <c r="X230" s="512" t="str">
        <f t="shared" si="161"/>
        <v>Vigente</v>
      </c>
      <c r="Y230" s="517" t="s">
        <v>450</v>
      </c>
      <c r="Z230" s="449">
        <f t="shared" si="162"/>
        <v>72</v>
      </c>
      <c r="AA230" s="518">
        <f t="shared" si="160"/>
        <v>0.61027923616480073</v>
      </c>
      <c r="AB230" s="518">
        <f t="shared" si="160"/>
        <v>0.60007791639677499</v>
      </c>
      <c r="AC230" s="449" t="s">
        <v>451</v>
      </c>
      <c r="AD230" s="449" t="s">
        <v>454</v>
      </c>
      <c r="AF230" s="444">
        <f>+IF(Tabla33[[#This Row],[Amortización k | cupón de intereses]]="Amortización de K",Tabla33[[#This Row],[Valor Nominal]],0)</f>
        <v>0</v>
      </c>
      <c r="AG230" s="444">
        <f>+IF(AND(Tabla33[[#This Row],[Amortización k | cupón de intereses]]="Cupón de interés",Tabla33[[#This Row],[Estado]]="Vigente"),Tabla33[[#This Row],[Valor Nominal]],0)</f>
        <v>2495</v>
      </c>
      <c r="AH230" s="444">
        <f>+IF(Tabla33[[#This Row],[Amortización k | cupón de intereses]]="Amortización de K",SUMIFS($AG$7:$AG$418,Tabla33[Código Emisión],Tabla33[[#This Row],[Código Emisión]],Tabla33[Fecha de operación],Tabla33[[#This Row],[Fecha de operación]]),0)-Tabla33[[#This Row],[Accrued]]*Tabla33[[#This Row],[Valor Nominal]]</f>
        <v>0</v>
      </c>
      <c r="AI230" s="444">
        <f>+IF(Tabla33[[#This Row],[Amortización k | cupón de intereses]]="Amortización de K",IF(Tabla33[[#This Row],[Precio Clean]]&gt;1,Tabla33[[#This Row],[Valor Nominal]]*(Tabla33[[#This Row],[Precio Clean]]-1),0),0)</f>
        <v>0</v>
      </c>
      <c r="AJ230" s="444">
        <f>+IF(Tabla33[[#This Row],[Amortización k | cupón de intereses]]="Amortización de K",IF(Tabla33[[#This Row],[Precio Clean]]&lt;1,Tabla33[[#This Row],[Valor Nominal]]*(Tabla33[[#This Row],[Precio Clean]]-1),0),0)</f>
        <v>0</v>
      </c>
    </row>
    <row r="231" spans="1:36">
      <c r="A231" s="502"/>
      <c r="B231" s="437" t="str">
        <f t="shared" si="156"/>
        <v>Banco Basa SA</v>
      </c>
      <c r="C231" s="437" t="str">
        <f t="shared" si="156"/>
        <v>BASA_6,50%_14082026_AA3002-06_100K</v>
      </c>
      <c r="D231" s="437" t="s">
        <v>453</v>
      </c>
      <c r="E231" s="437" t="str">
        <f t="shared" si="157"/>
        <v>AA-py</v>
      </c>
      <c r="F231" s="437" t="s">
        <v>297</v>
      </c>
      <c r="G231" s="437" t="s">
        <v>298</v>
      </c>
      <c r="H231" s="437">
        <f t="shared" si="158"/>
        <v>5</v>
      </c>
      <c r="I231" s="445">
        <v>552</v>
      </c>
      <c r="J231" s="462"/>
      <c r="K231" s="450"/>
      <c r="L231" s="462"/>
      <c r="M231" s="493"/>
      <c r="N231" s="493"/>
      <c r="O231" s="516">
        <f t="shared" si="159"/>
        <v>6.7999967932701105E-2</v>
      </c>
      <c r="P231" s="516">
        <f t="shared" si="159"/>
        <v>6.5000000000000002E-2</v>
      </c>
      <c r="Q231" s="450">
        <v>45912</v>
      </c>
      <c r="R231" s="450">
        <v>46065</v>
      </c>
      <c r="S231" s="509" t="s">
        <v>146</v>
      </c>
      <c r="T231" s="510">
        <f>Tabla33[[#This Row],[Cantidad]]*Tabla33[[#This Row],[Cortes]]</f>
        <v>2760</v>
      </c>
      <c r="U231" s="511">
        <f t="shared" si="153"/>
        <v>2738.1981823546707</v>
      </c>
      <c r="V231" s="511">
        <f t="shared" si="154"/>
        <v>2737.7046931598857</v>
      </c>
      <c r="W231" s="497">
        <f>IF(Tabla33[[#This Row],[Fecha de operación]]=$C$1,0,U231-V231)</f>
        <v>0.49348919478507014</v>
      </c>
      <c r="X231" s="512" t="str">
        <f t="shared" si="161"/>
        <v>Vigente</v>
      </c>
      <c r="Y231" s="517" t="s">
        <v>450</v>
      </c>
      <c r="Z231" s="449">
        <f t="shared" si="162"/>
        <v>44</v>
      </c>
      <c r="AA231" s="518">
        <f t="shared" si="160"/>
        <v>0.61027923616480073</v>
      </c>
      <c r="AB231" s="518">
        <f t="shared" si="160"/>
        <v>0.60007791639677499</v>
      </c>
      <c r="AC231" s="449" t="s">
        <v>451</v>
      </c>
      <c r="AD231" s="449" t="s">
        <v>454</v>
      </c>
      <c r="AF231" s="444">
        <f>+IF(Tabla33[[#This Row],[Amortización k | cupón de intereses]]="Amortización de K",Tabla33[[#This Row],[Valor Nominal]],0)</f>
        <v>0</v>
      </c>
      <c r="AG231" s="444">
        <f>+IF(AND(Tabla33[[#This Row],[Amortización k | cupón de intereses]]="Cupón de interés",Tabla33[[#This Row],[Estado]]="Vigente"),Tabla33[[#This Row],[Valor Nominal]],0)</f>
        <v>2760</v>
      </c>
      <c r="AH231" s="444">
        <f>+IF(Tabla33[[#This Row],[Amortización k | cupón de intereses]]="Amortización de K",SUMIFS($AG$7:$AG$418,Tabla33[Código Emisión],Tabla33[[#This Row],[Código Emisión]],Tabla33[Fecha de operación],Tabla33[[#This Row],[Fecha de operación]]),0)-Tabla33[[#This Row],[Accrued]]*Tabla33[[#This Row],[Valor Nominal]]</f>
        <v>0</v>
      </c>
      <c r="AI231" s="444">
        <f>+IF(Tabla33[[#This Row],[Amortización k | cupón de intereses]]="Amortización de K",IF(Tabla33[[#This Row],[Precio Clean]]&gt;1,Tabla33[[#This Row],[Valor Nominal]]*(Tabla33[[#This Row],[Precio Clean]]-1),0),0)</f>
        <v>0</v>
      </c>
      <c r="AJ231" s="444">
        <f>+IF(Tabla33[[#This Row],[Amortización k | cupón de intereses]]="Amortización de K",IF(Tabla33[[#This Row],[Precio Clean]]&lt;1,Tabla33[[#This Row],[Valor Nominal]]*(Tabla33[[#This Row],[Precio Clean]]-1),0),0)</f>
        <v>0</v>
      </c>
    </row>
    <row r="232" spans="1:36">
      <c r="A232" s="502"/>
      <c r="B232" s="437" t="str">
        <f t="shared" si="156"/>
        <v>Banco Basa SA</v>
      </c>
      <c r="C232" s="437" t="str">
        <f t="shared" si="156"/>
        <v>BASA_6,50%_14082026_AA3002-06_100K</v>
      </c>
      <c r="D232" s="437" t="s">
        <v>453</v>
      </c>
      <c r="E232" s="437" t="str">
        <f t="shared" si="157"/>
        <v>AA-py</v>
      </c>
      <c r="F232" s="437" t="s">
        <v>297</v>
      </c>
      <c r="G232" s="437" t="s">
        <v>298</v>
      </c>
      <c r="H232" s="437">
        <f t="shared" si="158"/>
        <v>5</v>
      </c>
      <c r="I232" s="445">
        <v>552</v>
      </c>
      <c r="J232" s="462"/>
      <c r="K232" s="450"/>
      <c r="L232" s="462"/>
      <c r="M232" s="493"/>
      <c r="N232" s="493"/>
      <c r="O232" s="516">
        <f t="shared" si="159"/>
        <v>6.7999967932701105E-2</v>
      </c>
      <c r="P232" s="516">
        <f t="shared" si="159"/>
        <v>6.5000000000000002E-2</v>
      </c>
      <c r="Q232" s="450">
        <v>45912</v>
      </c>
      <c r="R232" s="450">
        <v>46034</v>
      </c>
      <c r="S232" s="509" t="s">
        <v>146</v>
      </c>
      <c r="T232" s="510">
        <f>Tabla33[[#This Row],[Cantidad]]*Tabla33[[#This Row],[Cortes]]</f>
        <v>2760</v>
      </c>
      <c r="U232" s="511">
        <f t="shared" si="153"/>
        <v>2753.5405485394635</v>
      </c>
      <c r="V232" s="511">
        <f t="shared" si="154"/>
        <v>2753.0442942811474</v>
      </c>
      <c r="W232" s="497">
        <f>IF(Tabla33[[#This Row],[Fecha de operación]]=$C$1,0,U232-V232)</f>
        <v>0.49625425831618486</v>
      </c>
      <c r="X232" s="512" t="str">
        <f t="shared" si="161"/>
        <v>Vigente</v>
      </c>
      <c r="Y232" s="517" t="s">
        <v>450</v>
      </c>
      <c r="Z232" s="449">
        <f t="shared" si="162"/>
        <v>13</v>
      </c>
      <c r="AA232" s="518">
        <f t="shared" si="160"/>
        <v>0.61027923616480073</v>
      </c>
      <c r="AB232" s="518">
        <f t="shared" si="160"/>
        <v>0.60007791639677499</v>
      </c>
      <c r="AC232" s="449" t="s">
        <v>451</v>
      </c>
      <c r="AD232" s="449" t="s">
        <v>454</v>
      </c>
      <c r="AF232" s="444">
        <f>+IF(Tabla33[[#This Row],[Amortización k | cupón de intereses]]="Amortización de K",Tabla33[[#This Row],[Valor Nominal]],0)</f>
        <v>0</v>
      </c>
      <c r="AG232" s="444">
        <f>+IF(AND(Tabla33[[#This Row],[Amortización k | cupón de intereses]]="Cupón de interés",Tabla33[[#This Row],[Estado]]="Vigente"),Tabla33[[#This Row],[Valor Nominal]],0)</f>
        <v>2760</v>
      </c>
      <c r="AH232" s="444">
        <f>+IF(Tabla33[[#This Row],[Amortización k | cupón de intereses]]="Amortización de K",SUMIFS($AG$7:$AG$418,Tabla33[Código Emisión],Tabla33[[#This Row],[Código Emisión]],Tabla33[Fecha de operación],Tabla33[[#This Row],[Fecha de operación]]),0)-Tabla33[[#This Row],[Accrued]]*Tabla33[[#This Row],[Valor Nominal]]</f>
        <v>0</v>
      </c>
      <c r="AI232" s="444">
        <f>+IF(Tabla33[[#This Row],[Amortización k | cupón de intereses]]="Amortización de K",IF(Tabla33[[#This Row],[Precio Clean]]&gt;1,Tabla33[[#This Row],[Valor Nominal]]*(Tabla33[[#This Row],[Precio Clean]]-1),0),0)</f>
        <v>0</v>
      </c>
      <c r="AJ232" s="444">
        <f>+IF(Tabla33[[#This Row],[Amortización k | cupón de intereses]]="Amortización de K",IF(Tabla33[[#This Row],[Precio Clean]]&lt;1,Tabla33[[#This Row],[Valor Nominal]]*(Tabla33[[#This Row],[Precio Clean]]-1),0),0)</f>
        <v>0</v>
      </c>
    </row>
    <row r="233" spans="1:36">
      <c r="A233" s="502"/>
      <c r="B233" s="437" t="str">
        <f t="shared" si="156"/>
        <v>Banco Basa SA</v>
      </c>
      <c r="C233" s="437" t="str">
        <f t="shared" si="156"/>
        <v>BASA_6,50%_14082026_AA3002-06_100K</v>
      </c>
      <c r="D233" s="437" t="s">
        <v>453</v>
      </c>
      <c r="E233" s="437" t="str">
        <f t="shared" si="157"/>
        <v>AA-py</v>
      </c>
      <c r="F233" s="437" t="s">
        <v>297</v>
      </c>
      <c r="G233" s="437" t="s">
        <v>298</v>
      </c>
      <c r="H233" s="437">
        <f t="shared" si="158"/>
        <v>5</v>
      </c>
      <c r="I233" s="445">
        <v>534</v>
      </c>
      <c r="J233" s="462"/>
      <c r="K233" s="450"/>
      <c r="L233" s="462"/>
      <c r="M233" s="493"/>
      <c r="N233" s="493"/>
      <c r="O233" s="516">
        <f t="shared" si="159"/>
        <v>6.7999967932701105E-2</v>
      </c>
      <c r="P233" s="516">
        <f t="shared" si="159"/>
        <v>6.5000000000000002E-2</v>
      </c>
      <c r="Q233" s="450">
        <v>45912</v>
      </c>
      <c r="R233" s="450">
        <v>46003</v>
      </c>
      <c r="S233" s="509" t="s">
        <v>146</v>
      </c>
      <c r="T233" s="510">
        <f>Tabla33[[#This Row],[Cantidad]]*Tabla33[[#This Row],[Cortes]]</f>
        <v>2670</v>
      </c>
      <c r="U233" s="511" t="b">
        <f t="shared" si="153"/>
        <v>0</v>
      </c>
      <c r="V233" s="511" t="b">
        <f t="shared" si="154"/>
        <v>0</v>
      </c>
      <c r="W233" s="497">
        <f>IF(Tabla33[[#This Row],[Fecha de operación]]=$C$1,0,U233-V233)</f>
        <v>0</v>
      </c>
      <c r="X233" s="512" t="str">
        <f t="shared" si="161"/>
        <v>Vencido</v>
      </c>
      <c r="Y233" s="517" t="s">
        <v>450</v>
      </c>
      <c r="Z233" s="449">
        <f t="shared" si="162"/>
        <v>-18</v>
      </c>
      <c r="AA233" s="518">
        <f t="shared" si="160"/>
        <v>0.61027923616480073</v>
      </c>
      <c r="AB233" s="518">
        <f t="shared" si="160"/>
        <v>0.60007791639677499</v>
      </c>
      <c r="AC233" s="449" t="s">
        <v>451</v>
      </c>
      <c r="AD233" s="449" t="s">
        <v>454</v>
      </c>
      <c r="AF233" s="444">
        <f>+IF(Tabla33[[#This Row],[Amortización k | cupón de intereses]]="Amortización de K",Tabla33[[#This Row],[Valor Nominal]],0)</f>
        <v>0</v>
      </c>
      <c r="AG233" s="444">
        <f>+IF(AND(Tabla33[[#This Row],[Amortización k | cupón de intereses]]="Cupón de interés",Tabla33[[#This Row],[Estado]]="Vigente"),Tabla33[[#This Row],[Valor Nominal]],0)</f>
        <v>0</v>
      </c>
      <c r="AH233" s="444">
        <f>+IF(Tabla33[[#This Row],[Amortización k | cupón de intereses]]="Amortización de K",SUMIFS($AG$7:$AG$418,Tabla33[Código Emisión],Tabla33[[#This Row],[Código Emisión]],Tabla33[Fecha de operación],Tabla33[[#This Row],[Fecha de operación]]),0)-Tabla33[[#This Row],[Accrued]]*Tabla33[[#This Row],[Valor Nominal]]</f>
        <v>0</v>
      </c>
      <c r="AI233" s="444">
        <f>+IF(Tabla33[[#This Row],[Amortización k | cupón de intereses]]="Amortización de K",IF(Tabla33[[#This Row],[Precio Clean]]&gt;1,Tabla33[[#This Row],[Valor Nominal]]*(Tabla33[[#This Row],[Precio Clean]]-1),0),0)</f>
        <v>0</v>
      </c>
      <c r="AJ233" s="444">
        <f>+IF(Tabla33[[#This Row],[Amortización k | cupón de intereses]]="Amortización de K",IF(Tabla33[[#This Row],[Precio Clean]]&lt;1,Tabla33[[#This Row],[Valor Nominal]]*(Tabla33[[#This Row],[Precio Clean]]-1),0),0)</f>
        <v>0</v>
      </c>
    </row>
    <row r="234" spans="1:36">
      <c r="A234" s="502"/>
      <c r="B234" s="437" t="str">
        <f t="shared" si="156"/>
        <v>Banco Basa SA</v>
      </c>
      <c r="C234" s="437" t="str">
        <f t="shared" si="156"/>
        <v>BASA_6,50%_14082026_AA3002-06_100K</v>
      </c>
      <c r="D234" s="437" t="s">
        <v>453</v>
      </c>
      <c r="E234" s="437" t="str">
        <f t="shared" si="157"/>
        <v>AA-py</v>
      </c>
      <c r="F234" s="437" t="s">
        <v>297</v>
      </c>
      <c r="G234" s="437" t="s">
        <v>298</v>
      </c>
      <c r="H234" s="437">
        <f t="shared" si="158"/>
        <v>5</v>
      </c>
      <c r="I234" s="445">
        <v>534</v>
      </c>
      <c r="J234" s="462"/>
      <c r="K234" s="450"/>
      <c r="L234" s="462"/>
      <c r="M234" s="493"/>
      <c r="N234" s="493"/>
      <c r="O234" s="516">
        <f t="shared" si="159"/>
        <v>6.7999967932701105E-2</v>
      </c>
      <c r="P234" s="516">
        <f t="shared" si="159"/>
        <v>6.5000000000000002E-2</v>
      </c>
      <c r="Q234" s="450">
        <v>45912</v>
      </c>
      <c r="R234" s="450">
        <v>45973</v>
      </c>
      <c r="S234" s="509" t="s">
        <v>146</v>
      </c>
      <c r="T234" s="510">
        <f>Tabla33[[#This Row],[Cantidad]]*Tabla33[[#This Row],[Cortes]]</f>
        <v>2670</v>
      </c>
      <c r="U234" s="511" t="b">
        <f t="shared" si="153"/>
        <v>0</v>
      </c>
      <c r="V234" s="511" t="b">
        <f t="shared" si="154"/>
        <v>0</v>
      </c>
      <c r="W234" s="497">
        <f>IF(Tabla33[[#This Row],[Fecha de operación]]=$C$1,0,U234-V234)</f>
        <v>0</v>
      </c>
      <c r="X234" s="512" t="str">
        <f t="shared" si="161"/>
        <v>Vencido</v>
      </c>
      <c r="Y234" s="517" t="s">
        <v>450</v>
      </c>
      <c r="Z234" s="449">
        <f t="shared" si="162"/>
        <v>-48</v>
      </c>
      <c r="AA234" s="518">
        <f t="shared" si="160"/>
        <v>0.61027923616480073</v>
      </c>
      <c r="AB234" s="518">
        <f t="shared" si="160"/>
        <v>0.60007791639677499</v>
      </c>
      <c r="AC234" s="449" t="s">
        <v>451</v>
      </c>
      <c r="AD234" s="449" t="s">
        <v>454</v>
      </c>
      <c r="AF234" s="444">
        <f>+IF(Tabla33[[#This Row],[Amortización k | cupón de intereses]]="Amortización de K",Tabla33[[#This Row],[Valor Nominal]],0)</f>
        <v>0</v>
      </c>
      <c r="AG234" s="444">
        <f>+IF(AND(Tabla33[[#This Row],[Amortización k | cupón de intereses]]="Cupón de interés",Tabla33[[#This Row],[Estado]]="Vigente"),Tabla33[[#This Row],[Valor Nominal]],0)</f>
        <v>0</v>
      </c>
      <c r="AH234" s="444">
        <f>+IF(Tabla33[[#This Row],[Amortización k | cupón de intereses]]="Amortización de K",SUMIFS($AG$7:$AG$418,Tabla33[Código Emisión],Tabla33[[#This Row],[Código Emisión]],Tabla33[Fecha de operación],Tabla33[[#This Row],[Fecha de operación]]),0)-Tabla33[[#This Row],[Accrued]]*Tabla33[[#This Row],[Valor Nominal]]</f>
        <v>0</v>
      </c>
      <c r="AI234" s="444">
        <f>+IF(Tabla33[[#This Row],[Amortización k | cupón de intereses]]="Amortización de K",IF(Tabla33[[#This Row],[Precio Clean]]&gt;1,Tabla33[[#This Row],[Valor Nominal]]*(Tabla33[[#This Row],[Precio Clean]]-1),0),0)</f>
        <v>0</v>
      </c>
      <c r="AJ234" s="444">
        <f>+IF(Tabla33[[#This Row],[Amortización k | cupón de intereses]]="Amortización de K",IF(Tabla33[[#This Row],[Precio Clean]]&lt;1,Tabla33[[#This Row],[Valor Nominal]]*(Tabla33[[#This Row],[Precio Clean]]-1),0),0)</f>
        <v>0</v>
      </c>
    </row>
    <row r="235" spans="1:36">
      <c r="A235" s="502"/>
      <c r="B235" s="437" t="str">
        <f t="shared" si="156"/>
        <v>Banco Basa SA</v>
      </c>
      <c r="C235" s="437" t="str">
        <f t="shared" si="156"/>
        <v>BASA_6,50%_14082026_AA3002-06_100K</v>
      </c>
      <c r="D235" s="437" t="s">
        <v>453</v>
      </c>
      <c r="E235" s="437" t="str">
        <f t="shared" si="157"/>
        <v>AA-py</v>
      </c>
      <c r="F235" s="437" t="s">
        <v>297</v>
      </c>
      <c r="G235" s="437" t="s">
        <v>298</v>
      </c>
      <c r="H235" s="437">
        <f t="shared" si="158"/>
        <v>5</v>
      </c>
      <c r="I235" s="445">
        <v>552</v>
      </c>
      <c r="J235" s="462"/>
      <c r="K235" s="450"/>
      <c r="L235" s="462"/>
      <c r="M235" s="493"/>
      <c r="N235" s="493"/>
      <c r="O235" s="516">
        <f t="shared" si="159"/>
        <v>6.7999967932701105E-2</v>
      </c>
      <c r="P235" s="516">
        <f t="shared" si="159"/>
        <v>6.5000000000000002E-2</v>
      </c>
      <c r="Q235" s="450">
        <v>45912</v>
      </c>
      <c r="R235" s="450">
        <v>45943</v>
      </c>
      <c r="S235" s="509" t="s">
        <v>146</v>
      </c>
      <c r="T235" s="510">
        <f>Tabla33[[#This Row],[Cantidad]]*Tabla33[[#This Row],[Cortes]]</f>
        <v>2760</v>
      </c>
      <c r="U235" s="511" t="b">
        <f t="shared" si="153"/>
        <v>0</v>
      </c>
      <c r="V235" s="511" t="b">
        <f t="shared" si="154"/>
        <v>0</v>
      </c>
      <c r="W235" s="497">
        <f>IF(Tabla33[[#This Row],[Fecha de operación]]=$C$1,0,U235-V235)</f>
        <v>0</v>
      </c>
      <c r="X235" s="512" t="str">
        <f t="shared" si="161"/>
        <v>Vencido</v>
      </c>
      <c r="Y235" s="517" t="s">
        <v>450</v>
      </c>
      <c r="Z235" s="449">
        <f t="shared" si="162"/>
        <v>-78</v>
      </c>
      <c r="AA235" s="518">
        <f t="shared" si="160"/>
        <v>0.61027923616480073</v>
      </c>
      <c r="AB235" s="518">
        <f t="shared" si="160"/>
        <v>0.60007791639677499</v>
      </c>
      <c r="AC235" s="449" t="s">
        <v>451</v>
      </c>
      <c r="AD235" s="449" t="s">
        <v>454</v>
      </c>
      <c r="AF235" s="444">
        <f>+IF(Tabla33[[#This Row],[Amortización k | cupón de intereses]]="Amortización de K",Tabla33[[#This Row],[Valor Nominal]],0)</f>
        <v>0</v>
      </c>
      <c r="AG235" s="444">
        <f>+IF(AND(Tabla33[[#This Row],[Amortización k | cupón de intereses]]="Cupón de interés",Tabla33[[#This Row],[Estado]]="Vigente"),Tabla33[[#This Row],[Valor Nominal]],0)</f>
        <v>0</v>
      </c>
      <c r="AH235" s="444">
        <f>+IF(Tabla33[[#This Row],[Amortización k | cupón de intereses]]="Amortización de K",SUMIFS($AG$7:$AG$418,Tabla33[Código Emisión],Tabla33[[#This Row],[Código Emisión]],Tabla33[Fecha de operación],Tabla33[[#This Row],[Fecha de operación]]),0)-Tabla33[[#This Row],[Accrued]]*Tabla33[[#This Row],[Valor Nominal]]</f>
        <v>0</v>
      </c>
      <c r="AI235" s="444">
        <f>+IF(Tabla33[[#This Row],[Amortización k | cupón de intereses]]="Amortización de K",IF(Tabla33[[#This Row],[Precio Clean]]&gt;1,Tabla33[[#This Row],[Valor Nominal]]*(Tabla33[[#This Row],[Precio Clean]]-1),0),0)</f>
        <v>0</v>
      </c>
      <c r="AJ235" s="444">
        <f>+IF(Tabla33[[#This Row],[Amortización k | cupón de intereses]]="Amortización de K",IF(Tabla33[[#This Row],[Precio Clean]]&lt;1,Tabla33[[#This Row],[Valor Nominal]]*(Tabla33[[#This Row],[Precio Clean]]-1),0),0)</f>
        <v>0</v>
      </c>
    </row>
    <row r="236" spans="1:36" ht="15">
      <c r="A236" s="500">
        <f>+A224+1</f>
        <v>27</v>
      </c>
      <c r="B236" s="475" t="s">
        <v>504</v>
      </c>
      <c r="C236" s="475" t="s">
        <v>563</v>
      </c>
      <c r="D236" s="475" t="s">
        <v>453</v>
      </c>
      <c r="E236" s="475" t="s">
        <v>487</v>
      </c>
      <c r="F236" s="475" t="s">
        <v>297</v>
      </c>
      <c r="G236" s="475" t="s">
        <v>298</v>
      </c>
      <c r="H236" s="475">
        <v>4</v>
      </c>
      <c r="I236" s="477">
        <v>100000</v>
      </c>
      <c r="J236" s="478">
        <v>6.5000000000000002E-2</v>
      </c>
      <c r="K236" s="479">
        <f>_xlfn.MAXIFS(R:R,C:C,C236,AD:AD,"Cupón de interés",X:X,"Vencido")</f>
        <v>46008</v>
      </c>
      <c r="L236" s="478">
        <f>+Tabla33[[#This Row],[Tasa de Interés]]*($U$5-Tabla33[[#This Row],[Last coupon]])/365</f>
        <v>2.3150684931506848E-3</v>
      </c>
      <c r="M236" s="480">
        <f>+Tabla33[[#This Row],[Precio Dirty]]-Tabla33[[#This Row],[Accrued]]</f>
        <v>1.0036622754140818</v>
      </c>
      <c r="N236" s="481">
        <f>SUMIFS(U:U,C:C,C236,Q:Q,Q236)/SUMIFS(T:T,C:C,C236,Q:Q,Q236,AD:AD,"Amortización de K")</f>
        <v>1.0059773439072326</v>
      </c>
      <c r="O236" s="482">
        <v>6.5596756339073192E-2</v>
      </c>
      <c r="P236" s="482">
        <f>+NOMINAL(Tabla33[[#This Row],[YTM]],4)</f>
        <v>6.4042245700841605E-2</v>
      </c>
      <c r="Q236" s="484">
        <v>45933</v>
      </c>
      <c r="R236" s="484">
        <v>47630</v>
      </c>
      <c r="S236" s="504" t="s">
        <v>146</v>
      </c>
      <c r="T236" s="505">
        <f>Tabla33[[#This Row],[Cantidad]]*Tabla33[[#This Row],[Cortes]]</f>
        <v>400000</v>
      </c>
      <c r="U236" s="506">
        <f t="shared" si="153"/>
        <v>302290.49039958371</v>
      </c>
      <c r="V236" s="506">
        <f t="shared" si="154"/>
        <v>302237.87574802869</v>
      </c>
      <c r="W236" s="487">
        <f>IF(Tabla33[[#This Row],[Fecha de operación]]=$C$1,0,U236-V236)</f>
        <v>52.614651555020828</v>
      </c>
      <c r="X236" s="507" t="str">
        <f t="shared" si="161"/>
        <v>Vigente</v>
      </c>
      <c r="Y236" s="489" t="s">
        <v>450</v>
      </c>
      <c r="Z236" s="488">
        <f t="shared" si="162"/>
        <v>1609</v>
      </c>
      <c r="AA236" s="508">
        <f t="shared" ref="AA236" si="163">IF(Y236="Mensual",DURATION($C$1,$C$1+Z236*12,J236/12,O236/12,1)/12,DURATION($C$1,R236,J236,O236,IF(Y236="Cupón cero",1,IF(Y236="Al vencimiento",1,IF(Y236="Anual",1,IF(Y236="Semestral",2,IF(Y236="Trimestral",4,"")))))))</f>
        <v>3.8450770734307493</v>
      </c>
      <c r="AB236" s="508">
        <f t="shared" ref="AB236" si="164">IF(Y236="Mensual",MDURATION($C$1,$C$1+Z236*12,J236/12,O236/12,1)/12,MDURATION($C$1,R236,J236,O236,IF(Y236="Cupón cero",1,IF(Y236="Al vencimiento",1,IF(Y236="Anual",1,IF(Y236="Semestral",2,IF(Y236="Trimestral",4,"")))))))</f>
        <v>3.7830383128238285</v>
      </c>
      <c r="AC236" s="488" t="s">
        <v>451</v>
      </c>
      <c r="AD236" s="488" t="s">
        <v>452</v>
      </c>
      <c r="AF236" s="444">
        <f>+IF(Tabla33[[#This Row],[Amortización k | cupón de intereses]]="Amortización de K",Tabla33[[#This Row],[Valor Nominal]],0)</f>
        <v>400000</v>
      </c>
      <c r="AG236" s="444">
        <f>+IF(AND(Tabla33[[#This Row],[Amortización k | cupón de intereses]]="Cupón de interés",Tabla33[[#This Row],[Estado]]="Vigente"),Tabla33[[#This Row],[Valor Nominal]],0)</f>
        <v>0</v>
      </c>
      <c r="AH236" s="444">
        <f>+IF(Tabla33[[#This Row],[Amortización k | cupón de intereses]]="Amortización de K",SUMIFS($AG$7:$AG$418,Tabla33[Código Emisión],Tabla33[[#This Row],[Código Emisión]],Tabla33[Fecha de operación],Tabla33[[#This Row],[Fecha de operación]]),0)-Tabla33[[#This Row],[Accrued]]*Tabla33[[#This Row],[Valor Nominal]]</f>
        <v>114613.73260273974</v>
      </c>
      <c r="AI236" s="444">
        <f>+IF(Tabla33[[#This Row],[Amortización k | cupón de intereses]]="Amortización de K",IF(Tabla33[[#This Row],[Precio Clean]]&gt;1,Tabla33[[#This Row],[Valor Nominal]]*(Tabla33[[#This Row],[Precio Clean]]-1),0),0)</f>
        <v>1464.9101656327268</v>
      </c>
      <c r="AJ236" s="444">
        <f>+IF(Tabla33[[#This Row],[Amortización k | cupón de intereses]]="Amortización de K",IF(Tabla33[[#This Row],[Precio Clean]]&lt;1,Tabla33[[#This Row],[Valor Nominal]]*(Tabla33[[#This Row],[Precio Clean]]-1),0),0)</f>
        <v>0</v>
      </c>
    </row>
    <row r="237" spans="1:36">
      <c r="A237" s="502"/>
      <c r="B237" s="437" t="str">
        <f>+B236</f>
        <v>Sudameris Bank SAECA</v>
      </c>
      <c r="C237" s="437" t="str">
        <f t="shared" ref="C237:C280" si="165">+C236</f>
        <v>SUD_6,50%_270530_BE1754-57_100K</v>
      </c>
      <c r="D237" s="437" t="s">
        <v>453</v>
      </c>
      <c r="E237" s="437" t="str">
        <f>+E236</f>
        <v>AA+py</v>
      </c>
      <c r="F237" s="437" t="s">
        <v>297</v>
      </c>
      <c r="G237" s="437" t="s">
        <v>298</v>
      </c>
      <c r="H237" s="437">
        <v>4</v>
      </c>
      <c r="I237" s="492">
        <v>1620.55</v>
      </c>
      <c r="J237" s="451"/>
      <c r="K237" s="450"/>
      <c r="L237" s="451"/>
      <c r="M237" s="493"/>
      <c r="N237" s="493"/>
      <c r="O237" s="494">
        <f t="shared" ref="O237:Q252" si="166">+O236</f>
        <v>6.5596756339073192E-2</v>
      </c>
      <c r="P237" s="494">
        <f t="shared" si="166"/>
        <v>6.4042245700841605E-2</v>
      </c>
      <c r="Q237" s="450">
        <f t="shared" si="166"/>
        <v>45933</v>
      </c>
      <c r="R237" s="450">
        <v>47630</v>
      </c>
      <c r="S237" s="509" t="s">
        <v>146</v>
      </c>
      <c r="T237" s="510">
        <f>Tabla33[[#This Row],[Cantidad]]*Tabla33[[#This Row],[Cortes]]</f>
        <v>6482.2</v>
      </c>
      <c r="U237" s="511">
        <f t="shared" si="153"/>
        <v>4898.7685421704537</v>
      </c>
      <c r="V237" s="511">
        <f t="shared" si="154"/>
        <v>4897.9158954346785</v>
      </c>
      <c r="W237" s="497">
        <f>IF(Tabla33[[#This Row],[Fecha de operación]]=$C$1,0,U237-V237)</f>
        <v>0.8526467357751244</v>
      </c>
      <c r="X237" s="512" t="str">
        <f t="shared" si="161"/>
        <v>Vigente</v>
      </c>
      <c r="Y237" s="498" t="s">
        <v>450</v>
      </c>
      <c r="Z237" s="469">
        <f t="shared" si="162"/>
        <v>1609</v>
      </c>
      <c r="AA237" s="499">
        <f>+AA236</f>
        <v>3.8450770734307493</v>
      </c>
      <c r="AB237" s="499">
        <f>+AB236</f>
        <v>3.7830383128238285</v>
      </c>
      <c r="AC237" s="469" t="s">
        <v>451</v>
      </c>
      <c r="AD237" s="469" t="s">
        <v>454</v>
      </c>
      <c r="AF237" s="444">
        <f>+IF(Tabla33[[#This Row],[Amortización k | cupón de intereses]]="Amortización de K",Tabla33[[#This Row],[Valor Nominal]],0)</f>
        <v>0</v>
      </c>
      <c r="AG237" s="444">
        <f>+IF(AND(Tabla33[[#This Row],[Amortización k | cupón de intereses]]="Cupón de interés",Tabla33[[#This Row],[Estado]]="Vigente"),Tabla33[[#This Row],[Valor Nominal]],0)</f>
        <v>6482.2</v>
      </c>
      <c r="AH237" s="444">
        <f>+IF(Tabla33[[#This Row],[Amortización k | cupón de intereses]]="Amortización de K",SUMIFS($AG$7:$AG$418,Tabla33[Código Emisión],Tabla33[[#This Row],[Código Emisión]],Tabla33[Fecha de operación],Tabla33[[#This Row],[Fecha de operación]]),0)-Tabla33[[#This Row],[Accrued]]*Tabla33[[#This Row],[Valor Nominal]]</f>
        <v>0</v>
      </c>
      <c r="AI237" s="444">
        <f>+IF(Tabla33[[#This Row],[Amortización k | cupón de intereses]]="Amortización de K",IF(Tabla33[[#This Row],[Precio Clean]]&gt;1,Tabla33[[#This Row],[Valor Nominal]]*(Tabla33[[#This Row],[Precio Clean]]-1),0),0)</f>
        <v>0</v>
      </c>
      <c r="AJ237" s="444">
        <f>+IF(Tabla33[[#This Row],[Amortización k | cupón de intereses]]="Amortización de K",IF(Tabla33[[#This Row],[Precio Clean]]&lt;1,Tabla33[[#This Row],[Valor Nominal]]*(Tabla33[[#This Row],[Precio Clean]]-1),0),0)</f>
        <v>0</v>
      </c>
    </row>
    <row r="238" spans="1:36">
      <c r="A238" s="502"/>
      <c r="B238" s="437" t="str">
        <f t="shared" ref="B238:B255" si="167">+B237</f>
        <v>Sudameris Bank SAECA</v>
      </c>
      <c r="C238" s="437" t="str">
        <f t="shared" si="165"/>
        <v>SUD_6,50%_270530_BE1754-57_100K</v>
      </c>
      <c r="D238" s="437" t="s">
        <v>453</v>
      </c>
      <c r="E238" s="437" t="str">
        <f t="shared" ref="E238:E255" si="168">+E237</f>
        <v>AA+py</v>
      </c>
      <c r="F238" s="437" t="s">
        <v>297</v>
      </c>
      <c r="G238" s="437" t="s">
        <v>298</v>
      </c>
      <c r="H238" s="437">
        <v>4</v>
      </c>
      <c r="I238" s="492">
        <v>1620.55</v>
      </c>
      <c r="J238" s="451"/>
      <c r="K238" s="450"/>
      <c r="L238" s="451"/>
      <c r="M238" s="493"/>
      <c r="N238" s="493"/>
      <c r="O238" s="494">
        <f t="shared" si="166"/>
        <v>6.5596756339073192E-2</v>
      </c>
      <c r="P238" s="494">
        <f t="shared" si="166"/>
        <v>6.4042245700841605E-2</v>
      </c>
      <c r="Q238" s="450">
        <f t="shared" si="166"/>
        <v>45933</v>
      </c>
      <c r="R238" s="450">
        <v>47539</v>
      </c>
      <c r="S238" s="509" t="s">
        <v>146</v>
      </c>
      <c r="T238" s="510">
        <f>Tabla33[[#This Row],[Cantidad]]*Tabla33[[#This Row],[Cortes]]</f>
        <v>6482.2</v>
      </c>
      <c r="U238" s="511">
        <f t="shared" si="153"/>
        <v>4976.9839881633343</v>
      </c>
      <c r="V238" s="511">
        <f t="shared" si="154"/>
        <v>4976.1177277725874</v>
      </c>
      <c r="W238" s="497">
        <f>IF(Tabla33[[#This Row],[Fecha de operación]]=$C$1,0,U238-V238)</f>
        <v>0.86626039074690198</v>
      </c>
      <c r="X238" s="512" t="str">
        <f t="shared" si="161"/>
        <v>Vigente</v>
      </c>
      <c r="Y238" s="498" t="s">
        <v>450</v>
      </c>
      <c r="Z238" s="469">
        <f t="shared" si="162"/>
        <v>1518</v>
      </c>
      <c r="AA238" s="499">
        <f t="shared" ref="AA238:AB253" si="169">+AA237</f>
        <v>3.8450770734307493</v>
      </c>
      <c r="AB238" s="499">
        <f t="shared" si="169"/>
        <v>3.7830383128238285</v>
      </c>
      <c r="AC238" s="469" t="s">
        <v>451</v>
      </c>
      <c r="AD238" s="469" t="s">
        <v>454</v>
      </c>
      <c r="AF238" s="444">
        <f>+IF(Tabla33[[#This Row],[Amortización k | cupón de intereses]]="Amortización de K",Tabla33[[#This Row],[Valor Nominal]],0)</f>
        <v>0</v>
      </c>
      <c r="AG238" s="444">
        <f>+IF(AND(Tabla33[[#This Row],[Amortización k | cupón de intereses]]="Cupón de interés",Tabla33[[#This Row],[Estado]]="Vigente"),Tabla33[[#This Row],[Valor Nominal]],0)</f>
        <v>6482.2</v>
      </c>
      <c r="AH238" s="444">
        <f>+IF(Tabla33[[#This Row],[Amortización k | cupón de intereses]]="Amortización de K",SUMIFS($AG$7:$AG$418,Tabla33[Código Emisión],Tabla33[[#This Row],[Código Emisión]],Tabla33[Fecha de operación],Tabla33[[#This Row],[Fecha de operación]]),0)-Tabla33[[#This Row],[Accrued]]*Tabla33[[#This Row],[Valor Nominal]]</f>
        <v>0</v>
      </c>
      <c r="AI238" s="444">
        <f>+IF(Tabla33[[#This Row],[Amortización k | cupón de intereses]]="Amortización de K",IF(Tabla33[[#This Row],[Precio Clean]]&gt;1,Tabla33[[#This Row],[Valor Nominal]]*(Tabla33[[#This Row],[Precio Clean]]-1),0),0)</f>
        <v>0</v>
      </c>
      <c r="AJ238" s="444">
        <f>+IF(Tabla33[[#This Row],[Amortización k | cupón de intereses]]="Amortización de K",IF(Tabla33[[#This Row],[Precio Clean]]&lt;1,Tabla33[[#This Row],[Valor Nominal]]*(Tabla33[[#This Row],[Precio Clean]]-1),0),0)</f>
        <v>0</v>
      </c>
    </row>
    <row r="239" spans="1:36">
      <c r="A239" s="502"/>
      <c r="B239" s="437" t="str">
        <f t="shared" si="167"/>
        <v>Sudameris Bank SAECA</v>
      </c>
      <c r="C239" s="437" t="str">
        <f t="shared" si="165"/>
        <v>SUD_6,50%_270530_BE1754-57_100K</v>
      </c>
      <c r="D239" s="437" t="s">
        <v>453</v>
      </c>
      <c r="E239" s="437" t="str">
        <f t="shared" si="168"/>
        <v>AA+py</v>
      </c>
      <c r="F239" s="437" t="s">
        <v>297</v>
      </c>
      <c r="G239" s="437" t="s">
        <v>298</v>
      </c>
      <c r="H239" s="437">
        <v>4</v>
      </c>
      <c r="I239" s="492">
        <v>1602.74</v>
      </c>
      <c r="J239" s="451"/>
      <c r="K239" s="450"/>
      <c r="L239" s="451"/>
      <c r="M239" s="493"/>
      <c r="N239" s="493"/>
      <c r="O239" s="494">
        <f t="shared" si="166"/>
        <v>6.5596756339073192E-2</v>
      </c>
      <c r="P239" s="494">
        <f t="shared" si="166"/>
        <v>6.4042245700841605E-2</v>
      </c>
      <c r="Q239" s="450">
        <f t="shared" si="166"/>
        <v>45933</v>
      </c>
      <c r="R239" s="450">
        <v>47448</v>
      </c>
      <c r="S239" s="509" t="s">
        <v>146</v>
      </c>
      <c r="T239" s="510">
        <f>Tabla33[[#This Row],[Cantidad]]*Tabla33[[#This Row],[Cortes]]</f>
        <v>6410.96</v>
      </c>
      <c r="U239" s="511">
        <f t="shared" si="153"/>
        <v>5000.8773977777519</v>
      </c>
      <c r="V239" s="511">
        <f t="shared" si="154"/>
        <v>5000.0069786606764</v>
      </c>
      <c r="W239" s="497">
        <f>IF(Tabla33[[#This Row],[Fecha de operación]]=$C$1,0,U239-V239)</f>
        <v>0.87041911707547115</v>
      </c>
      <c r="X239" s="512" t="str">
        <f t="shared" si="161"/>
        <v>Vigente</v>
      </c>
      <c r="Y239" s="498" t="s">
        <v>450</v>
      </c>
      <c r="Z239" s="469">
        <f t="shared" si="162"/>
        <v>1427</v>
      </c>
      <c r="AA239" s="499">
        <f t="shared" si="169"/>
        <v>3.8450770734307493</v>
      </c>
      <c r="AB239" s="499">
        <f t="shared" si="169"/>
        <v>3.7830383128238285</v>
      </c>
      <c r="AC239" s="469" t="s">
        <v>451</v>
      </c>
      <c r="AD239" s="469" t="s">
        <v>454</v>
      </c>
      <c r="AF239" s="444">
        <f>+IF(Tabla33[[#This Row],[Amortización k | cupón de intereses]]="Amortización de K",Tabla33[[#This Row],[Valor Nominal]],0)</f>
        <v>0</v>
      </c>
      <c r="AG239" s="444">
        <f>+IF(AND(Tabla33[[#This Row],[Amortización k | cupón de intereses]]="Cupón de interés",Tabla33[[#This Row],[Estado]]="Vigente"),Tabla33[[#This Row],[Valor Nominal]],0)</f>
        <v>6410.96</v>
      </c>
      <c r="AH239" s="444">
        <f>+IF(Tabla33[[#This Row],[Amortización k | cupón de intereses]]="Amortización de K",SUMIFS($AG$7:$AG$418,Tabla33[Código Emisión],Tabla33[[#This Row],[Código Emisión]],Tabla33[Fecha de operación],Tabla33[[#This Row],[Fecha de operación]]),0)-Tabla33[[#This Row],[Accrued]]*Tabla33[[#This Row],[Valor Nominal]]</f>
        <v>0</v>
      </c>
      <c r="AI239" s="444">
        <f>+IF(Tabla33[[#This Row],[Amortización k | cupón de intereses]]="Amortización de K",IF(Tabla33[[#This Row],[Precio Clean]]&gt;1,Tabla33[[#This Row],[Valor Nominal]]*(Tabla33[[#This Row],[Precio Clean]]-1),0),0)</f>
        <v>0</v>
      </c>
      <c r="AJ239" s="444">
        <f>+IF(Tabla33[[#This Row],[Amortización k | cupón de intereses]]="Amortización de K",IF(Tabla33[[#This Row],[Precio Clean]]&lt;1,Tabla33[[#This Row],[Valor Nominal]]*(Tabla33[[#This Row],[Precio Clean]]-1),0),0)</f>
        <v>0</v>
      </c>
    </row>
    <row r="240" spans="1:36">
      <c r="A240" s="502"/>
      <c r="B240" s="437" t="str">
        <f t="shared" si="167"/>
        <v>Sudameris Bank SAECA</v>
      </c>
      <c r="C240" s="437" t="str">
        <f t="shared" si="165"/>
        <v>SUD_6,50%_270530_BE1754-57_100K</v>
      </c>
      <c r="D240" s="437" t="s">
        <v>453</v>
      </c>
      <c r="E240" s="437" t="str">
        <f t="shared" si="168"/>
        <v>AA+py</v>
      </c>
      <c r="F240" s="437" t="s">
        <v>297</v>
      </c>
      <c r="G240" s="437" t="s">
        <v>298</v>
      </c>
      <c r="H240" s="437">
        <v>4</v>
      </c>
      <c r="I240" s="492">
        <v>1602.74</v>
      </c>
      <c r="J240" s="451"/>
      <c r="K240" s="450"/>
      <c r="L240" s="451"/>
      <c r="M240" s="493"/>
      <c r="N240" s="493"/>
      <c r="O240" s="494">
        <f t="shared" si="166"/>
        <v>6.5596756339073192E-2</v>
      </c>
      <c r="P240" s="494">
        <f t="shared" si="166"/>
        <v>6.4042245700841605E-2</v>
      </c>
      <c r="Q240" s="450">
        <f t="shared" si="166"/>
        <v>45933</v>
      </c>
      <c r="R240" s="450">
        <v>47358</v>
      </c>
      <c r="S240" s="509" t="s">
        <v>146</v>
      </c>
      <c r="T240" s="510">
        <f>Tabla33[[#This Row],[Cantidad]]*Tabla33[[#This Row],[Cortes]]</f>
        <v>6410.96</v>
      </c>
      <c r="U240" s="511">
        <f t="shared" si="153"/>
        <v>5079.8388328168603</v>
      </c>
      <c r="V240" s="511">
        <f t="shared" si="154"/>
        <v>5078.9546702029756</v>
      </c>
      <c r="W240" s="497">
        <f>IF(Tabla33[[#This Row],[Fecha de operación]]=$C$1,0,U240-V240)</f>
        <v>0.884162613884655</v>
      </c>
      <c r="X240" s="512" t="str">
        <f t="shared" si="161"/>
        <v>Vigente</v>
      </c>
      <c r="Y240" s="498" t="s">
        <v>450</v>
      </c>
      <c r="Z240" s="469">
        <f t="shared" si="162"/>
        <v>1337</v>
      </c>
      <c r="AA240" s="499">
        <f t="shared" si="169"/>
        <v>3.8450770734307493</v>
      </c>
      <c r="AB240" s="499">
        <f t="shared" si="169"/>
        <v>3.7830383128238285</v>
      </c>
      <c r="AC240" s="469" t="s">
        <v>451</v>
      </c>
      <c r="AD240" s="469" t="s">
        <v>454</v>
      </c>
      <c r="AF240" s="444">
        <f>+IF(Tabla33[[#This Row],[Amortización k | cupón de intereses]]="Amortización de K",Tabla33[[#This Row],[Valor Nominal]],0)</f>
        <v>0</v>
      </c>
      <c r="AG240" s="444">
        <f>+IF(AND(Tabla33[[#This Row],[Amortización k | cupón de intereses]]="Cupón de interés",Tabla33[[#This Row],[Estado]]="Vigente"),Tabla33[[#This Row],[Valor Nominal]],0)</f>
        <v>6410.96</v>
      </c>
      <c r="AH240" s="444">
        <f>+IF(Tabla33[[#This Row],[Amortización k | cupón de intereses]]="Amortización de K",SUMIFS($AG$7:$AG$418,Tabla33[Código Emisión],Tabla33[[#This Row],[Código Emisión]],Tabla33[Fecha de operación],Tabla33[[#This Row],[Fecha de operación]]),0)-Tabla33[[#This Row],[Accrued]]*Tabla33[[#This Row],[Valor Nominal]]</f>
        <v>0</v>
      </c>
      <c r="AI240" s="444">
        <f>+IF(Tabla33[[#This Row],[Amortización k | cupón de intereses]]="Amortización de K",IF(Tabla33[[#This Row],[Precio Clean]]&gt;1,Tabla33[[#This Row],[Valor Nominal]]*(Tabla33[[#This Row],[Precio Clean]]-1),0),0)</f>
        <v>0</v>
      </c>
      <c r="AJ240" s="444">
        <f>+IF(Tabla33[[#This Row],[Amortización k | cupón de intereses]]="Amortización de K",IF(Tabla33[[#This Row],[Precio Clean]]&lt;1,Tabla33[[#This Row],[Valor Nominal]]*(Tabla33[[#This Row],[Precio Clean]]-1),0),0)</f>
        <v>0</v>
      </c>
    </row>
    <row r="241" spans="1:36">
      <c r="A241" s="502"/>
      <c r="B241" s="437" t="str">
        <f t="shared" si="167"/>
        <v>Sudameris Bank SAECA</v>
      </c>
      <c r="C241" s="437" t="str">
        <f t="shared" si="165"/>
        <v>SUD_6,50%_270530_BE1754-57_100K</v>
      </c>
      <c r="D241" s="437" t="s">
        <v>453</v>
      </c>
      <c r="E241" s="437" t="str">
        <f t="shared" si="168"/>
        <v>AA+py</v>
      </c>
      <c r="F241" s="437" t="s">
        <v>297</v>
      </c>
      <c r="G241" s="437" t="s">
        <v>298</v>
      </c>
      <c r="H241" s="437">
        <v>4</v>
      </c>
      <c r="I241" s="492">
        <v>1584.93</v>
      </c>
      <c r="J241" s="451"/>
      <c r="K241" s="450"/>
      <c r="L241" s="451"/>
      <c r="M241" s="493"/>
      <c r="N241" s="493"/>
      <c r="O241" s="494">
        <f t="shared" si="166"/>
        <v>6.5596756339073192E-2</v>
      </c>
      <c r="P241" s="494">
        <f t="shared" si="166"/>
        <v>6.4042245700841605E-2</v>
      </c>
      <c r="Q241" s="450">
        <f t="shared" si="166"/>
        <v>45933</v>
      </c>
      <c r="R241" s="450">
        <v>47268</v>
      </c>
      <c r="S241" s="509" t="s">
        <v>146</v>
      </c>
      <c r="T241" s="510">
        <f>Tabla33[[#This Row],[Cantidad]]*Tabla33[[#This Row],[Cortes]]</f>
        <v>6339.72</v>
      </c>
      <c r="U241" s="511">
        <f t="shared" si="153"/>
        <v>5102.7074512384315</v>
      </c>
      <c r="V241" s="511">
        <f t="shared" si="154"/>
        <v>5101.8193082664857</v>
      </c>
      <c r="W241" s="497">
        <f>IF(Tabla33[[#This Row],[Fecha de operación]]=$C$1,0,U241-V241)</f>
        <v>0.88814297194585379</v>
      </c>
      <c r="X241" s="512" t="str">
        <f t="shared" si="161"/>
        <v>Vigente</v>
      </c>
      <c r="Y241" s="498" t="s">
        <v>450</v>
      </c>
      <c r="Z241" s="469">
        <f t="shared" si="162"/>
        <v>1247</v>
      </c>
      <c r="AA241" s="499">
        <f t="shared" si="169"/>
        <v>3.8450770734307493</v>
      </c>
      <c r="AB241" s="499">
        <f t="shared" si="169"/>
        <v>3.7830383128238285</v>
      </c>
      <c r="AC241" s="469" t="s">
        <v>451</v>
      </c>
      <c r="AD241" s="469" t="s">
        <v>454</v>
      </c>
      <c r="AF241" s="444">
        <f>+IF(Tabla33[[#This Row],[Amortización k | cupón de intereses]]="Amortización de K",Tabla33[[#This Row],[Valor Nominal]],0)</f>
        <v>0</v>
      </c>
      <c r="AG241" s="444">
        <f>+IF(AND(Tabla33[[#This Row],[Amortización k | cupón de intereses]]="Cupón de interés",Tabla33[[#This Row],[Estado]]="Vigente"),Tabla33[[#This Row],[Valor Nominal]],0)</f>
        <v>6339.72</v>
      </c>
      <c r="AH241" s="444">
        <f>+IF(Tabla33[[#This Row],[Amortización k | cupón de intereses]]="Amortización de K",SUMIFS($AG$7:$AG$418,Tabla33[Código Emisión],Tabla33[[#This Row],[Código Emisión]],Tabla33[Fecha de operación],Tabla33[[#This Row],[Fecha de operación]]),0)-Tabla33[[#This Row],[Accrued]]*Tabla33[[#This Row],[Valor Nominal]]</f>
        <v>0</v>
      </c>
      <c r="AI241" s="444">
        <f>+IF(Tabla33[[#This Row],[Amortización k | cupón de intereses]]="Amortización de K",IF(Tabla33[[#This Row],[Precio Clean]]&gt;1,Tabla33[[#This Row],[Valor Nominal]]*(Tabla33[[#This Row],[Precio Clean]]-1),0),0)</f>
        <v>0</v>
      </c>
      <c r="AJ241" s="444">
        <f>+IF(Tabla33[[#This Row],[Amortización k | cupón de intereses]]="Amortización de K",IF(Tabla33[[#This Row],[Precio Clean]]&lt;1,Tabla33[[#This Row],[Valor Nominal]]*(Tabla33[[#This Row],[Precio Clean]]-1),0),0)</f>
        <v>0</v>
      </c>
    </row>
    <row r="242" spans="1:36">
      <c r="A242" s="502"/>
      <c r="B242" s="437" t="str">
        <f t="shared" si="167"/>
        <v>Sudameris Bank SAECA</v>
      </c>
      <c r="C242" s="437" t="str">
        <f t="shared" si="165"/>
        <v>SUD_6,50%_270530_BE1754-57_100K</v>
      </c>
      <c r="D242" s="437" t="s">
        <v>453</v>
      </c>
      <c r="E242" s="437" t="str">
        <f t="shared" si="168"/>
        <v>AA+py</v>
      </c>
      <c r="F242" s="437" t="s">
        <v>297</v>
      </c>
      <c r="G242" s="437" t="s">
        <v>298</v>
      </c>
      <c r="H242" s="437">
        <v>4</v>
      </c>
      <c r="I242" s="492">
        <v>1620.55</v>
      </c>
      <c r="J242" s="451"/>
      <c r="K242" s="450"/>
      <c r="L242" s="451"/>
      <c r="M242" s="493"/>
      <c r="N242" s="493"/>
      <c r="O242" s="494">
        <f t="shared" si="166"/>
        <v>6.5596756339073192E-2</v>
      </c>
      <c r="P242" s="494">
        <f t="shared" si="166"/>
        <v>6.4042245700841605E-2</v>
      </c>
      <c r="Q242" s="450">
        <f t="shared" si="166"/>
        <v>45933</v>
      </c>
      <c r="R242" s="450">
        <v>47179</v>
      </c>
      <c r="S242" s="509" t="s">
        <v>146</v>
      </c>
      <c r="T242" s="510">
        <f>Tabla33[[#This Row],[Cantidad]]*Tabla33[[#This Row],[Cortes]]</f>
        <v>6482.2</v>
      </c>
      <c r="U242" s="511">
        <f t="shared" si="153"/>
        <v>5298.8441792045533</v>
      </c>
      <c r="V242" s="511">
        <f t="shared" si="154"/>
        <v>5297.9218979916541</v>
      </c>
      <c r="W242" s="497">
        <f>IF(Tabla33[[#This Row],[Fecha de operación]]=$C$1,0,U242-V242)</f>
        <v>0.92228121289917908</v>
      </c>
      <c r="X242" s="512" t="str">
        <f t="shared" si="161"/>
        <v>Vigente</v>
      </c>
      <c r="Y242" s="498" t="s">
        <v>450</v>
      </c>
      <c r="Z242" s="469">
        <f t="shared" si="162"/>
        <v>1158</v>
      </c>
      <c r="AA242" s="499">
        <f t="shared" si="169"/>
        <v>3.8450770734307493</v>
      </c>
      <c r="AB242" s="499">
        <f t="shared" si="169"/>
        <v>3.7830383128238285</v>
      </c>
      <c r="AC242" s="469" t="s">
        <v>451</v>
      </c>
      <c r="AD242" s="469" t="s">
        <v>454</v>
      </c>
      <c r="AF242" s="444">
        <f>+IF(Tabla33[[#This Row],[Amortización k | cupón de intereses]]="Amortización de K",Tabla33[[#This Row],[Valor Nominal]],0)</f>
        <v>0</v>
      </c>
      <c r="AG242" s="444">
        <f>+IF(AND(Tabla33[[#This Row],[Amortización k | cupón de intereses]]="Cupón de interés",Tabla33[[#This Row],[Estado]]="Vigente"),Tabla33[[#This Row],[Valor Nominal]],0)</f>
        <v>6482.2</v>
      </c>
      <c r="AH242" s="444">
        <f>+IF(Tabla33[[#This Row],[Amortización k | cupón de intereses]]="Amortización de K",SUMIFS($AG$7:$AG$418,Tabla33[Código Emisión],Tabla33[[#This Row],[Código Emisión]],Tabla33[Fecha de operación],Tabla33[[#This Row],[Fecha de operación]]),0)-Tabla33[[#This Row],[Accrued]]*Tabla33[[#This Row],[Valor Nominal]]</f>
        <v>0</v>
      </c>
      <c r="AI242" s="444">
        <f>+IF(Tabla33[[#This Row],[Amortización k | cupón de intereses]]="Amortización de K",IF(Tabla33[[#This Row],[Precio Clean]]&gt;1,Tabla33[[#This Row],[Valor Nominal]]*(Tabla33[[#This Row],[Precio Clean]]-1),0),0)</f>
        <v>0</v>
      </c>
      <c r="AJ242" s="444">
        <f>+IF(Tabla33[[#This Row],[Amortización k | cupón de intereses]]="Amortización de K",IF(Tabla33[[#This Row],[Precio Clean]]&lt;1,Tabla33[[#This Row],[Valor Nominal]]*(Tabla33[[#This Row],[Precio Clean]]-1),0),0)</f>
        <v>0</v>
      </c>
    </row>
    <row r="243" spans="1:36">
      <c r="A243" s="502"/>
      <c r="B243" s="437" t="str">
        <f t="shared" si="167"/>
        <v>Sudameris Bank SAECA</v>
      </c>
      <c r="C243" s="437" t="str">
        <f t="shared" si="165"/>
        <v>SUD_6,50%_270530_BE1754-57_100K</v>
      </c>
      <c r="D243" s="437" t="s">
        <v>453</v>
      </c>
      <c r="E243" s="437" t="str">
        <f t="shared" si="168"/>
        <v>AA+py</v>
      </c>
      <c r="F243" s="437" t="s">
        <v>297</v>
      </c>
      <c r="G243" s="437" t="s">
        <v>298</v>
      </c>
      <c r="H243" s="437">
        <v>4</v>
      </c>
      <c r="I243" s="492">
        <v>1567.12</v>
      </c>
      <c r="J243" s="451"/>
      <c r="K243" s="450"/>
      <c r="L243" s="451"/>
      <c r="M243" s="493"/>
      <c r="N243" s="493"/>
      <c r="O243" s="494">
        <f t="shared" si="166"/>
        <v>6.5596756339073192E-2</v>
      </c>
      <c r="P243" s="494">
        <f t="shared" si="166"/>
        <v>6.4042245700841605E-2</v>
      </c>
      <c r="Q243" s="450">
        <f t="shared" si="166"/>
        <v>45933</v>
      </c>
      <c r="R243" s="450">
        <v>47088</v>
      </c>
      <c r="S243" s="509" t="s">
        <v>146</v>
      </c>
      <c r="T243" s="510">
        <f>Tabla33[[#This Row],[Cantidad]]*Tabla33[[#This Row],[Cortes]]</f>
        <v>6268.48</v>
      </c>
      <c r="U243" s="511">
        <f t="shared" si="153"/>
        <v>5205.9535626924371</v>
      </c>
      <c r="V243" s="511">
        <f t="shared" si="154"/>
        <v>5205.047449396081</v>
      </c>
      <c r="W243" s="497">
        <f>IF(Tabla33[[#This Row],[Fecha de operación]]=$C$1,0,U243-V243)</f>
        <v>0.90611329635612492</v>
      </c>
      <c r="X243" s="512" t="str">
        <f t="shared" si="161"/>
        <v>Vigente</v>
      </c>
      <c r="Y243" s="498" t="s">
        <v>450</v>
      </c>
      <c r="Z243" s="469">
        <f t="shared" si="162"/>
        <v>1067</v>
      </c>
      <c r="AA243" s="499">
        <f t="shared" si="169"/>
        <v>3.8450770734307493</v>
      </c>
      <c r="AB243" s="499">
        <f t="shared" si="169"/>
        <v>3.7830383128238285</v>
      </c>
      <c r="AC243" s="469" t="s">
        <v>451</v>
      </c>
      <c r="AD243" s="469" t="s">
        <v>454</v>
      </c>
      <c r="AF243" s="444">
        <f>+IF(Tabla33[[#This Row],[Amortización k | cupón de intereses]]="Amortización de K",Tabla33[[#This Row],[Valor Nominal]],0)</f>
        <v>0</v>
      </c>
      <c r="AG243" s="444">
        <f>+IF(AND(Tabla33[[#This Row],[Amortización k | cupón de intereses]]="Cupón de interés",Tabla33[[#This Row],[Estado]]="Vigente"),Tabla33[[#This Row],[Valor Nominal]],0)</f>
        <v>6268.48</v>
      </c>
      <c r="AH243" s="444">
        <f>+IF(Tabla33[[#This Row],[Amortización k | cupón de intereses]]="Amortización de K",SUMIFS($AG$7:$AG$418,Tabla33[Código Emisión],Tabla33[[#This Row],[Código Emisión]],Tabla33[Fecha de operación],Tabla33[[#This Row],[Fecha de operación]]),0)-Tabla33[[#This Row],[Accrued]]*Tabla33[[#This Row],[Valor Nominal]]</f>
        <v>0</v>
      </c>
      <c r="AI243" s="444">
        <f>+IF(Tabla33[[#This Row],[Amortización k | cupón de intereses]]="Amortización de K",IF(Tabla33[[#This Row],[Precio Clean]]&gt;1,Tabla33[[#This Row],[Valor Nominal]]*(Tabla33[[#This Row],[Precio Clean]]-1),0),0)</f>
        <v>0</v>
      </c>
      <c r="AJ243" s="444">
        <f>+IF(Tabla33[[#This Row],[Amortización k | cupón de intereses]]="Amortización de K",IF(Tabla33[[#This Row],[Precio Clean]]&lt;1,Tabla33[[#This Row],[Valor Nominal]]*(Tabla33[[#This Row],[Precio Clean]]-1),0),0)</f>
        <v>0</v>
      </c>
    </row>
    <row r="244" spans="1:36">
      <c r="A244" s="502"/>
      <c r="B244" s="437" t="str">
        <f t="shared" si="167"/>
        <v>Sudameris Bank SAECA</v>
      </c>
      <c r="C244" s="437" t="str">
        <f t="shared" si="165"/>
        <v>SUD_6,50%_270530_BE1754-57_100K</v>
      </c>
      <c r="D244" s="437" t="s">
        <v>453</v>
      </c>
      <c r="E244" s="437" t="str">
        <f t="shared" si="168"/>
        <v>AA+py</v>
      </c>
      <c r="F244" s="437" t="s">
        <v>297</v>
      </c>
      <c r="G244" s="437" t="s">
        <v>298</v>
      </c>
      <c r="H244" s="437">
        <v>4</v>
      </c>
      <c r="I244" s="492">
        <v>1620.55</v>
      </c>
      <c r="J244" s="451"/>
      <c r="K244" s="450"/>
      <c r="L244" s="451"/>
      <c r="M244" s="493"/>
      <c r="N244" s="493"/>
      <c r="O244" s="494">
        <f t="shared" si="166"/>
        <v>6.5596756339073192E-2</v>
      </c>
      <c r="P244" s="494">
        <f t="shared" si="166"/>
        <v>6.4042245700841605E-2</v>
      </c>
      <c r="Q244" s="450">
        <f t="shared" si="166"/>
        <v>45933</v>
      </c>
      <c r="R244" s="450">
        <v>47000</v>
      </c>
      <c r="S244" s="509" t="s">
        <v>146</v>
      </c>
      <c r="T244" s="510">
        <f>Tabla33[[#This Row],[Cantidad]]*Tabla33[[#This Row],[Cortes]]</f>
        <v>6482.2</v>
      </c>
      <c r="U244" s="511">
        <f t="shared" si="153"/>
        <v>5466.545964686602</v>
      </c>
      <c r="V244" s="511">
        <f t="shared" si="154"/>
        <v>5465.5944944277744</v>
      </c>
      <c r="W244" s="497">
        <f>IF(Tabla33[[#This Row],[Fecha de operación]]=$C$1,0,U244-V244)</f>
        <v>0.95147025882761227</v>
      </c>
      <c r="X244" s="512" t="str">
        <f t="shared" si="161"/>
        <v>Vigente</v>
      </c>
      <c r="Y244" s="498" t="s">
        <v>450</v>
      </c>
      <c r="Z244" s="469">
        <f t="shared" si="162"/>
        <v>979</v>
      </c>
      <c r="AA244" s="499">
        <f t="shared" si="169"/>
        <v>3.8450770734307493</v>
      </c>
      <c r="AB244" s="499">
        <f t="shared" si="169"/>
        <v>3.7830383128238285</v>
      </c>
      <c r="AC244" s="469" t="s">
        <v>451</v>
      </c>
      <c r="AD244" s="469" t="s">
        <v>454</v>
      </c>
      <c r="AF244" s="444">
        <f>+IF(Tabla33[[#This Row],[Amortización k | cupón de intereses]]="Amortización de K",Tabla33[[#This Row],[Valor Nominal]],0)</f>
        <v>0</v>
      </c>
      <c r="AG244" s="444">
        <f>+IF(AND(Tabla33[[#This Row],[Amortización k | cupón de intereses]]="Cupón de interés",Tabla33[[#This Row],[Estado]]="Vigente"),Tabla33[[#This Row],[Valor Nominal]],0)</f>
        <v>6482.2</v>
      </c>
      <c r="AH244" s="444">
        <f>+IF(Tabla33[[#This Row],[Amortización k | cupón de intereses]]="Amortización de K",SUMIFS($AG$7:$AG$418,Tabla33[Código Emisión],Tabla33[[#This Row],[Código Emisión]],Tabla33[Fecha de operación],Tabla33[[#This Row],[Fecha de operación]]),0)-Tabla33[[#This Row],[Accrued]]*Tabla33[[#This Row],[Valor Nominal]]</f>
        <v>0</v>
      </c>
      <c r="AI244" s="444">
        <f>+IF(Tabla33[[#This Row],[Amortización k | cupón de intereses]]="Amortización de K",IF(Tabla33[[#This Row],[Precio Clean]]&gt;1,Tabla33[[#This Row],[Valor Nominal]]*(Tabla33[[#This Row],[Precio Clean]]-1),0),0)</f>
        <v>0</v>
      </c>
      <c r="AJ244" s="444">
        <f>+IF(Tabla33[[#This Row],[Amortización k | cupón de intereses]]="Amortización de K",IF(Tabla33[[#This Row],[Precio Clean]]&lt;1,Tabla33[[#This Row],[Valor Nominal]]*(Tabla33[[#This Row],[Precio Clean]]-1),0),0)</f>
        <v>0</v>
      </c>
    </row>
    <row r="245" spans="1:36">
      <c r="A245" s="502"/>
      <c r="B245" s="437" t="str">
        <f t="shared" si="167"/>
        <v>Sudameris Bank SAECA</v>
      </c>
      <c r="C245" s="437" t="str">
        <f t="shared" si="165"/>
        <v>SUD_6,50%_270530_BE1754-57_100K</v>
      </c>
      <c r="D245" s="437" t="s">
        <v>453</v>
      </c>
      <c r="E245" s="437" t="str">
        <f t="shared" si="168"/>
        <v>AA+py</v>
      </c>
      <c r="F245" s="437" t="s">
        <v>297</v>
      </c>
      <c r="G245" s="437" t="s">
        <v>298</v>
      </c>
      <c r="H245" s="437">
        <v>4</v>
      </c>
      <c r="I245" s="492">
        <v>1620.55</v>
      </c>
      <c r="J245" s="451"/>
      <c r="K245" s="450"/>
      <c r="L245" s="451"/>
      <c r="M245" s="493"/>
      <c r="N245" s="493"/>
      <c r="O245" s="494">
        <f t="shared" si="166"/>
        <v>6.5596756339073192E-2</v>
      </c>
      <c r="P245" s="494">
        <f t="shared" si="166"/>
        <v>6.4042245700841605E-2</v>
      </c>
      <c r="Q245" s="450">
        <f t="shared" si="166"/>
        <v>45933</v>
      </c>
      <c r="R245" s="450">
        <v>46909</v>
      </c>
      <c r="S245" s="509" t="s">
        <v>146</v>
      </c>
      <c r="T245" s="510">
        <f>Tabla33[[#This Row],[Cantidad]]*Tabla33[[#This Row],[Cortes]]</f>
        <v>6482.2</v>
      </c>
      <c r="U245" s="511">
        <f t="shared" si="153"/>
        <v>5553.8267429042035</v>
      </c>
      <c r="V245" s="511">
        <f t="shared" si="154"/>
        <v>5552.8600811395918</v>
      </c>
      <c r="W245" s="497">
        <f>IF(Tabla33[[#This Row],[Fecha de operación]]=$C$1,0,U245-V245)</f>
        <v>0.96666176461167197</v>
      </c>
      <c r="X245" s="512" t="str">
        <f t="shared" si="161"/>
        <v>Vigente</v>
      </c>
      <c r="Y245" s="498" t="s">
        <v>450</v>
      </c>
      <c r="Z245" s="469">
        <f t="shared" si="162"/>
        <v>888</v>
      </c>
      <c r="AA245" s="499">
        <f t="shared" si="169"/>
        <v>3.8450770734307493</v>
      </c>
      <c r="AB245" s="499">
        <f t="shared" si="169"/>
        <v>3.7830383128238285</v>
      </c>
      <c r="AC245" s="469" t="s">
        <v>451</v>
      </c>
      <c r="AD245" s="469" t="s">
        <v>454</v>
      </c>
      <c r="AF245" s="444">
        <f>+IF(Tabla33[[#This Row],[Amortización k | cupón de intereses]]="Amortización de K",Tabla33[[#This Row],[Valor Nominal]],0)</f>
        <v>0</v>
      </c>
      <c r="AG245" s="444">
        <f>+IF(AND(Tabla33[[#This Row],[Amortización k | cupón de intereses]]="Cupón de interés",Tabla33[[#This Row],[Estado]]="Vigente"),Tabla33[[#This Row],[Valor Nominal]],0)</f>
        <v>6482.2</v>
      </c>
      <c r="AH245" s="444">
        <f>+IF(Tabla33[[#This Row],[Amortización k | cupón de intereses]]="Amortización de K",SUMIFS($AG$7:$AG$418,Tabla33[Código Emisión],Tabla33[[#This Row],[Código Emisión]],Tabla33[Fecha de operación],Tabla33[[#This Row],[Fecha de operación]]),0)-Tabla33[[#This Row],[Accrued]]*Tabla33[[#This Row],[Valor Nominal]]</f>
        <v>0</v>
      </c>
      <c r="AI245" s="444">
        <f>+IF(Tabla33[[#This Row],[Amortización k | cupón de intereses]]="Amortización de K",IF(Tabla33[[#This Row],[Precio Clean]]&gt;1,Tabla33[[#This Row],[Valor Nominal]]*(Tabla33[[#This Row],[Precio Clean]]-1),0),0)</f>
        <v>0</v>
      </c>
      <c r="AJ245" s="444">
        <f>+IF(Tabla33[[#This Row],[Amortización k | cupón de intereses]]="Amortización de K",IF(Tabla33[[#This Row],[Precio Clean]]&lt;1,Tabla33[[#This Row],[Valor Nominal]]*(Tabla33[[#This Row],[Precio Clean]]-1),0),0)</f>
        <v>0</v>
      </c>
    </row>
    <row r="246" spans="1:36">
      <c r="A246" s="502"/>
      <c r="B246" s="437" t="str">
        <f t="shared" si="167"/>
        <v>Sudameris Bank SAECA</v>
      </c>
      <c r="C246" s="437" t="str">
        <f t="shared" si="165"/>
        <v>SUD_6,50%_270530_BE1754-57_100K</v>
      </c>
      <c r="D246" s="437" t="s">
        <v>453</v>
      </c>
      <c r="E246" s="437" t="str">
        <f t="shared" si="168"/>
        <v>AA+py</v>
      </c>
      <c r="F246" s="437" t="s">
        <v>297</v>
      </c>
      <c r="G246" s="437" t="s">
        <v>298</v>
      </c>
      <c r="H246" s="437">
        <v>4</v>
      </c>
      <c r="I246" s="492">
        <v>1602.74</v>
      </c>
      <c r="J246" s="451"/>
      <c r="K246" s="450"/>
      <c r="L246" s="451"/>
      <c r="M246" s="493"/>
      <c r="N246" s="493"/>
      <c r="O246" s="494">
        <f t="shared" si="166"/>
        <v>6.5596756339073192E-2</v>
      </c>
      <c r="P246" s="494">
        <f t="shared" si="166"/>
        <v>6.4042245700841605E-2</v>
      </c>
      <c r="Q246" s="450">
        <f t="shared" si="166"/>
        <v>45933</v>
      </c>
      <c r="R246" s="450">
        <v>46818</v>
      </c>
      <c r="S246" s="509" t="s">
        <v>146</v>
      </c>
      <c r="T246" s="510">
        <f>Tabla33[[#This Row],[Cantidad]]*Tabla33[[#This Row],[Cortes]]</f>
        <v>6410.96</v>
      </c>
      <c r="U246" s="511">
        <f t="shared" si="153"/>
        <v>5580.4894481914444</v>
      </c>
      <c r="V246" s="511">
        <f t="shared" si="154"/>
        <v>5579.5181456955061</v>
      </c>
      <c r="W246" s="497">
        <f>IF(Tabla33[[#This Row],[Fecha de operación]]=$C$1,0,U246-V246)</f>
        <v>0.97130249593828921</v>
      </c>
      <c r="X246" s="512" t="str">
        <f t="shared" si="161"/>
        <v>Vigente</v>
      </c>
      <c r="Y246" s="498" t="s">
        <v>450</v>
      </c>
      <c r="Z246" s="469">
        <f t="shared" si="162"/>
        <v>797</v>
      </c>
      <c r="AA246" s="499">
        <f t="shared" si="169"/>
        <v>3.8450770734307493</v>
      </c>
      <c r="AB246" s="499">
        <f t="shared" si="169"/>
        <v>3.7830383128238285</v>
      </c>
      <c r="AC246" s="469" t="s">
        <v>451</v>
      </c>
      <c r="AD246" s="469" t="s">
        <v>454</v>
      </c>
      <c r="AF246" s="444">
        <f>+IF(Tabla33[[#This Row],[Amortización k | cupón de intereses]]="Amortización de K",Tabla33[[#This Row],[Valor Nominal]],0)</f>
        <v>0</v>
      </c>
      <c r="AG246" s="444">
        <f>+IF(AND(Tabla33[[#This Row],[Amortización k | cupón de intereses]]="Cupón de interés",Tabla33[[#This Row],[Estado]]="Vigente"),Tabla33[[#This Row],[Valor Nominal]],0)</f>
        <v>6410.96</v>
      </c>
      <c r="AH246" s="444">
        <f>+IF(Tabla33[[#This Row],[Amortización k | cupón de intereses]]="Amortización de K",SUMIFS($AG$7:$AG$418,Tabla33[Código Emisión],Tabla33[[#This Row],[Código Emisión]],Tabla33[Fecha de operación],Tabla33[[#This Row],[Fecha de operación]]),0)-Tabla33[[#This Row],[Accrued]]*Tabla33[[#This Row],[Valor Nominal]]</f>
        <v>0</v>
      </c>
      <c r="AI246" s="444">
        <f>+IF(Tabla33[[#This Row],[Amortización k | cupón de intereses]]="Amortización de K",IF(Tabla33[[#This Row],[Precio Clean]]&gt;1,Tabla33[[#This Row],[Valor Nominal]]*(Tabla33[[#This Row],[Precio Clean]]-1),0),0)</f>
        <v>0</v>
      </c>
      <c r="AJ246" s="444">
        <f>+IF(Tabla33[[#This Row],[Amortización k | cupón de intereses]]="Amortización de K",IF(Tabla33[[#This Row],[Precio Clean]]&lt;1,Tabla33[[#This Row],[Valor Nominal]]*(Tabla33[[#This Row],[Precio Clean]]-1),0),0)</f>
        <v>0</v>
      </c>
    </row>
    <row r="247" spans="1:36">
      <c r="A247" s="502"/>
      <c r="B247" s="437" t="str">
        <f t="shared" si="167"/>
        <v>Sudameris Bank SAECA</v>
      </c>
      <c r="C247" s="437" t="str">
        <f t="shared" si="165"/>
        <v>SUD_6,50%_270530_BE1754-57_100K</v>
      </c>
      <c r="D247" s="437" t="s">
        <v>453</v>
      </c>
      <c r="E247" s="437" t="str">
        <f t="shared" si="168"/>
        <v>AA+py</v>
      </c>
      <c r="F247" s="437" t="s">
        <v>297</v>
      </c>
      <c r="G247" s="437" t="s">
        <v>298</v>
      </c>
      <c r="H247" s="437">
        <v>4</v>
      </c>
      <c r="I247" s="492">
        <v>1602.74</v>
      </c>
      <c r="J247" s="451"/>
      <c r="K247" s="450"/>
      <c r="L247" s="451"/>
      <c r="M247" s="493"/>
      <c r="N247" s="493"/>
      <c r="O247" s="494">
        <f t="shared" si="166"/>
        <v>6.5596756339073192E-2</v>
      </c>
      <c r="P247" s="494">
        <f t="shared" si="166"/>
        <v>6.4042245700841605E-2</v>
      </c>
      <c r="Q247" s="450">
        <f t="shared" si="166"/>
        <v>45933</v>
      </c>
      <c r="R247" s="450">
        <v>46728</v>
      </c>
      <c r="S247" s="509" t="s">
        <v>146</v>
      </c>
      <c r="T247" s="510">
        <f>Tabla33[[#This Row],[Cantidad]]*Tabla33[[#This Row],[Cortes]]</f>
        <v>6410.96</v>
      </c>
      <c r="U247" s="511">
        <f t="shared" si="153"/>
        <v>5668.6026771311535</v>
      </c>
      <c r="V247" s="511">
        <f t="shared" si="154"/>
        <v>5667.6160382386524</v>
      </c>
      <c r="W247" s="497">
        <f>IF(Tabla33[[#This Row],[Fecha de operación]]=$C$1,0,U247-V247)</f>
        <v>0.98663889250110515</v>
      </c>
      <c r="X247" s="512" t="str">
        <f t="shared" si="161"/>
        <v>Vigente</v>
      </c>
      <c r="Y247" s="498" t="s">
        <v>450</v>
      </c>
      <c r="Z247" s="469">
        <f t="shared" si="162"/>
        <v>707</v>
      </c>
      <c r="AA247" s="499">
        <f t="shared" si="169"/>
        <v>3.8450770734307493</v>
      </c>
      <c r="AB247" s="499">
        <f t="shared" si="169"/>
        <v>3.7830383128238285</v>
      </c>
      <c r="AC247" s="469" t="s">
        <v>451</v>
      </c>
      <c r="AD247" s="469" t="s">
        <v>454</v>
      </c>
      <c r="AF247" s="444">
        <f>+IF(Tabla33[[#This Row],[Amortización k | cupón de intereses]]="Amortización de K",Tabla33[[#This Row],[Valor Nominal]],0)</f>
        <v>0</v>
      </c>
      <c r="AG247" s="444">
        <f>+IF(AND(Tabla33[[#This Row],[Amortización k | cupón de intereses]]="Cupón de interés",Tabla33[[#This Row],[Estado]]="Vigente"),Tabla33[[#This Row],[Valor Nominal]],0)</f>
        <v>6410.96</v>
      </c>
      <c r="AH247" s="444">
        <f>+IF(Tabla33[[#This Row],[Amortización k | cupón de intereses]]="Amortización de K",SUMIFS($AG$7:$AG$418,Tabla33[Código Emisión],Tabla33[[#This Row],[Código Emisión]],Tabla33[Fecha de operación],Tabla33[[#This Row],[Fecha de operación]]),0)-Tabla33[[#This Row],[Accrued]]*Tabla33[[#This Row],[Valor Nominal]]</f>
        <v>0</v>
      </c>
      <c r="AI247" s="444">
        <f>+IF(Tabla33[[#This Row],[Amortización k | cupón de intereses]]="Amortización de K",IF(Tabla33[[#This Row],[Precio Clean]]&gt;1,Tabla33[[#This Row],[Valor Nominal]]*(Tabla33[[#This Row],[Precio Clean]]-1),0),0)</f>
        <v>0</v>
      </c>
      <c r="AJ247" s="444">
        <f>+IF(Tabla33[[#This Row],[Amortización k | cupón de intereses]]="Amortización de K",IF(Tabla33[[#This Row],[Precio Clean]]&lt;1,Tabla33[[#This Row],[Valor Nominal]]*(Tabla33[[#This Row],[Precio Clean]]-1),0),0)</f>
        <v>0</v>
      </c>
    </row>
    <row r="248" spans="1:36">
      <c r="A248" s="502"/>
      <c r="B248" s="437" t="str">
        <f t="shared" si="167"/>
        <v>Sudameris Bank SAECA</v>
      </c>
      <c r="C248" s="437" t="str">
        <f t="shared" si="165"/>
        <v>SUD_6,50%_270530_BE1754-57_100K</v>
      </c>
      <c r="D248" s="437" t="s">
        <v>453</v>
      </c>
      <c r="E248" s="437" t="str">
        <f t="shared" si="168"/>
        <v>AA+py</v>
      </c>
      <c r="F248" s="437" t="s">
        <v>297</v>
      </c>
      <c r="G248" s="437" t="s">
        <v>298</v>
      </c>
      <c r="H248" s="437">
        <v>4</v>
      </c>
      <c r="I248" s="492">
        <v>1602.74</v>
      </c>
      <c r="J248" s="451"/>
      <c r="K248" s="450"/>
      <c r="L248" s="451"/>
      <c r="M248" s="493"/>
      <c r="N248" s="493"/>
      <c r="O248" s="494">
        <f t="shared" si="166"/>
        <v>6.5596756339073192E-2</v>
      </c>
      <c r="P248" s="494">
        <f t="shared" si="166"/>
        <v>6.4042245700841605E-2</v>
      </c>
      <c r="Q248" s="450">
        <f t="shared" si="166"/>
        <v>45933</v>
      </c>
      <c r="R248" s="450">
        <v>46638</v>
      </c>
      <c r="S248" s="509" t="s">
        <v>146</v>
      </c>
      <c r="T248" s="510">
        <f>Tabla33[[#This Row],[Cantidad]]*Tabla33[[#This Row],[Cortes]]</f>
        <v>6410.96</v>
      </c>
      <c r="U248" s="511">
        <f t="shared" si="153"/>
        <v>5758.1071713328538</v>
      </c>
      <c r="V248" s="511">
        <f t="shared" si="154"/>
        <v>5757.1049538895068</v>
      </c>
      <c r="W248" s="497">
        <f>IF(Tabla33[[#This Row],[Fecha de operación]]=$C$1,0,U248-V248)</f>
        <v>1.0022174433470354</v>
      </c>
      <c r="X248" s="512" t="str">
        <f t="shared" si="161"/>
        <v>Vigente</v>
      </c>
      <c r="Y248" s="498" t="s">
        <v>450</v>
      </c>
      <c r="Z248" s="469">
        <f t="shared" si="162"/>
        <v>617</v>
      </c>
      <c r="AA248" s="499">
        <f t="shared" si="169"/>
        <v>3.8450770734307493</v>
      </c>
      <c r="AB248" s="499">
        <f t="shared" si="169"/>
        <v>3.7830383128238285</v>
      </c>
      <c r="AC248" s="469" t="s">
        <v>451</v>
      </c>
      <c r="AD248" s="469" t="s">
        <v>454</v>
      </c>
      <c r="AF248" s="444">
        <f>+IF(Tabla33[[#This Row],[Amortización k | cupón de intereses]]="Amortización de K",Tabla33[[#This Row],[Valor Nominal]],0)</f>
        <v>0</v>
      </c>
      <c r="AG248" s="444">
        <f>+IF(AND(Tabla33[[#This Row],[Amortización k | cupón de intereses]]="Cupón de interés",Tabla33[[#This Row],[Estado]]="Vigente"),Tabla33[[#This Row],[Valor Nominal]],0)</f>
        <v>6410.96</v>
      </c>
      <c r="AH248" s="444">
        <f>+IF(Tabla33[[#This Row],[Amortización k | cupón de intereses]]="Amortización de K",SUMIFS($AG$7:$AG$418,Tabla33[Código Emisión],Tabla33[[#This Row],[Código Emisión]],Tabla33[Fecha de operación],Tabla33[[#This Row],[Fecha de operación]]),0)-Tabla33[[#This Row],[Accrued]]*Tabla33[[#This Row],[Valor Nominal]]</f>
        <v>0</v>
      </c>
      <c r="AI248" s="444">
        <f>+IF(Tabla33[[#This Row],[Amortización k | cupón de intereses]]="Amortización de K",IF(Tabla33[[#This Row],[Precio Clean]]&gt;1,Tabla33[[#This Row],[Valor Nominal]]*(Tabla33[[#This Row],[Precio Clean]]-1),0),0)</f>
        <v>0</v>
      </c>
      <c r="AJ248" s="444">
        <f>+IF(Tabla33[[#This Row],[Amortización k | cupón de intereses]]="Amortización de K",IF(Tabla33[[#This Row],[Precio Clean]]&lt;1,Tabla33[[#This Row],[Valor Nominal]]*(Tabla33[[#This Row],[Precio Clean]]-1),0),0)</f>
        <v>0</v>
      </c>
    </row>
    <row r="249" spans="1:36">
      <c r="A249" s="502"/>
      <c r="B249" s="437" t="str">
        <f t="shared" si="167"/>
        <v>Sudameris Bank SAECA</v>
      </c>
      <c r="C249" s="437" t="str">
        <f t="shared" si="165"/>
        <v>SUD_6,50%_270530_BE1754-57_100K</v>
      </c>
      <c r="D249" s="437" t="s">
        <v>453</v>
      </c>
      <c r="E249" s="437" t="str">
        <f t="shared" si="168"/>
        <v>AA+py</v>
      </c>
      <c r="F249" s="437" t="s">
        <v>297</v>
      </c>
      <c r="G249" s="437" t="s">
        <v>298</v>
      </c>
      <c r="H249" s="437">
        <v>4</v>
      </c>
      <c r="I249" s="492">
        <v>1602.74</v>
      </c>
      <c r="J249" s="451"/>
      <c r="K249" s="450"/>
      <c r="L249" s="451"/>
      <c r="M249" s="493"/>
      <c r="N249" s="493"/>
      <c r="O249" s="494">
        <f t="shared" si="166"/>
        <v>6.5596756339073192E-2</v>
      </c>
      <c r="P249" s="494">
        <f t="shared" si="166"/>
        <v>6.4042245700841605E-2</v>
      </c>
      <c r="Q249" s="450">
        <f t="shared" si="166"/>
        <v>45933</v>
      </c>
      <c r="R249" s="450">
        <v>46548</v>
      </c>
      <c r="S249" s="509" t="s">
        <v>146</v>
      </c>
      <c r="T249" s="510">
        <f>Tabla33[[#This Row],[Cantidad]]*Tabla33[[#This Row],[Cortes]]</f>
        <v>6410.96</v>
      </c>
      <c r="U249" s="511">
        <f t="shared" si="153"/>
        <v>5849.0248982020366</v>
      </c>
      <c r="V249" s="511">
        <f t="shared" si="154"/>
        <v>5848.0068562300612</v>
      </c>
      <c r="W249" s="497">
        <f>IF(Tabla33[[#This Row],[Fecha de operación]]=$C$1,0,U249-V249)</f>
        <v>1.0180419719754354</v>
      </c>
      <c r="X249" s="512" t="str">
        <f t="shared" si="161"/>
        <v>Vigente</v>
      </c>
      <c r="Y249" s="498" t="s">
        <v>450</v>
      </c>
      <c r="Z249" s="469">
        <f t="shared" si="162"/>
        <v>527</v>
      </c>
      <c r="AA249" s="499">
        <f t="shared" si="169"/>
        <v>3.8450770734307493</v>
      </c>
      <c r="AB249" s="499">
        <f t="shared" si="169"/>
        <v>3.7830383128238285</v>
      </c>
      <c r="AC249" s="469" t="s">
        <v>451</v>
      </c>
      <c r="AD249" s="469" t="s">
        <v>454</v>
      </c>
      <c r="AF249" s="444">
        <f>+IF(Tabla33[[#This Row],[Amortización k | cupón de intereses]]="Amortización de K",Tabla33[[#This Row],[Valor Nominal]],0)</f>
        <v>0</v>
      </c>
      <c r="AG249" s="444">
        <f>+IF(AND(Tabla33[[#This Row],[Amortización k | cupón de intereses]]="Cupón de interés",Tabla33[[#This Row],[Estado]]="Vigente"),Tabla33[[#This Row],[Valor Nominal]],0)</f>
        <v>6410.96</v>
      </c>
      <c r="AH249" s="444">
        <f>+IF(Tabla33[[#This Row],[Amortización k | cupón de intereses]]="Amortización de K",SUMIFS($AG$7:$AG$418,Tabla33[Código Emisión],Tabla33[[#This Row],[Código Emisión]],Tabla33[Fecha de operación],Tabla33[[#This Row],[Fecha de operación]]),0)-Tabla33[[#This Row],[Accrued]]*Tabla33[[#This Row],[Valor Nominal]]</f>
        <v>0</v>
      </c>
      <c r="AI249" s="444">
        <f>+IF(Tabla33[[#This Row],[Amortización k | cupón de intereses]]="Amortización de K",IF(Tabla33[[#This Row],[Precio Clean]]&gt;1,Tabla33[[#This Row],[Valor Nominal]]*(Tabla33[[#This Row],[Precio Clean]]-1),0),0)</f>
        <v>0</v>
      </c>
      <c r="AJ249" s="444">
        <f>+IF(Tabla33[[#This Row],[Amortización k | cupón de intereses]]="Amortización de K",IF(Tabla33[[#This Row],[Precio Clean]]&lt;1,Tabla33[[#This Row],[Valor Nominal]]*(Tabla33[[#This Row],[Precio Clean]]-1),0),0)</f>
        <v>0</v>
      </c>
    </row>
    <row r="250" spans="1:36">
      <c r="A250" s="502"/>
      <c r="B250" s="437" t="str">
        <f t="shared" si="167"/>
        <v>Sudameris Bank SAECA</v>
      </c>
      <c r="C250" s="437" t="str">
        <f t="shared" si="165"/>
        <v>SUD_6,50%_270530_BE1754-57_100K</v>
      </c>
      <c r="D250" s="437" t="s">
        <v>453</v>
      </c>
      <c r="E250" s="437" t="str">
        <f t="shared" si="168"/>
        <v>AA+py</v>
      </c>
      <c r="F250" s="437" t="s">
        <v>297</v>
      </c>
      <c r="G250" s="437" t="s">
        <v>298</v>
      </c>
      <c r="H250" s="437">
        <v>4</v>
      </c>
      <c r="I250" s="492">
        <v>1567.12</v>
      </c>
      <c r="J250" s="451"/>
      <c r="K250" s="450"/>
      <c r="L250" s="451"/>
      <c r="M250" s="493"/>
      <c r="N250" s="493"/>
      <c r="O250" s="494">
        <f t="shared" si="166"/>
        <v>6.5596756339073192E-2</v>
      </c>
      <c r="P250" s="494">
        <f t="shared" si="166"/>
        <v>6.4042245700841605E-2</v>
      </c>
      <c r="Q250" s="450">
        <f t="shared" si="166"/>
        <v>45933</v>
      </c>
      <c r="R250" s="450">
        <v>46458</v>
      </c>
      <c r="S250" s="509" t="s">
        <v>146</v>
      </c>
      <c r="T250" s="510">
        <f>Tabla33[[#This Row],[Cantidad]]*Tabla33[[#This Row],[Cortes]]</f>
        <v>6268.48</v>
      </c>
      <c r="U250" s="511">
        <f t="shared" si="153"/>
        <v>5809.3343654634664</v>
      </c>
      <c r="V250" s="511">
        <f t="shared" si="154"/>
        <v>5808.3232317589227</v>
      </c>
      <c r="W250" s="497">
        <f>IF(Tabla33[[#This Row],[Fecha de operación]]=$C$1,0,U250-V250)</f>
        <v>1.0111337045436812</v>
      </c>
      <c r="X250" s="512" t="str">
        <f t="shared" si="161"/>
        <v>Vigente</v>
      </c>
      <c r="Y250" s="498" t="s">
        <v>450</v>
      </c>
      <c r="Z250" s="469">
        <f t="shared" si="162"/>
        <v>437</v>
      </c>
      <c r="AA250" s="499">
        <f t="shared" si="169"/>
        <v>3.8450770734307493</v>
      </c>
      <c r="AB250" s="499">
        <f t="shared" si="169"/>
        <v>3.7830383128238285</v>
      </c>
      <c r="AC250" s="469" t="s">
        <v>451</v>
      </c>
      <c r="AD250" s="469" t="s">
        <v>454</v>
      </c>
      <c r="AF250" s="444">
        <f>+IF(Tabla33[[#This Row],[Amortización k | cupón de intereses]]="Amortización de K",Tabla33[[#This Row],[Valor Nominal]],0)</f>
        <v>0</v>
      </c>
      <c r="AG250" s="444">
        <f>+IF(AND(Tabla33[[#This Row],[Amortización k | cupón de intereses]]="Cupón de interés",Tabla33[[#This Row],[Estado]]="Vigente"),Tabla33[[#This Row],[Valor Nominal]],0)</f>
        <v>6268.48</v>
      </c>
      <c r="AH250" s="444">
        <f>+IF(Tabla33[[#This Row],[Amortización k | cupón de intereses]]="Amortización de K",SUMIFS($AG$7:$AG$418,Tabla33[Código Emisión],Tabla33[[#This Row],[Código Emisión]],Tabla33[Fecha de operación],Tabla33[[#This Row],[Fecha de operación]]),0)-Tabla33[[#This Row],[Accrued]]*Tabla33[[#This Row],[Valor Nominal]]</f>
        <v>0</v>
      </c>
      <c r="AI250" s="444">
        <f>+IF(Tabla33[[#This Row],[Amortización k | cupón de intereses]]="Amortización de K",IF(Tabla33[[#This Row],[Precio Clean]]&gt;1,Tabla33[[#This Row],[Valor Nominal]]*(Tabla33[[#This Row],[Precio Clean]]-1),0),0)</f>
        <v>0</v>
      </c>
      <c r="AJ250" s="444">
        <f>+IF(Tabla33[[#This Row],[Amortización k | cupón de intereses]]="Amortización de K",IF(Tabla33[[#This Row],[Precio Clean]]&lt;1,Tabla33[[#This Row],[Valor Nominal]]*(Tabla33[[#This Row],[Precio Clean]]-1),0),0)</f>
        <v>0</v>
      </c>
    </row>
    <row r="251" spans="1:36">
      <c r="A251" s="502"/>
      <c r="B251" s="437" t="str">
        <f t="shared" si="167"/>
        <v>Sudameris Bank SAECA</v>
      </c>
      <c r="C251" s="437" t="str">
        <f t="shared" si="165"/>
        <v>SUD_6,50%_270530_BE1754-57_100K</v>
      </c>
      <c r="D251" s="437" t="s">
        <v>453</v>
      </c>
      <c r="E251" s="437" t="str">
        <f t="shared" si="168"/>
        <v>AA+py</v>
      </c>
      <c r="F251" s="437" t="s">
        <v>297</v>
      </c>
      <c r="G251" s="437" t="s">
        <v>298</v>
      </c>
      <c r="H251" s="437">
        <v>4</v>
      </c>
      <c r="I251" s="492">
        <v>1620.55</v>
      </c>
      <c r="J251" s="451"/>
      <c r="K251" s="450"/>
      <c r="L251" s="451"/>
      <c r="M251" s="493"/>
      <c r="N251" s="493"/>
      <c r="O251" s="494">
        <f t="shared" si="166"/>
        <v>6.5596756339073192E-2</v>
      </c>
      <c r="P251" s="494">
        <f t="shared" si="166"/>
        <v>6.4042245700841605E-2</v>
      </c>
      <c r="Q251" s="450">
        <f t="shared" si="166"/>
        <v>45933</v>
      </c>
      <c r="R251" s="450">
        <v>46370</v>
      </c>
      <c r="S251" s="509" t="s">
        <v>146</v>
      </c>
      <c r="T251" s="510">
        <f>Tabla33[[#This Row],[Cantidad]]*Tabla33[[#This Row],[Cortes]]</f>
        <v>6482.2</v>
      </c>
      <c r="U251" s="511">
        <f t="shared" si="153"/>
        <v>6100.1299667020658</v>
      </c>
      <c r="V251" s="511">
        <f t="shared" si="154"/>
        <v>6099.0682190691359</v>
      </c>
      <c r="W251" s="497">
        <f>IF(Tabla33[[#This Row],[Fecha de operación]]=$C$1,0,U251-V251)</f>
        <v>1.061747632929837</v>
      </c>
      <c r="X251" s="512" t="str">
        <f t="shared" si="161"/>
        <v>Vigente</v>
      </c>
      <c r="Y251" s="498" t="s">
        <v>450</v>
      </c>
      <c r="Z251" s="469">
        <f t="shared" si="162"/>
        <v>349</v>
      </c>
      <c r="AA251" s="499">
        <f t="shared" si="169"/>
        <v>3.8450770734307493</v>
      </c>
      <c r="AB251" s="499">
        <f t="shared" si="169"/>
        <v>3.7830383128238285</v>
      </c>
      <c r="AC251" s="469" t="s">
        <v>451</v>
      </c>
      <c r="AD251" s="469" t="s">
        <v>454</v>
      </c>
      <c r="AF251" s="444">
        <f>+IF(Tabla33[[#This Row],[Amortización k | cupón de intereses]]="Amortización de K",Tabla33[[#This Row],[Valor Nominal]],0)</f>
        <v>0</v>
      </c>
      <c r="AG251" s="444">
        <f>+IF(AND(Tabla33[[#This Row],[Amortización k | cupón de intereses]]="Cupón de interés",Tabla33[[#This Row],[Estado]]="Vigente"),Tabla33[[#This Row],[Valor Nominal]],0)</f>
        <v>6482.2</v>
      </c>
      <c r="AH251" s="444">
        <f>+IF(Tabla33[[#This Row],[Amortización k | cupón de intereses]]="Amortización de K",SUMIFS($AG$7:$AG$418,Tabla33[Código Emisión],Tabla33[[#This Row],[Código Emisión]],Tabla33[Fecha de operación],Tabla33[[#This Row],[Fecha de operación]]),0)-Tabla33[[#This Row],[Accrued]]*Tabla33[[#This Row],[Valor Nominal]]</f>
        <v>0</v>
      </c>
      <c r="AI251" s="444">
        <f>+IF(Tabla33[[#This Row],[Amortización k | cupón de intereses]]="Amortización de K",IF(Tabla33[[#This Row],[Precio Clean]]&gt;1,Tabla33[[#This Row],[Valor Nominal]]*(Tabla33[[#This Row],[Precio Clean]]-1),0),0)</f>
        <v>0</v>
      </c>
      <c r="AJ251" s="444">
        <f>+IF(Tabla33[[#This Row],[Amortización k | cupón de intereses]]="Amortización de K",IF(Tabla33[[#This Row],[Precio Clean]]&lt;1,Tabla33[[#This Row],[Valor Nominal]]*(Tabla33[[#This Row],[Precio Clean]]-1),0),0)</f>
        <v>0</v>
      </c>
    </row>
    <row r="252" spans="1:36">
      <c r="A252" s="502"/>
      <c r="B252" s="437" t="str">
        <f t="shared" si="167"/>
        <v>Sudameris Bank SAECA</v>
      </c>
      <c r="C252" s="437" t="str">
        <f t="shared" si="165"/>
        <v>SUD_6,50%_270530_BE1754-57_100K</v>
      </c>
      <c r="D252" s="437" t="s">
        <v>453</v>
      </c>
      <c r="E252" s="437" t="str">
        <f t="shared" si="168"/>
        <v>AA+py</v>
      </c>
      <c r="F252" s="437" t="s">
        <v>297</v>
      </c>
      <c r="G252" s="437" t="s">
        <v>298</v>
      </c>
      <c r="H252" s="437">
        <v>4</v>
      </c>
      <c r="I252" s="492">
        <v>1620.55</v>
      </c>
      <c r="J252" s="451"/>
      <c r="K252" s="450"/>
      <c r="L252" s="451"/>
      <c r="M252" s="493"/>
      <c r="N252" s="493"/>
      <c r="O252" s="494">
        <f t="shared" si="166"/>
        <v>6.5596756339073192E-2</v>
      </c>
      <c r="P252" s="494">
        <f t="shared" si="166"/>
        <v>6.4042245700841605E-2</v>
      </c>
      <c r="Q252" s="450">
        <f t="shared" si="166"/>
        <v>45933</v>
      </c>
      <c r="R252" s="450">
        <v>46279</v>
      </c>
      <c r="S252" s="509" t="s">
        <v>146</v>
      </c>
      <c r="T252" s="510">
        <f>Tabla33[[#This Row],[Cantidad]]*Tabla33[[#This Row],[Cortes]]</f>
        <v>6482.2</v>
      </c>
      <c r="U252" s="511">
        <f t="shared" si="153"/>
        <v>6197.5267679293256</v>
      </c>
      <c r="V252" s="511">
        <f t="shared" si="154"/>
        <v>6196.4480680636216</v>
      </c>
      <c r="W252" s="497">
        <f>IF(Tabla33[[#This Row],[Fecha de operación]]=$C$1,0,U252-V252)</f>
        <v>1.0786998657040385</v>
      </c>
      <c r="X252" s="512" t="str">
        <f t="shared" si="161"/>
        <v>Vigente</v>
      </c>
      <c r="Y252" s="498" t="s">
        <v>450</v>
      </c>
      <c r="Z252" s="469">
        <f t="shared" si="162"/>
        <v>258</v>
      </c>
      <c r="AA252" s="499">
        <f t="shared" si="169"/>
        <v>3.8450770734307493</v>
      </c>
      <c r="AB252" s="499">
        <f t="shared" si="169"/>
        <v>3.7830383128238285</v>
      </c>
      <c r="AC252" s="469" t="s">
        <v>451</v>
      </c>
      <c r="AD252" s="469" t="s">
        <v>454</v>
      </c>
      <c r="AF252" s="444">
        <f>+IF(Tabla33[[#This Row],[Amortización k | cupón de intereses]]="Amortización de K",Tabla33[[#This Row],[Valor Nominal]],0)</f>
        <v>0</v>
      </c>
      <c r="AG252" s="444">
        <f>+IF(AND(Tabla33[[#This Row],[Amortización k | cupón de intereses]]="Cupón de interés",Tabla33[[#This Row],[Estado]]="Vigente"),Tabla33[[#This Row],[Valor Nominal]],0)</f>
        <v>6482.2</v>
      </c>
      <c r="AH252" s="444">
        <f>+IF(Tabla33[[#This Row],[Amortización k | cupón de intereses]]="Amortización de K",SUMIFS($AG$7:$AG$418,Tabla33[Código Emisión],Tabla33[[#This Row],[Código Emisión]],Tabla33[Fecha de operación],Tabla33[[#This Row],[Fecha de operación]]),0)-Tabla33[[#This Row],[Accrued]]*Tabla33[[#This Row],[Valor Nominal]]</f>
        <v>0</v>
      </c>
      <c r="AI252" s="444">
        <f>+IF(Tabla33[[#This Row],[Amortización k | cupón de intereses]]="Amortización de K",IF(Tabla33[[#This Row],[Precio Clean]]&gt;1,Tabla33[[#This Row],[Valor Nominal]]*(Tabla33[[#This Row],[Precio Clean]]-1),0),0)</f>
        <v>0</v>
      </c>
      <c r="AJ252" s="444">
        <f>+IF(Tabla33[[#This Row],[Amortización k | cupón de intereses]]="Amortización de K",IF(Tabla33[[#This Row],[Precio Clean]]&lt;1,Tabla33[[#This Row],[Valor Nominal]]*(Tabla33[[#This Row],[Precio Clean]]-1),0),0)</f>
        <v>0</v>
      </c>
    </row>
    <row r="253" spans="1:36">
      <c r="A253" s="502"/>
      <c r="B253" s="437" t="str">
        <f t="shared" si="167"/>
        <v>Sudameris Bank SAECA</v>
      </c>
      <c r="C253" s="437" t="str">
        <f t="shared" si="165"/>
        <v>SUD_6,50%_270530_BE1754-57_100K</v>
      </c>
      <c r="D253" s="437" t="s">
        <v>453</v>
      </c>
      <c r="E253" s="437" t="str">
        <f t="shared" si="168"/>
        <v>AA+py</v>
      </c>
      <c r="F253" s="437" t="s">
        <v>297</v>
      </c>
      <c r="G253" s="437" t="s">
        <v>298</v>
      </c>
      <c r="H253" s="437">
        <v>4</v>
      </c>
      <c r="I253" s="492">
        <v>1602.74</v>
      </c>
      <c r="J253" s="451"/>
      <c r="K253" s="450"/>
      <c r="L253" s="451"/>
      <c r="M253" s="493"/>
      <c r="N253" s="493"/>
      <c r="O253" s="494">
        <f t="shared" ref="O253:Q255" si="170">+O252</f>
        <v>6.5596756339073192E-2</v>
      </c>
      <c r="P253" s="494">
        <f t="shared" si="170"/>
        <v>6.4042245700841605E-2</v>
      </c>
      <c r="Q253" s="450">
        <f t="shared" si="170"/>
        <v>45933</v>
      </c>
      <c r="R253" s="450">
        <v>46188</v>
      </c>
      <c r="S253" s="509" t="s">
        <v>146</v>
      </c>
      <c r="T253" s="510">
        <f>Tabla33[[#This Row],[Cantidad]]*Tabla33[[#This Row],[Cortes]]</f>
        <v>6410.96</v>
      </c>
      <c r="U253" s="511">
        <f t="shared" si="153"/>
        <v>6227.2797359948509</v>
      </c>
      <c r="V253" s="511">
        <f t="shared" si="154"/>
        <v>6226.1958575274466</v>
      </c>
      <c r="W253" s="497">
        <f>IF(Tabla33[[#This Row],[Fecha de operación]]=$C$1,0,U253-V253)</f>
        <v>1.0838784674042472</v>
      </c>
      <c r="X253" s="512" t="str">
        <f t="shared" si="161"/>
        <v>Vigente</v>
      </c>
      <c r="Y253" s="498" t="s">
        <v>450</v>
      </c>
      <c r="Z253" s="469">
        <f t="shared" si="162"/>
        <v>167</v>
      </c>
      <c r="AA253" s="499">
        <f t="shared" si="169"/>
        <v>3.8450770734307493</v>
      </c>
      <c r="AB253" s="499">
        <f t="shared" si="169"/>
        <v>3.7830383128238285</v>
      </c>
      <c r="AC253" s="469" t="s">
        <v>451</v>
      </c>
      <c r="AD253" s="469" t="s">
        <v>454</v>
      </c>
      <c r="AF253" s="444">
        <f>+IF(Tabla33[[#This Row],[Amortización k | cupón de intereses]]="Amortización de K",Tabla33[[#This Row],[Valor Nominal]],0)</f>
        <v>0</v>
      </c>
      <c r="AG253" s="444">
        <f>+IF(AND(Tabla33[[#This Row],[Amortización k | cupón de intereses]]="Cupón de interés",Tabla33[[#This Row],[Estado]]="Vigente"),Tabla33[[#This Row],[Valor Nominal]],0)</f>
        <v>6410.96</v>
      </c>
      <c r="AH253" s="444">
        <f>+IF(Tabla33[[#This Row],[Amortización k | cupón de intereses]]="Amortización de K",SUMIFS($AG$7:$AG$418,Tabla33[Código Emisión],Tabla33[[#This Row],[Código Emisión]],Tabla33[Fecha de operación],Tabla33[[#This Row],[Fecha de operación]]),0)-Tabla33[[#This Row],[Accrued]]*Tabla33[[#This Row],[Valor Nominal]]</f>
        <v>0</v>
      </c>
      <c r="AI253" s="444">
        <f>+IF(Tabla33[[#This Row],[Amortización k | cupón de intereses]]="Amortización de K",IF(Tabla33[[#This Row],[Precio Clean]]&gt;1,Tabla33[[#This Row],[Valor Nominal]]*(Tabla33[[#This Row],[Precio Clean]]-1),0),0)</f>
        <v>0</v>
      </c>
      <c r="AJ253" s="444">
        <f>+IF(Tabla33[[#This Row],[Amortización k | cupón de intereses]]="Amortización de K",IF(Tabla33[[#This Row],[Precio Clean]]&lt;1,Tabla33[[#This Row],[Valor Nominal]]*(Tabla33[[#This Row],[Precio Clean]]-1),0),0)</f>
        <v>0</v>
      </c>
    </row>
    <row r="254" spans="1:36">
      <c r="A254" s="502"/>
      <c r="B254" s="437" t="str">
        <f t="shared" si="167"/>
        <v>Sudameris Bank SAECA</v>
      </c>
      <c r="C254" s="437" t="str">
        <f t="shared" si="165"/>
        <v>SUD_6,50%_270530_BE1754-57_100K</v>
      </c>
      <c r="D254" s="437" t="s">
        <v>453</v>
      </c>
      <c r="E254" s="437" t="str">
        <f t="shared" si="168"/>
        <v>AA+py</v>
      </c>
      <c r="F254" s="437" t="s">
        <v>297</v>
      </c>
      <c r="G254" s="437" t="s">
        <v>298</v>
      </c>
      <c r="H254" s="437">
        <v>4</v>
      </c>
      <c r="I254" s="492">
        <v>1602.74</v>
      </c>
      <c r="J254" s="451"/>
      <c r="K254" s="450"/>
      <c r="L254" s="451"/>
      <c r="M254" s="493"/>
      <c r="N254" s="493"/>
      <c r="O254" s="494">
        <f t="shared" si="170"/>
        <v>6.5596756339073192E-2</v>
      </c>
      <c r="P254" s="494">
        <f t="shared" si="170"/>
        <v>6.4042245700841605E-2</v>
      </c>
      <c r="Q254" s="450">
        <f t="shared" si="170"/>
        <v>45933</v>
      </c>
      <c r="R254" s="450">
        <v>46098</v>
      </c>
      <c r="S254" s="509" t="s">
        <v>146</v>
      </c>
      <c r="T254" s="510">
        <f>Tabla33[[#This Row],[Cantidad]]*Tabla33[[#This Row],[Cortes]]</f>
        <v>6410.96</v>
      </c>
      <c r="U254" s="511">
        <f t="shared" si="153"/>
        <v>6325.6054707074491</v>
      </c>
      <c r="V254" s="511">
        <f t="shared" si="154"/>
        <v>6324.5044783233479</v>
      </c>
      <c r="W254" s="497">
        <f>IF(Tabla33[[#This Row],[Fecha de operación]]=$C$1,0,U254-V254)</f>
        <v>1.1009923841011187</v>
      </c>
      <c r="X254" s="512" t="str">
        <f t="shared" si="161"/>
        <v>Vigente</v>
      </c>
      <c r="Y254" s="498" t="s">
        <v>450</v>
      </c>
      <c r="Z254" s="469">
        <f t="shared" si="162"/>
        <v>77</v>
      </c>
      <c r="AA254" s="499">
        <f t="shared" ref="AA254:AB255" si="171">+AA253</f>
        <v>3.8450770734307493</v>
      </c>
      <c r="AB254" s="499">
        <f t="shared" si="171"/>
        <v>3.7830383128238285</v>
      </c>
      <c r="AC254" s="469" t="s">
        <v>451</v>
      </c>
      <c r="AD254" s="469" t="s">
        <v>454</v>
      </c>
      <c r="AF254" s="444">
        <f>+IF(Tabla33[[#This Row],[Amortización k | cupón de intereses]]="Amortización de K",Tabla33[[#This Row],[Valor Nominal]],0)</f>
        <v>0</v>
      </c>
      <c r="AG254" s="444">
        <f>+IF(AND(Tabla33[[#This Row],[Amortización k | cupón de intereses]]="Cupón de interés",Tabla33[[#This Row],[Estado]]="Vigente"),Tabla33[[#This Row],[Valor Nominal]],0)</f>
        <v>6410.96</v>
      </c>
      <c r="AH254" s="444">
        <f>+IF(Tabla33[[#This Row],[Amortización k | cupón de intereses]]="Amortización de K",SUMIFS($AG$7:$AG$418,Tabla33[Código Emisión],Tabla33[[#This Row],[Código Emisión]],Tabla33[Fecha de operación],Tabla33[[#This Row],[Fecha de operación]]),0)-Tabla33[[#This Row],[Accrued]]*Tabla33[[#This Row],[Valor Nominal]]</f>
        <v>0</v>
      </c>
      <c r="AI254" s="444">
        <f>+IF(Tabla33[[#This Row],[Amortización k | cupón de intereses]]="Amortización de K",IF(Tabla33[[#This Row],[Precio Clean]]&gt;1,Tabla33[[#This Row],[Valor Nominal]]*(Tabla33[[#This Row],[Precio Clean]]-1),0),0)</f>
        <v>0</v>
      </c>
      <c r="AJ254" s="444">
        <f>+IF(Tabla33[[#This Row],[Amortización k | cupón de intereses]]="Amortización de K",IF(Tabla33[[#This Row],[Precio Clean]]&lt;1,Tabla33[[#This Row],[Valor Nominal]]*(Tabla33[[#This Row],[Precio Clean]]-1),0),0)</f>
        <v>0</v>
      </c>
    </row>
    <row r="255" spans="1:36">
      <c r="A255" s="502"/>
      <c r="B255" s="437" t="str">
        <f t="shared" si="167"/>
        <v>Sudameris Bank SAECA</v>
      </c>
      <c r="C255" s="437" t="str">
        <f t="shared" si="165"/>
        <v>SUD_6,50%_270530_BE1754-57_100K</v>
      </c>
      <c r="D255" s="437" t="s">
        <v>453</v>
      </c>
      <c r="E255" s="437" t="str">
        <f t="shared" si="168"/>
        <v>AA+py</v>
      </c>
      <c r="F255" s="437" t="s">
        <v>297</v>
      </c>
      <c r="G255" s="437" t="s">
        <v>298</v>
      </c>
      <c r="H255" s="437">
        <v>4</v>
      </c>
      <c r="I255" s="492">
        <v>1602.74</v>
      </c>
      <c r="J255" s="451"/>
      <c r="K255" s="450"/>
      <c r="L255" s="451"/>
      <c r="M255" s="493"/>
      <c r="N255" s="493"/>
      <c r="O255" s="494">
        <f t="shared" si="170"/>
        <v>6.5596756339073192E-2</v>
      </c>
      <c r="P255" s="494">
        <f t="shared" si="170"/>
        <v>6.4042245700841605E-2</v>
      </c>
      <c r="Q255" s="450">
        <f t="shared" si="170"/>
        <v>45933</v>
      </c>
      <c r="R255" s="450">
        <v>46008</v>
      </c>
      <c r="S255" s="509" t="s">
        <v>146</v>
      </c>
      <c r="T255" s="510">
        <f>Tabla33[[#This Row],[Cantidad]]*Tabla33[[#This Row],[Cortes]]</f>
        <v>6410.96</v>
      </c>
      <c r="U255" s="511" t="b">
        <f t="shared" si="153"/>
        <v>0</v>
      </c>
      <c r="V255" s="511" t="b">
        <f t="shared" si="154"/>
        <v>0</v>
      </c>
      <c r="W255" s="497">
        <f>IF(Tabla33[[#This Row],[Fecha de operación]]=$C$1,0,U255-V255)</f>
        <v>0</v>
      </c>
      <c r="X255" s="512" t="str">
        <f t="shared" si="161"/>
        <v>Vencido</v>
      </c>
      <c r="Y255" s="498" t="s">
        <v>450</v>
      </c>
      <c r="Z255" s="469">
        <f t="shared" si="162"/>
        <v>-13</v>
      </c>
      <c r="AA255" s="499">
        <f t="shared" si="171"/>
        <v>3.8450770734307493</v>
      </c>
      <c r="AB255" s="499">
        <f t="shared" si="171"/>
        <v>3.7830383128238285</v>
      </c>
      <c r="AC255" s="469" t="s">
        <v>451</v>
      </c>
      <c r="AD255" s="469" t="s">
        <v>454</v>
      </c>
      <c r="AF255" s="444">
        <f>+IF(Tabla33[[#This Row],[Amortización k | cupón de intereses]]="Amortización de K",Tabla33[[#This Row],[Valor Nominal]],0)</f>
        <v>0</v>
      </c>
      <c r="AG255" s="444">
        <f>+IF(AND(Tabla33[[#This Row],[Amortización k | cupón de intereses]]="Cupón de interés",Tabla33[[#This Row],[Estado]]="Vigente"),Tabla33[[#This Row],[Valor Nominal]],0)</f>
        <v>0</v>
      </c>
      <c r="AH255" s="444">
        <f>+IF(Tabla33[[#This Row],[Amortización k | cupón de intereses]]="Amortización de K",SUMIFS($AG$7:$AG$418,Tabla33[Código Emisión],Tabla33[[#This Row],[Código Emisión]],Tabla33[Fecha de operación],Tabla33[[#This Row],[Fecha de operación]]),0)-Tabla33[[#This Row],[Accrued]]*Tabla33[[#This Row],[Valor Nominal]]</f>
        <v>0</v>
      </c>
      <c r="AI255" s="444">
        <f>+IF(Tabla33[[#This Row],[Amortización k | cupón de intereses]]="Amortización de K",IF(Tabla33[[#This Row],[Precio Clean]]&gt;1,Tabla33[[#This Row],[Valor Nominal]]*(Tabla33[[#This Row],[Precio Clean]]-1),0),0)</f>
        <v>0</v>
      </c>
      <c r="AJ255" s="444">
        <f>+IF(Tabla33[[#This Row],[Amortización k | cupón de intereses]]="Amortización de K",IF(Tabla33[[#This Row],[Precio Clean]]&lt;1,Tabla33[[#This Row],[Valor Nominal]]*(Tabla33[[#This Row],[Precio Clean]]-1),0),0)</f>
        <v>0</v>
      </c>
    </row>
    <row r="256" spans="1:36" ht="15">
      <c r="A256" s="500">
        <f>+A236+1</f>
        <v>28</v>
      </c>
      <c r="B256" s="475" t="s">
        <v>516</v>
      </c>
      <c r="C256" s="475" t="s">
        <v>564</v>
      </c>
      <c r="D256" s="475" t="s">
        <v>453</v>
      </c>
      <c r="E256" s="475" t="s">
        <v>449</v>
      </c>
      <c r="F256" s="475" t="s">
        <v>297</v>
      </c>
      <c r="G256" s="475" t="s">
        <v>298</v>
      </c>
      <c r="H256" s="475">
        <v>2</v>
      </c>
      <c r="I256" s="477">
        <v>250000</v>
      </c>
      <c r="J256" s="478">
        <v>6.5000000000000002E-2</v>
      </c>
      <c r="K256" s="479">
        <f>_xlfn.MAXIFS(R:R,C:C,C256,AD:AD,"Cupón de interés",X:X,"Vencido")</f>
        <v>45993</v>
      </c>
      <c r="L256" s="478">
        <f>+Tabla33[[#This Row],[Tasa de Interés]]*($U$5-Tabla33[[#This Row],[Last coupon]])/365</f>
        <v>4.9863013698630138E-3</v>
      </c>
      <c r="M256" s="480">
        <f>+Tabla33[[#This Row],[Precio Dirty]]-Tabla33[[#This Row],[Accrued]]</f>
        <v>1.0033533436877593</v>
      </c>
      <c r="N256" s="481">
        <f>SUMIFS(U:U,C:C,C256,Q:Q,Q256)/SUMIFS(T:T,C:C,C256,Q:Q,Q256,AD:AD,"Amortización de K")</f>
        <v>1.0083396450576223</v>
      </c>
      <c r="O256" s="482">
        <v>6.5560713410377516E-2</v>
      </c>
      <c r="P256" s="482">
        <v>6.3669465351994248E-2</v>
      </c>
      <c r="Q256" s="484">
        <v>45933</v>
      </c>
      <c r="R256" s="484">
        <v>47028</v>
      </c>
      <c r="S256" s="504" t="s">
        <v>146</v>
      </c>
      <c r="T256" s="505">
        <f>Tabla33[[#This Row],[Cantidad]]*Tabla33[[#This Row],[Cortes]]</f>
        <v>500000</v>
      </c>
      <c r="U256" s="506">
        <f t="shared" si="153"/>
        <v>419647.26324477483</v>
      </c>
      <c r="V256" s="506">
        <f t="shared" si="154"/>
        <v>419574.26114407158</v>
      </c>
      <c r="W256" s="487">
        <f>IF(Tabla33[[#This Row],[Fecha de operación]]=$C$1,0,U256-V256)</f>
        <v>73.002100703248288</v>
      </c>
      <c r="X256" s="507" t="str">
        <f t="shared" si="161"/>
        <v>Vigente</v>
      </c>
      <c r="Y256" s="489" t="s">
        <v>450</v>
      </c>
      <c r="Z256" s="488">
        <f t="shared" si="162"/>
        <v>1007</v>
      </c>
      <c r="AA256" s="508">
        <f t="shared" ref="AA256" si="172">IF(Y256="Mensual",DURATION($C$1,$C$1+Z256*12,J256/12,O256/12,1)/12,DURATION($C$1,R256,J256,O256,IF(Y256="Cupón cero",1,IF(Y256="Al vencimiento",1,IF(Y256="Anual",1,IF(Y256="Semestral",2,IF(Y256="Trimestral",4,"")))))))</f>
        <v>2.5050531978134045</v>
      </c>
      <c r="AB256" s="508">
        <f t="shared" ref="AB256" si="173">IF(Y256="Mensual",MDURATION($C$1,$C$1+Z256*12,J256/12,O256/12,1)/12,MDURATION($C$1,R256,J256,O256,IF(Y256="Cupón cero",1,IF(Y256="Al vencimiento",1,IF(Y256="Anual",1,IF(Y256="Semestral",2,IF(Y256="Trimestral",4,"")))))))</f>
        <v>2.4646570295215704</v>
      </c>
      <c r="AC256" s="488" t="s">
        <v>451</v>
      </c>
      <c r="AD256" s="488" t="s">
        <v>452</v>
      </c>
      <c r="AF256" s="444">
        <f>+IF(Tabla33[[#This Row],[Amortización k | cupón de intereses]]="Amortización de K",Tabla33[[#This Row],[Valor Nominal]],0)</f>
        <v>500000</v>
      </c>
      <c r="AG256" s="444">
        <f>+IF(AND(Tabla33[[#This Row],[Amortización k | cupón de intereses]]="Cupón de interés",Tabla33[[#This Row],[Estado]]="Vigente"),Tabla33[[#This Row],[Valor Nominal]],0)</f>
        <v>0</v>
      </c>
      <c r="AH256" s="444">
        <f>+IF(Tabla33[[#This Row],[Amortización k | cupón de intereses]]="Amortización de K",SUMIFS($AG$7:$AG$418,Tabla33[Código Emisión],Tabla33[[#This Row],[Código Emisión]],Tabla33[Fecha de operación],Tabla33[[#This Row],[Fecha de operación]]),0)-Tabla33[[#This Row],[Accrued]]*Tabla33[[#This Row],[Valor Nominal]]</f>
        <v>89664.134246575297</v>
      </c>
      <c r="AI256" s="444">
        <f>+IF(Tabla33[[#This Row],[Amortización k | cupón de intereses]]="Amortización de K",IF(Tabla33[[#This Row],[Precio Clean]]&gt;1,Tabla33[[#This Row],[Valor Nominal]]*(Tabla33[[#This Row],[Precio Clean]]-1),0),0)</f>
        <v>1676.6718438796513</v>
      </c>
      <c r="AJ256" s="444">
        <f>+IF(Tabla33[[#This Row],[Amortización k | cupón de intereses]]="Amortización de K",IF(Tabla33[[#This Row],[Precio Clean]]&lt;1,Tabla33[[#This Row],[Valor Nominal]]*(Tabla33[[#This Row],[Precio Clean]]-1),0),0)</f>
        <v>0</v>
      </c>
    </row>
    <row r="257" spans="1:36">
      <c r="A257" s="502"/>
      <c r="B257" s="437" t="str">
        <f>+B256</f>
        <v>Bancop S.A.</v>
      </c>
      <c r="C257" s="437" t="str">
        <f t="shared" si="165"/>
        <v>BCO_6,50%_02102028_AA4088-91_250K</v>
      </c>
      <c r="D257" s="437" t="s">
        <v>453</v>
      </c>
      <c r="E257" s="437" t="str">
        <f>+E256</f>
        <v>AA-py</v>
      </c>
      <c r="F257" s="437" t="s">
        <v>297</v>
      </c>
      <c r="G257" s="437" t="s">
        <v>298</v>
      </c>
      <c r="H257" s="437">
        <v>2</v>
      </c>
      <c r="I257" s="492">
        <v>2003.3</v>
      </c>
      <c r="J257" s="451"/>
      <c r="K257" s="450"/>
      <c r="L257" s="451"/>
      <c r="M257" s="493"/>
      <c r="N257" s="493"/>
      <c r="O257" s="494">
        <f t="shared" ref="O257:Q272" si="174">+O256</f>
        <v>6.5560713410377516E-2</v>
      </c>
      <c r="P257" s="494">
        <f t="shared" si="174"/>
        <v>6.3669465351994248E-2</v>
      </c>
      <c r="Q257" s="450">
        <f t="shared" si="174"/>
        <v>45933</v>
      </c>
      <c r="R257" s="450">
        <v>47028</v>
      </c>
      <c r="S257" s="509" t="s">
        <v>146</v>
      </c>
      <c r="T257" s="510">
        <f>Tabla33[[#This Row],[Cantidad]]*Tabla33[[#This Row],[Cortes]]</f>
        <v>4006.6</v>
      </c>
      <c r="U257" s="511">
        <f t="shared" si="153"/>
        <v>3362.7174498330296</v>
      </c>
      <c r="V257" s="511">
        <f t="shared" si="154"/>
        <v>3362.1324693996744</v>
      </c>
      <c r="W257" s="497">
        <f>IF(Tabla33[[#This Row],[Fecha de operación]]=$C$1,0,U257-V257)</f>
        <v>0.58498043335521288</v>
      </c>
      <c r="X257" s="512" t="str">
        <f t="shared" si="161"/>
        <v>Vigente</v>
      </c>
      <c r="Y257" s="498" t="s">
        <v>450</v>
      </c>
      <c r="Z257" s="469">
        <f t="shared" si="162"/>
        <v>1007</v>
      </c>
      <c r="AA257" s="499">
        <f>+AA256</f>
        <v>2.5050531978134045</v>
      </c>
      <c r="AB257" s="499">
        <f>+AB256</f>
        <v>2.4646570295215704</v>
      </c>
      <c r="AC257" s="469" t="s">
        <v>451</v>
      </c>
      <c r="AD257" s="469" t="s">
        <v>454</v>
      </c>
      <c r="AF257" s="444">
        <f>+IF(Tabla33[[#This Row],[Amortización k | cupón de intereses]]="Amortización de K",Tabla33[[#This Row],[Valor Nominal]],0)</f>
        <v>0</v>
      </c>
      <c r="AG257" s="444">
        <f>+IF(AND(Tabla33[[#This Row],[Amortización k | cupón de intereses]]="Cupón de interés",Tabla33[[#This Row],[Estado]]="Vigente"),Tabla33[[#This Row],[Valor Nominal]],0)</f>
        <v>4006.6</v>
      </c>
      <c r="AH257" s="444">
        <f>+IF(Tabla33[[#This Row],[Amortización k | cupón de intereses]]="Amortización de K",SUMIFS($AG$7:$AG$418,Tabla33[Código Emisión],Tabla33[[#This Row],[Código Emisión]],Tabla33[Fecha de operación],Tabla33[[#This Row],[Fecha de operación]]),0)-Tabla33[[#This Row],[Accrued]]*Tabla33[[#This Row],[Valor Nominal]]</f>
        <v>0</v>
      </c>
      <c r="AI257" s="444">
        <f>+IF(Tabla33[[#This Row],[Amortización k | cupón de intereses]]="Amortización de K",IF(Tabla33[[#This Row],[Precio Clean]]&gt;1,Tabla33[[#This Row],[Valor Nominal]]*(Tabla33[[#This Row],[Precio Clean]]-1),0),0)</f>
        <v>0</v>
      </c>
      <c r="AJ257" s="444">
        <f>+IF(Tabla33[[#This Row],[Amortización k | cupón de intereses]]="Amortización de K",IF(Tabla33[[#This Row],[Precio Clean]]&lt;1,Tabla33[[#This Row],[Valor Nominal]]*(Tabla33[[#This Row],[Precio Clean]]-1),0),0)</f>
        <v>0</v>
      </c>
    </row>
    <row r="258" spans="1:36">
      <c r="A258" s="502"/>
      <c r="B258" s="437" t="str">
        <f t="shared" ref="B258:C281" si="175">+B257</f>
        <v>Bancop S.A.</v>
      </c>
      <c r="C258" s="437" t="str">
        <f t="shared" si="165"/>
        <v>BCO_6,50%_02102028_AA4088-91_250K</v>
      </c>
      <c r="D258" s="437" t="s">
        <v>453</v>
      </c>
      <c r="E258" s="437" t="str">
        <f t="shared" ref="E258:E292" si="176">+E257</f>
        <v>AA-py</v>
      </c>
      <c r="F258" s="437" t="s">
        <v>297</v>
      </c>
      <c r="G258" s="437" t="s">
        <v>298</v>
      </c>
      <c r="H258" s="437">
        <v>2</v>
      </c>
      <c r="I258" s="492">
        <v>1335.6164383561643</v>
      </c>
      <c r="J258" s="451"/>
      <c r="K258" s="450"/>
      <c r="L258" s="451"/>
      <c r="M258" s="493"/>
      <c r="N258" s="493"/>
      <c r="O258" s="494">
        <f t="shared" si="174"/>
        <v>6.5560713410377516E-2</v>
      </c>
      <c r="P258" s="494">
        <f t="shared" si="174"/>
        <v>6.3669465351994248E-2</v>
      </c>
      <c r="Q258" s="450">
        <f t="shared" si="174"/>
        <v>45933</v>
      </c>
      <c r="R258" s="450">
        <v>46983</v>
      </c>
      <c r="S258" s="509" t="s">
        <v>146</v>
      </c>
      <c r="T258" s="510">
        <f>Tabla33[[#This Row],[Cantidad]]*Tabla33[[#This Row],[Cortes]]</f>
        <v>2671.2328767123286</v>
      </c>
      <c r="U258" s="511">
        <f t="shared" si="153"/>
        <v>2259.5720504430692</v>
      </c>
      <c r="V258" s="511">
        <f t="shared" si="154"/>
        <v>2259.1789738741973</v>
      </c>
      <c r="W258" s="497">
        <f>IF(Tabla33[[#This Row],[Fecha de operación]]=$C$1,0,U258-V258)</f>
        <v>0.39307656887194753</v>
      </c>
      <c r="X258" s="512" t="str">
        <f t="shared" si="161"/>
        <v>Vigente</v>
      </c>
      <c r="Y258" s="498" t="s">
        <v>450</v>
      </c>
      <c r="Z258" s="469">
        <f t="shared" si="162"/>
        <v>962</v>
      </c>
      <c r="AA258" s="499">
        <f t="shared" ref="AA258:AB273" si="177">+AA257</f>
        <v>2.5050531978134045</v>
      </c>
      <c r="AB258" s="499">
        <f t="shared" si="177"/>
        <v>2.4646570295215704</v>
      </c>
      <c r="AC258" s="469" t="s">
        <v>451</v>
      </c>
      <c r="AD258" s="469" t="s">
        <v>454</v>
      </c>
      <c r="AF258" s="444">
        <f>+IF(Tabla33[[#This Row],[Amortización k | cupón de intereses]]="Amortización de K",Tabla33[[#This Row],[Valor Nominal]],0)</f>
        <v>0</v>
      </c>
      <c r="AG258" s="444">
        <f>+IF(AND(Tabla33[[#This Row],[Amortización k | cupón de intereses]]="Cupón de interés",Tabla33[[#This Row],[Estado]]="Vigente"),Tabla33[[#This Row],[Valor Nominal]],0)</f>
        <v>2671.2328767123286</v>
      </c>
      <c r="AH258" s="444">
        <f>+IF(Tabla33[[#This Row],[Amortización k | cupón de intereses]]="Amortización de K",SUMIFS($AG$7:$AG$418,Tabla33[Código Emisión],Tabla33[[#This Row],[Código Emisión]],Tabla33[Fecha de operación],Tabla33[[#This Row],[Fecha de operación]]),0)-Tabla33[[#This Row],[Accrued]]*Tabla33[[#This Row],[Valor Nominal]]</f>
        <v>0</v>
      </c>
      <c r="AI258" s="444">
        <f>+IF(Tabla33[[#This Row],[Amortización k | cupón de intereses]]="Amortización de K",IF(Tabla33[[#This Row],[Precio Clean]]&gt;1,Tabla33[[#This Row],[Valor Nominal]]*(Tabla33[[#This Row],[Precio Clean]]-1),0),0)</f>
        <v>0</v>
      </c>
      <c r="AJ258" s="444">
        <f>+IF(Tabla33[[#This Row],[Amortización k | cupón de intereses]]="Amortización de K",IF(Tabla33[[#This Row],[Precio Clean]]&lt;1,Tabla33[[#This Row],[Valor Nominal]]*(Tabla33[[#This Row],[Precio Clean]]-1),0),0)</f>
        <v>0</v>
      </c>
    </row>
    <row r="259" spans="1:36">
      <c r="A259" s="502"/>
      <c r="B259" s="437" t="str">
        <f t="shared" si="175"/>
        <v>Bancop S.A.</v>
      </c>
      <c r="C259" s="437" t="str">
        <f t="shared" si="165"/>
        <v>BCO_6,50%_02102028_AA4088-91_250K</v>
      </c>
      <c r="D259" s="437" t="s">
        <v>453</v>
      </c>
      <c r="E259" s="437" t="str">
        <f t="shared" si="176"/>
        <v>AA-py</v>
      </c>
      <c r="F259" s="437" t="s">
        <v>297</v>
      </c>
      <c r="G259" s="437" t="s">
        <v>298</v>
      </c>
      <c r="H259" s="437">
        <v>2</v>
      </c>
      <c r="I259" s="492">
        <v>1335.6164383561643</v>
      </c>
      <c r="J259" s="451"/>
      <c r="K259" s="450"/>
      <c r="L259" s="451"/>
      <c r="M259" s="493"/>
      <c r="N259" s="493"/>
      <c r="O259" s="494">
        <f t="shared" si="174"/>
        <v>6.5560713410377516E-2</v>
      </c>
      <c r="P259" s="494">
        <f t="shared" si="174"/>
        <v>6.3669465351994248E-2</v>
      </c>
      <c r="Q259" s="450">
        <f t="shared" si="174"/>
        <v>45933</v>
      </c>
      <c r="R259" s="450">
        <v>46953</v>
      </c>
      <c r="S259" s="509" t="s">
        <v>146</v>
      </c>
      <c r="T259" s="510">
        <f>Tabla33[[#This Row],[Cantidad]]*Tabla33[[#This Row],[Cortes]]</f>
        <v>2671.2328767123286</v>
      </c>
      <c r="U259" s="511">
        <f t="shared" si="153"/>
        <v>2271.3962032236113</v>
      </c>
      <c r="V259" s="511">
        <f t="shared" si="154"/>
        <v>2271.0010697177177</v>
      </c>
      <c r="W259" s="497">
        <f>IF(Tabla33[[#This Row],[Fecha de operación]]=$C$1,0,U259-V259)</f>
        <v>0.39513350589368201</v>
      </c>
      <c r="X259" s="512" t="str">
        <f t="shared" si="161"/>
        <v>Vigente</v>
      </c>
      <c r="Y259" s="498" t="s">
        <v>450</v>
      </c>
      <c r="Z259" s="469">
        <f t="shared" si="162"/>
        <v>932</v>
      </c>
      <c r="AA259" s="499">
        <f t="shared" si="177"/>
        <v>2.5050531978134045</v>
      </c>
      <c r="AB259" s="499">
        <f t="shared" si="177"/>
        <v>2.4646570295215704</v>
      </c>
      <c r="AC259" s="469" t="s">
        <v>451</v>
      </c>
      <c r="AD259" s="469" t="s">
        <v>454</v>
      </c>
      <c r="AF259" s="444">
        <f>+IF(Tabla33[[#This Row],[Amortización k | cupón de intereses]]="Amortización de K",Tabla33[[#This Row],[Valor Nominal]],0)</f>
        <v>0</v>
      </c>
      <c r="AG259" s="444">
        <f>+IF(AND(Tabla33[[#This Row],[Amortización k | cupón de intereses]]="Cupón de interés",Tabla33[[#This Row],[Estado]]="Vigente"),Tabla33[[#This Row],[Valor Nominal]],0)</f>
        <v>2671.2328767123286</v>
      </c>
      <c r="AH259" s="444">
        <f>+IF(Tabla33[[#This Row],[Amortización k | cupón de intereses]]="Amortización de K",SUMIFS($AG$7:$AG$418,Tabla33[Código Emisión],Tabla33[[#This Row],[Código Emisión]],Tabla33[Fecha de operación],Tabla33[[#This Row],[Fecha de operación]]),0)-Tabla33[[#This Row],[Accrued]]*Tabla33[[#This Row],[Valor Nominal]]</f>
        <v>0</v>
      </c>
      <c r="AI259" s="444">
        <f>+IF(Tabla33[[#This Row],[Amortización k | cupón de intereses]]="Amortización de K",IF(Tabla33[[#This Row],[Precio Clean]]&gt;1,Tabla33[[#This Row],[Valor Nominal]]*(Tabla33[[#This Row],[Precio Clean]]-1),0),0)</f>
        <v>0</v>
      </c>
      <c r="AJ259" s="444">
        <f>+IF(Tabla33[[#This Row],[Amortización k | cupón de intereses]]="Amortización de K",IF(Tabla33[[#This Row],[Precio Clean]]&lt;1,Tabla33[[#This Row],[Valor Nominal]]*(Tabla33[[#This Row],[Precio Clean]]-1),0),0)</f>
        <v>0</v>
      </c>
    </row>
    <row r="260" spans="1:36">
      <c r="A260" s="502"/>
      <c r="B260" s="437" t="str">
        <f t="shared" si="175"/>
        <v>Bancop S.A.</v>
      </c>
      <c r="C260" s="437" t="str">
        <f t="shared" si="165"/>
        <v>BCO_6,50%_02102028_AA4088-91_250K</v>
      </c>
      <c r="D260" s="437" t="s">
        <v>453</v>
      </c>
      <c r="E260" s="437" t="str">
        <f t="shared" si="176"/>
        <v>AA-py</v>
      </c>
      <c r="F260" s="437" t="s">
        <v>297</v>
      </c>
      <c r="G260" s="437" t="s">
        <v>298</v>
      </c>
      <c r="H260" s="437">
        <v>2</v>
      </c>
      <c r="I260" s="492">
        <v>1246.5753424657535</v>
      </c>
      <c r="J260" s="451"/>
      <c r="K260" s="450"/>
      <c r="L260" s="451"/>
      <c r="M260" s="493"/>
      <c r="N260" s="493"/>
      <c r="O260" s="494">
        <f t="shared" si="174"/>
        <v>6.5560713410377516E-2</v>
      </c>
      <c r="P260" s="494">
        <f t="shared" si="174"/>
        <v>6.3669465351994248E-2</v>
      </c>
      <c r="Q260" s="450">
        <f t="shared" si="174"/>
        <v>45933</v>
      </c>
      <c r="R260" s="450">
        <v>46923</v>
      </c>
      <c r="S260" s="509" t="s">
        <v>146</v>
      </c>
      <c r="T260" s="510">
        <f>Tabla33[[#This Row],[Cantidad]]*Tabla33[[#This Row],[Cortes]]</f>
        <v>2493.1506849315069</v>
      </c>
      <c r="U260" s="511">
        <f t="shared" si="153"/>
        <v>2131.0634154255836</v>
      </c>
      <c r="V260" s="511">
        <f t="shared" si="154"/>
        <v>2130.6926942993337</v>
      </c>
      <c r="W260" s="497">
        <f>IF(Tabla33[[#This Row],[Fecha de operación]]=$C$1,0,U260-V260)</f>
        <v>0.3707211262499186</v>
      </c>
      <c r="X260" s="512" t="str">
        <f t="shared" si="161"/>
        <v>Vigente</v>
      </c>
      <c r="Y260" s="498" t="s">
        <v>450</v>
      </c>
      <c r="Z260" s="469">
        <f t="shared" si="162"/>
        <v>902</v>
      </c>
      <c r="AA260" s="499">
        <f t="shared" si="177"/>
        <v>2.5050531978134045</v>
      </c>
      <c r="AB260" s="499">
        <f t="shared" si="177"/>
        <v>2.4646570295215704</v>
      </c>
      <c r="AC260" s="469" t="s">
        <v>451</v>
      </c>
      <c r="AD260" s="469" t="s">
        <v>454</v>
      </c>
      <c r="AF260" s="444">
        <f>+IF(Tabla33[[#This Row],[Amortización k | cupón de intereses]]="Amortización de K",Tabla33[[#This Row],[Valor Nominal]],0)</f>
        <v>0</v>
      </c>
      <c r="AG260" s="444">
        <f>+IF(AND(Tabla33[[#This Row],[Amortización k | cupón de intereses]]="Cupón de interés",Tabla33[[#This Row],[Estado]]="Vigente"),Tabla33[[#This Row],[Valor Nominal]],0)</f>
        <v>2493.1506849315069</v>
      </c>
      <c r="AH260" s="444">
        <f>+IF(Tabla33[[#This Row],[Amortización k | cupón de intereses]]="Amortización de K",SUMIFS($AG$7:$AG$418,Tabla33[Código Emisión],Tabla33[[#This Row],[Código Emisión]],Tabla33[Fecha de operación],Tabla33[[#This Row],[Fecha de operación]]),0)-Tabla33[[#This Row],[Accrued]]*Tabla33[[#This Row],[Valor Nominal]]</f>
        <v>0</v>
      </c>
      <c r="AI260" s="444">
        <f>+IF(Tabla33[[#This Row],[Amortización k | cupón de intereses]]="Amortización de K",IF(Tabla33[[#This Row],[Precio Clean]]&gt;1,Tabla33[[#This Row],[Valor Nominal]]*(Tabla33[[#This Row],[Precio Clean]]-1),0),0)</f>
        <v>0</v>
      </c>
      <c r="AJ260" s="444">
        <f>+IF(Tabla33[[#This Row],[Amortización k | cupón de intereses]]="Amortización de K",IF(Tabla33[[#This Row],[Precio Clean]]&lt;1,Tabla33[[#This Row],[Valor Nominal]]*(Tabla33[[#This Row],[Precio Clean]]-1),0),0)</f>
        <v>0</v>
      </c>
    </row>
    <row r="261" spans="1:36">
      <c r="A261" s="502"/>
      <c r="B261" s="437" t="str">
        <f t="shared" si="175"/>
        <v>Bancop S.A.</v>
      </c>
      <c r="C261" s="437" t="str">
        <f t="shared" si="165"/>
        <v>BCO_6,50%_02102028_AA4088-91_250K</v>
      </c>
      <c r="D261" s="437" t="s">
        <v>453</v>
      </c>
      <c r="E261" s="437" t="str">
        <f t="shared" si="176"/>
        <v>AA-py</v>
      </c>
      <c r="F261" s="437" t="s">
        <v>297</v>
      </c>
      <c r="G261" s="437" t="s">
        <v>298</v>
      </c>
      <c r="H261" s="437">
        <v>2</v>
      </c>
      <c r="I261" s="492">
        <v>1424.6575342465753</v>
      </c>
      <c r="J261" s="451"/>
      <c r="K261" s="450"/>
      <c r="L261" s="451"/>
      <c r="M261" s="493"/>
      <c r="N261" s="493"/>
      <c r="O261" s="494">
        <f t="shared" si="174"/>
        <v>6.5560713410377516E-2</v>
      </c>
      <c r="P261" s="494">
        <f t="shared" si="174"/>
        <v>6.3669465351994248E-2</v>
      </c>
      <c r="Q261" s="450">
        <f t="shared" si="174"/>
        <v>45933</v>
      </c>
      <c r="R261" s="450">
        <v>46895</v>
      </c>
      <c r="S261" s="509" t="s">
        <v>146</v>
      </c>
      <c r="T261" s="510">
        <f>Tabla33[[#This Row],[Cantidad]]*Tabla33[[#This Row],[Cortes]]</f>
        <v>2849.3150684931506</v>
      </c>
      <c r="U261" s="511">
        <f t="shared" si="153"/>
        <v>2447.394098134489</v>
      </c>
      <c r="V261" s="511">
        <f t="shared" si="154"/>
        <v>2446.9683479245841</v>
      </c>
      <c r="W261" s="497">
        <f>IF(Tabla33[[#This Row],[Fecha de operación]]=$C$1,0,U261-V261)</f>
        <v>0.42575020990489065</v>
      </c>
      <c r="X261" s="512" t="str">
        <f t="shared" si="161"/>
        <v>Vigente</v>
      </c>
      <c r="Y261" s="498" t="s">
        <v>450</v>
      </c>
      <c r="Z261" s="469">
        <f t="shared" si="162"/>
        <v>874</v>
      </c>
      <c r="AA261" s="499">
        <f t="shared" si="177"/>
        <v>2.5050531978134045</v>
      </c>
      <c r="AB261" s="499">
        <f t="shared" si="177"/>
        <v>2.4646570295215704</v>
      </c>
      <c r="AC261" s="469" t="s">
        <v>451</v>
      </c>
      <c r="AD261" s="469" t="s">
        <v>454</v>
      </c>
      <c r="AF261" s="444">
        <f>+IF(Tabla33[[#This Row],[Amortización k | cupón de intereses]]="Amortización de K",Tabla33[[#This Row],[Valor Nominal]],0)</f>
        <v>0</v>
      </c>
      <c r="AG261" s="444">
        <f>+IF(AND(Tabla33[[#This Row],[Amortización k | cupón de intereses]]="Cupón de interés",Tabla33[[#This Row],[Estado]]="Vigente"),Tabla33[[#This Row],[Valor Nominal]],0)</f>
        <v>2849.3150684931506</v>
      </c>
      <c r="AH261" s="444">
        <f>+IF(Tabla33[[#This Row],[Amortización k | cupón de intereses]]="Amortización de K",SUMIFS($AG$7:$AG$418,Tabla33[Código Emisión],Tabla33[[#This Row],[Código Emisión]],Tabla33[Fecha de operación],Tabla33[[#This Row],[Fecha de operación]]),0)-Tabla33[[#This Row],[Accrued]]*Tabla33[[#This Row],[Valor Nominal]]</f>
        <v>0</v>
      </c>
      <c r="AI261" s="444">
        <f>+IF(Tabla33[[#This Row],[Amortización k | cupón de intereses]]="Amortización de K",IF(Tabla33[[#This Row],[Precio Clean]]&gt;1,Tabla33[[#This Row],[Valor Nominal]]*(Tabla33[[#This Row],[Precio Clean]]-1),0),0)</f>
        <v>0</v>
      </c>
      <c r="AJ261" s="444">
        <f>+IF(Tabla33[[#This Row],[Amortización k | cupón de intereses]]="Amortización de K",IF(Tabla33[[#This Row],[Precio Clean]]&lt;1,Tabla33[[#This Row],[Valor Nominal]]*(Tabla33[[#This Row],[Precio Clean]]-1),0),0)</f>
        <v>0</v>
      </c>
    </row>
    <row r="262" spans="1:36">
      <c r="A262" s="502"/>
      <c r="B262" s="437" t="str">
        <f t="shared" si="175"/>
        <v>Bancop S.A.</v>
      </c>
      <c r="C262" s="437" t="str">
        <f t="shared" si="165"/>
        <v>BCO_6,50%_02102028_AA4088-91_250K</v>
      </c>
      <c r="D262" s="437" t="s">
        <v>453</v>
      </c>
      <c r="E262" s="437" t="str">
        <f t="shared" si="176"/>
        <v>AA-py</v>
      </c>
      <c r="F262" s="437" t="s">
        <v>297</v>
      </c>
      <c r="G262" s="437" t="s">
        <v>298</v>
      </c>
      <c r="H262" s="437">
        <v>2</v>
      </c>
      <c r="I262" s="492">
        <v>1335.6164383561643</v>
      </c>
      <c r="J262" s="451"/>
      <c r="K262" s="450"/>
      <c r="L262" s="451"/>
      <c r="M262" s="493"/>
      <c r="N262" s="493"/>
      <c r="O262" s="494">
        <f t="shared" si="174"/>
        <v>6.5560713410377516E-2</v>
      </c>
      <c r="P262" s="494">
        <f t="shared" si="174"/>
        <v>6.3669465351994248E-2</v>
      </c>
      <c r="Q262" s="450">
        <f t="shared" si="174"/>
        <v>45933</v>
      </c>
      <c r="R262" s="450">
        <v>46863</v>
      </c>
      <c r="S262" s="509" t="s">
        <v>146</v>
      </c>
      <c r="T262" s="510">
        <f>Tabla33[[#This Row],[Cantidad]]*Tabla33[[#This Row],[Cortes]]</f>
        <v>2671.2328767123286</v>
      </c>
      <c r="U262" s="511">
        <f t="shared" si="153"/>
        <v>2307.2412072563448</v>
      </c>
      <c r="V262" s="511">
        <f t="shared" si="154"/>
        <v>2306.8398381311022</v>
      </c>
      <c r="W262" s="497">
        <f>IF(Tabla33[[#This Row],[Fecha de operación]]=$C$1,0,U262-V262)</f>
        <v>0.4013691252425815</v>
      </c>
      <c r="X262" s="512" t="str">
        <f t="shared" si="161"/>
        <v>Vigente</v>
      </c>
      <c r="Y262" s="498" t="s">
        <v>450</v>
      </c>
      <c r="Z262" s="469">
        <f t="shared" si="162"/>
        <v>842</v>
      </c>
      <c r="AA262" s="499">
        <f t="shared" si="177"/>
        <v>2.5050531978134045</v>
      </c>
      <c r="AB262" s="499">
        <f t="shared" si="177"/>
        <v>2.4646570295215704</v>
      </c>
      <c r="AC262" s="469" t="s">
        <v>451</v>
      </c>
      <c r="AD262" s="469" t="s">
        <v>454</v>
      </c>
      <c r="AF262" s="444">
        <f>+IF(Tabla33[[#This Row],[Amortización k | cupón de intereses]]="Amortización de K",Tabla33[[#This Row],[Valor Nominal]],0)</f>
        <v>0</v>
      </c>
      <c r="AG262" s="444">
        <f>+IF(AND(Tabla33[[#This Row],[Amortización k | cupón de intereses]]="Cupón de interés",Tabla33[[#This Row],[Estado]]="Vigente"),Tabla33[[#This Row],[Valor Nominal]],0)</f>
        <v>2671.2328767123286</v>
      </c>
      <c r="AH262" s="444">
        <f>+IF(Tabla33[[#This Row],[Amortización k | cupón de intereses]]="Amortización de K",SUMIFS($AG$7:$AG$418,Tabla33[Código Emisión],Tabla33[[#This Row],[Código Emisión]],Tabla33[Fecha de operación],Tabla33[[#This Row],[Fecha de operación]]),0)-Tabla33[[#This Row],[Accrued]]*Tabla33[[#This Row],[Valor Nominal]]</f>
        <v>0</v>
      </c>
      <c r="AI262" s="444">
        <f>+IF(Tabla33[[#This Row],[Amortización k | cupón de intereses]]="Amortización de K",IF(Tabla33[[#This Row],[Precio Clean]]&gt;1,Tabla33[[#This Row],[Valor Nominal]]*(Tabla33[[#This Row],[Precio Clean]]-1),0),0)</f>
        <v>0</v>
      </c>
      <c r="AJ262" s="444">
        <f>+IF(Tabla33[[#This Row],[Amortización k | cupón de intereses]]="Amortización de K",IF(Tabla33[[#This Row],[Precio Clean]]&lt;1,Tabla33[[#This Row],[Valor Nominal]]*(Tabla33[[#This Row],[Precio Clean]]-1),0),0)</f>
        <v>0</v>
      </c>
    </row>
    <row r="263" spans="1:36">
      <c r="A263" s="502"/>
      <c r="B263" s="437" t="str">
        <f t="shared" si="175"/>
        <v>Bancop S.A.</v>
      </c>
      <c r="C263" s="437" t="str">
        <f t="shared" si="165"/>
        <v>BCO_6,50%_02102028_AA4088-91_250K</v>
      </c>
      <c r="D263" s="437" t="s">
        <v>453</v>
      </c>
      <c r="E263" s="437" t="str">
        <f t="shared" si="176"/>
        <v>AA-py</v>
      </c>
      <c r="F263" s="437" t="s">
        <v>297</v>
      </c>
      <c r="G263" s="437" t="s">
        <v>298</v>
      </c>
      <c r="H263" s="437">
        <v>2</v>
      </c>
      <c r="I263" s="492">
        <v>1291.0958904109589</v>
      </c>
      <c r="J263" s="451"/>
      <c r="K263" s="450"/>
      <c r="L263" s="451"/>
      <c r="M263" s="493"/>
      <c r="N263" s="493"/>
      <c r="O263" s="494">
        <f t="shared" si="174"/>
        <v>6.5560713410377516E-2</v>
      </c>
      <c r="P263" s="494">
        <f t="shared" si="174"/>
        <v>6.3669465351994248E-2</v>
      </c>
      <c r="Q263" s="450">
        <f t="shared" si="174"/>
        <v>45933</v>
      </c>
      <c r="R263" s="450">
        <v>46833</v>
      </c>
      <c r="S263" s="509" t="s">
        <v>146</v>
      </c>
      <c r="T263" s="510">
        <f>Tabla33[[#This Row],[Cantidad]]*Tabla33[[#This Row],[Cortes]]</f>
        <v>2582.1917808219177</v>
      </c>
      <c r="U263" s="511">
        <f t="shared" si="153"/>
        <v>2242.0043151476357</v>
      </c>
      <c r="V263" s="511">
        <f t="shared" si="154"/>
        <v>2241.6142946729969</v>
      </c>
      <c r="W263" s="497">
        <f>IF(Tabla33[[#This Row],[Fecha de operación]]=$C$1,0,U263-V263)</f>
        <v>0.39002047463873168</v>
      </c>
      <c r="X263" s="512" t="str">
        <f t="shared" si="161"/>
        <v>Vigente</v>
      </c>
      <c r="Y263" s="498" t="s">
        <v>450</v>
      </c>
      <c r="Z263" s="469">
        <f t="shared" si="162"/>
        <v>812</v>
      </c>
      <c r="AA263" s="499">
        <f t="shared" si="177"/>
        <v>2.5050531978134045</v>
      </c>
      <c r="AB263" s="499">
        <f t="shared" si="177"/>
        <v>2.4646570295215704</v>
      </c>
      <c r="AC263" s="469" t="s">
        <v>451</v>
      </c>
      <c r="AD263" s="469" t="s">
        <v>454</v>
      </c>
      <c r="AF263" s="444">
        <f>+IF(Tabla33[[#This Row],[Amortización k | cupón de intereses]]="Amortización de K",Tabla33[[#This Row],[Valor Nominal]],0)</f>
        <v>0</v>
      </c>
      <c r="AG263" s="444">
        <f>+IF(AND(Tabla33[[#This Row],[Amortización k | cupón de intereses]]="Cupón de interés",Tabla33[[#This Row],[Estado]]="Vigente"),Tabla33[[#This Row],[Valor Nominal]],0)</f>
        <v>2582.1917808219177</v>
      </c>
      <c r="AH263" s="444">
        <f>+IF(Tabla33[[#This Row],[Amortización k | cupón de intereses]]="Amortización de K",SUMIFS($AG$7:$AG$418,Tabla33[Código Emisión],Tabla33[[#This Row],[Código Emisión]],Tabla33[Fecha de operación],Tabla33[[#This Row],[Fecha de operación]]),0)-Tabla33[[#This Row],[Accrued]]*Tabla33[[#This Row],[Valor Nominal]]</f>
        <v>0</v>
      </c>
      <c r="AI263" s="444">
        <f>+IF(Tabla33[[#This Row],[Amortización k | cupón de intereses]]="Amortización de K",IF(Tabla33[[#This Row],[Precio Clean]]&gt;1,Tabla33[[#This Row],[Valor Nominal]]*(Tabla33[[#This Row],[Precio Clean]]-1),0),0)</f>
        <v>0</v>
      </c>
      <c r="AJ263" s="444">
        <f>+IF(Tabla33[[#This Row],[Amortización k | cupón de intereses]]="Amortización de K",IF(Tabla33[[#This Row],[Precio Clean]]&lt;1,Tabla33[[#This Row],[Valor Nominal]]*(Tabla33[[#This Row],[Precio Clean]]-1),0),0)</f>
        <v>0</v>
      </c>
    </row>
    <row r="264" spans="1:36">
      <c r="A264" s="502"/>
      <c r="B264" s="437" t="str">
        <f t="shared" si="175"/>
        <v>Bancop S.A.</v>
      </c>
      <c r="C264" s="437" t="str">
        <f t="shared" si="165"/>
        <v>BCO_6,50%_02102028_AA4088-91_250K</v>
      </c>
      <c r="D264" s="437" t="s">
        <v>453</v>
      </c>
      <c r="E264" s="437" t="str">
        <f t="shared" si="176"/>
        <v>AA-py</v>
      </c>
      <c r="F264" s="437" t="s">
        <v>297</v>
      </c>
      <c r="G264" s="437" t="s">
        <v>298</v>
      </c>
      <c r="H264" s="437">
        <v>2</v>
      </c>
      <c r="I264" s="492">
        <v>1380.1369863013699</v>
      </c>
      <c r="J264" s="451"/>
      <c r="K264" s="450"/>
      <c r="L264" s="451"/>
      <c r="M264" s="493"/>
      <c r="N264" s="493"/>
      <c r="O264" s="494">
        <f t="shared" si="174"/>
        <v>6.5560713410377516E-2</v>
      </c>
      <c r="P264" s="494">
        <f t="shared" si="174"/>
        <v>6.3669465351994248E-2</v>
      </c>
      <c r="Q264" s="450">
        <f t="shared" si="174"/>
        <v>45933</v>
      </c>
      <c r="R264" s="450">
        <v>46804</v>
      </c>
      <c r="S264" s="509" t="s">
        <v>146</v>
      </c>
      <c r="T264" s="510">
        <f>Tabla33[[#This Row],[Cantidad]]*Tabla33[[#This Row],[Cortes]]</f>
        <v>2760.2739726027398</v>
      </c>
      <c r="U264" s="511">
        <f t="shared" si="153"/>
        <v>2408.7475433208174</v>
      </c>
      <c r="V264" s="511">
        <f t="shared" si="154"/>
        <v>2408.328516089789</v>
      </c>
      <c r="W264" s="497">
        <f>IF(Tabla33[[#This Row],[Fecha de operación]]=$C$1,0,U264-V264)</f>
        <v>0.41902723102839445</v>
      </c>
      <c r="X264" s="512" t="str">
        <f t="shared" si="161"/>
        <v>Vigente</v>
      </c>
      <c r="Y264" s="498" t="s">
        <v>450</v>
      </c>
      <c r="Z264" s="469">
        <f t="shared" si="162"/>
        <v>783</v>
      </c>
      <c r="AA264" s="499">
        <f t="shared" si="177"/>
        <v>2.5050531978134045</v>
      </c>
      <c r="AB264" s="499">
        <f t="shared" si="177"/>
        <v>2.4646570295215704</v>
      </c>
      <c r="AC264" s="469" t="s">
        <v>451</v>
      </c>
      <c r="AD264" s="469" t="s">
        <v>454</v>
      </c>
      <c r="AF264" s="444">
        <f>+IF(Tabla33[[#This Row],[Amortización k | cupón de intereses]]="Amortización de K",Tabla33[[#This Row],[Valor Nominal]],0)</f>
        <v>0</v>
      </c>
      <c r="AG264" s="444">
        <f>+IF(AND(Tabla33[[#This Row],[Amortización k | cupón de intereses]]="Cupón de interés",Tabla33[[#This Row],[Estado]]="Vigente"),Tabla33[[#This Row],[Valor Nominal]],0)</f>
        <v>2760.2739726027398</v>
      </c>
      <c r="AH264" s="444">
        <f>+IF(Tabla33[[#This Row],[Amortización k | cupón de intereses]]="Amortización de K",SUMIFS($AG$7:$AG$418,Tabla33[Código Emisión],Tabla33[[#This Row],[Código Emisión]],Tabla33[Fecha de operación],Tabla33[[#This Row],[Fecha de operación]]),0)-Tabla33[[#This Row],[Accrued]]*Tabla33[[#This Row],[Valor Nominal]]</f>
        <v>0</v>
      </c>
      <c r="AI264" s="444">
        <f>+IF(Tabla33[[#This Row],[Amortización k | cupón de intereses]]="Amortización de K",IF(Tabla33[[#This Row],[Precio Clean]]&gt;1,Tabla33[[#This Row],[Valor Nominal]]*(Tabla33[[#This Row],[Precio Clean]]-1),0),0)</f>
        <v>0</v>
      </c>
      <c r="AJ264" s="444">
        <f>+IF(Tabla33[[#This Row],[Amortización k | cupón de intereses]]="Amortización de K",IF(Tabla33[[#This Row],[Precio Clean]]&lt;1,Tabla33[[#This Row],[Valor Nominal]]*(Tabla33[[#This Row],[Precio Clean]]-1),0),0)</f>
        <v>0</v>
      </c>
    </row>
    <row r="265" spans="1:36">
      <c r="A265" s="502"/>
      <c r="B265" s="437" t="str">
        <f t="shared" si="175"/>
        <v>Bancop S.A.</v>
      </c>
      <c r="C265" s="437" t="str">
        <f t="shared" si="165"/>
        <v>BCO_6,50%_02102028_AA4088-91_250K</v>
      </c>
      <c r="D265" s="437" t="s">
        <v>453</v>
      </c>
      <c r="E265" s="437" t="str">
        <f t="shared" si="176"/>
        <v>AA-py</v>
      </c>
      <c r="F265" s="437" t="s">
        <v>297</v>
      </c>
      <c r="G265" s="437" t="s">
        <v>298</v>
      </c>
      <c r="H265" s="437">
        <v>2</v>
      </c>
      <c r="I265" s="492">
        <v>1335.6164383561643</v>
      </c>
      <c r="J265" s="451"/>
      <c r="K265" s="450"/>
      <c r="L265" s="451"/>
      <c r="M265" s="493"/>
      <c r="N265" s="493"/>
      <c r="O265" s="494">
        <f t="shared" si="174"/>
        <v>6.5560713410377516E-2</v>
      </c>
      <c r="P265" s="494">
        <f t="shared" si="174"/>
        <v>6.3669465351994248E-2</v>
      </c>
      <c r="Q265" s="450">
        <f t="shared" si="174"/>
        <v>45933</v>
      </c>
      <c r="R265" s="450">
        <v>46773</v>
      </c>
      <c r="S265" s="509" t="s">
        <v>146</v>
      </c>
      <c r="T265" s="510">
        <f>Tabla33[[#This Row],[Cantidad]]*Tabla33[[#This Row],[Cortes]]</f>
        <v>2671.2328767123286</v>
      </c>
      <c r="U265" s="511">
        <f t="shared" si="153"/>
        <v>2343.6518828844969</v>
      </c>
      <c r="V265" s="511">
        <f t="shared" si="154"/>
        <v>2343.2441797353217</v>
      </c>
      <c r="W265" s="497">
        <f>IF(Tabla33[[#This Row],[Fecha de operación]]=$C$1,0,U265-V265)</f>
        <v>0.4077031491751768</v>
      </c>
      <c r="X265" s="512" t="str">
        <f t="shared" si="161"/>
        <v>Vigente</v>
      </c>
      <c r="Y265" s="498" t="s">
        <v>450</v>
      </c>
      <c r="Z265" s="469">
        <f t="shared" si="162"/>
        <v>752</v>
      </c>
      <c r="AA265" s="499">
        <f t="shared" si="177"/>
        <v>2.5050531978134045</v>
      </c>
      <c r="AB265" s="499">
        <f t="shared" si="177"/>
        <v>2.4646570295215704</v>
      </c>
      <c r="AC265" s="469" t="s">
        <v>451</v>
      </c>
      <c r="AD265" s="469" t="s">
        <v>454</v>
      </c>
      <c r="AF265" s="444">
        <f>+IF(Tabla33[[#This Row],[Amortización k | cupón de intereses]]="Amortización de K",Tabla33[[#This Row],[Valor Nominal]],0)</f>
        <v>0</v>
      </c>
      <c r="AG265" s="444">
        <f>+IF(AND(Tabla33[[#This Row],[Amortización k | cupón de intereses]]="Cupón de interés",Tabla33[[#This Row],[Estado]]="Vigente"),Tabla33[[#This Row],[Valor Nominal]],0)</f>
        <v>2671.2328767123286</v>
      </c>
      <c r="AH265" s="444">
        <f>+IF(Tabla33[[#This Row],[Amortización k | cupón de intereses]]="Amortización de K",SUMIFS($AG$7:$AG$418,Tabla33[Código Emisión],Tabla33[[#This Row],[Código Emisión]],Tabla33[Fecha de operación],Tabla33[[#This Row],[Fecha de operación]]),0)-Tabla33[[#This Row],[Accrued]]*Tabla33[[#This Row],[Valor Nominal]]</f>
        <v>0</v>
      </c>
      <c r="AI265" s="444">
        <f>+IF(Tabla33[[#This Row],[Amortización k | cupón de intereses]]="Amortización de K",IF(Tabla33[[#This Row],[Precio Clean]]&gt;1,Tabla33[[#This Row],[Valor Nominal]]*(Tabla33[[#This Row],[Precio Clean]]-1),0),0)</f>
        <v>0</v>
      </c>
      <c r="AJ265" s="444">
        <f>+IF(Tabla33[[#This Row],[Amortización k | cupón de intereses]]="Amortización de K",IF(Tabla33[[#This Row],[Precio Clean]]&lt;1,Tabla33[[#This Row],[Valor Nominal]]*(Tabla33[[#This Row],[Precio Clean]]-1),0),0)</f>
        <v>0</v>
      </c>
    </row>
    <row r="266" spans="1:36">
      <c r="A266" s="502"/>
      <c r="B266" s="437" t="str">
        <f t="shared" si="175"/>
        <v>Bancop S.A.</v>
      </c>
      <c r="C266" s="437" t="str">
        <f t="shared" si="165"/>
        <v>BCO_6,50%_02102028_AA4088-91_250K</v>
      </c>
      <c r="D266" s="437" t="s">
        <v>453</v>
      </c>
      <c r="E266" s="437" t="str">
        <f t="shared" si="176"/>
        <v>AA-py</v>
      </c>
      <c r="F266" s="437" t="s">
        <v>297</v>
      </c>
      <c r="G266" s="437" t="s">
        <v>298</v>
      </c>
      <c r="H266" s="437">
        <v>2</v>
      </c>
      <c r="I266" s="492">
        <v>1335.6164383561643</v>
      </c>
      <c r="J266" s="451"/>
      <c r="K266" s="450"/>
      <c r="L266" s="451"/>
      <c r="M266" s="493"/>
      <c r="N266" s="493"/>
      <c r="O266" s="494">
        <f t="shared" si="174"/>
        <v>6.5560713410377516E-2</v>
      </c>
      <c r="P266" s="494">
        <f t="shared" si="174"/>
        <v>6.3669465351994248E-2</v>
      </c>
      <c r="Q266" s="450">
        <f t="shared" si="174"/>
        <v>45933</v>
      </c>
      <c r="R266" s="450">
        <v>46743</v>
      </c>
      <c r="S266" s="509" t="s">
        <v>146</v>
      </c>
      <c r="T266" s="510">
        <f>Tabla33[[#This Row],[Cantidad]]*Tabla33[[#This Row],[Cortes]]</f>
        <v>2671.2328767123286</v>
      </c>
      <c r="U266" s="511">
        <f t="shared" si="153"/>
        <v>2355.9160184415809</v>
      </c>
      <c r="V266" s="511">
        <f t="shared" si="154"/>
        <v>2355.5061818157042</v>
      </c>
      <c r="W266" s="497">
        <f>IF(Tabla33[[#This Row],[Fecha de operación]]=$C$1,0,U266-V266)</f>
        <v>0.40983662587677827</v>
      </c>
      <c r="X266" s="512" t="str">
        <f t="shared" si="161"/>
        <v>Vigente</v>
      </c>
      <c r="Y266" s="498" t="s">
        <v>450</v>
      </c>
      <c r="Z266" s="469">
        <f t="shared" si="162"/>
        <v>722</v>
      </c>
      <c r="AA266" s="499">
        <f t="shared" si="177"/>
        <v>2.5050531978134045</v>
      </c>
      <c r="AB266" s="499">
        <f t="shared" si="177"/>
        <v>2.4646570295215704</v>
      </c>
      <c r="AC266" s="469" t="s">
        <v>451</v>
      </c>
      <c r="AD266" s="469" t="s">
        <v>454</v>
      </c>
      <c r="AF266" s="444">
        <f>+IF(Tabla33[[#This Row],[Amortización k | cupón de intereses]]="Amortización de K",Tabla33[[#This Row],[Valor Nominal]],0)</f>
        <v>0</v>
      </c>
      <c r="AG266" s="444">
        <f>+IF(AND(Tabla33[[#This Row],[Amortización k | cupón de intereses]]="Cupón de interés",Tabla33[[#This Row],[Estado]]="Vigente"),Tabla33[[#This Row],[Valor Nominal]],0)</f>
        <v>2671.2328767123286</v>
      </c>
      <c r="AH266" s="444">
        <f>+IF(Tabla33[[#This Row],[Amortización k | cupón de intereses]]="Amortización de K",SUMIFS($AG$7:$AG$418,Tabla33[Código Emisión],Tabla33[[#This Row],[Código Emisión]],Tabla33[Fecha de operación],Tabla33[[#This Row],[Fecha de operación]]),0)-Tabla33[[#This Row],[Accrued]]*Tabla33[[#This Row],[Valor Nominal]]</f>
        <v>0</v>
      </c>
      <c r="AI266" s="444">
        <f>+IF(Tabla33[[#This Row],[Amortización k | cupón de intereses]]="Amortización de K",IF(Tabla33[[#This Row],[Precio Clean]]&gt;1,Tabla33[[#This Row],[Valor Nominal]]*(Tabla33[[#This Row],[Precio Clean]]-1),0),0)</f>
        <v>0</v>
      </c>
      <c r="AJ266" s="444">
        <f>+IF(Tabla33[[#This Row],[Amortización k | cupón de intereses]]="Amortización de K",IF(Tabla33[[#This Row],[Precio Clean]]&lt;1,Tabla33[[#This Row],[Valor Nominal]]*(Tabla33[[#This Row],[Precio Clean]]-1),0),0)</f>
        <v>0</v>
      </c>
    </row>
    <row r="267" spans="1:36">
      <c r="A267" s="502"/>
      <c r="B267" s="437" t="str">
        <f t="shared" si="175"/>
        <v>Bancop S.A.</v>
      </c>
      <c r="C267" s="437" t="str">
        <f t="shared" si="165"/>
        <v>BCO_6,50%_02102028_AA4088-91_250K</v>
      </c>
      <c r="D267" s="437" t="s">
        <v>453</v>
      </c>
      <c r="E267" s="437" t="str">
        <f t="shared" si="176"/>
        <v>AA-py</v>
      </c>
      <c r="F267" s="437" t="s">
        <v>297</v>
      </c>
      <c r="G267" s="437" t="s">
        <v>298</v>
      </c>
      <c r="H267" s="437">
        <v>2</v>
      </c>
      <c r="I267" s="492">
        <v>1246.5753424657535</v>
      </c>
      <c r="J267" s="451"/>
      <c r="K267" s="450"/>
      <c r="L267" s="451"/>
      <c r="M267" s="493"/>
      <c r="N267" s="493"/>
      <c r="O267" s="494">
        <f t="shared" si="174"/>
        <v>6.5560713410377516E-2</v>
      </c>
      <c r="P267" s="494">
        <f t="shared" si="174"/>
        <v>6.3669465351994248E-2</v>
      </c>
      <c r="Q267" s="450">
        <f t="shared" si="174"/>
        <v>45933</v>
      </c>
      <c r="R267" s="450">
        <v>46713</v>
      </c>
      <c r="S267" s="509" t="s">
        <v>146</v>
      </c>
      <c r="T267" s="510">
        <f>Tabla33[[#This Row],[Cantidad]]*Tabla33[[#This Row],[Cortes]]</f>
        <v>2493.1506849315069</v>
      </c>
      <c r="U267" s="511">
        <f t="shared" si="153"/>
        <v>2210.3613757875496</v>
      </c>
      <c r="V267" s="511">
        <f t="shared" si="154"/>
        <v>2209.976859938457</v>
      </c>
      <c r="W267" s="497">
        <f>IF(Tabla33[[#This Row],[Fecha de operación]]=$C$1,0,U267-V267)</f>
        <v>0.38451584909262237</v>
      </c>
      <c r="X267" s="512" t="str">
        <f t="shared" si="161"/>
        <v>Vigente</v>
      </c>
      <c r="Y267" s="498" t="s">
        <v>450</v>
      </c>
      <c r="Z267" s="469">
        <f t="shared" si="162"/>
        <v>692</v>
      </c>
      <c r="AA267" s="499">
        <f t="shared" si="177"/>
        <v>2.5050531978134045</v>
      </c>
      <c r="AB267" s="499">
        <f t="shared" si="177"/>
        <v>2.4646570295215704</v>
      </c>
      <c r="AC267" s="469" t="s">
        <v>451</v>
      </c>
      <c r="AD267" s="469" t="s">
        <v>454</v>
      </c>
      <c r="AF267" s="444">
        <f>+IF(Tabla33[[#This Row],[Amortización k | cupón de intereses]]="Amortización de K",Tabla33[[#This Row],[Valor Nominal]],0)</f>
        <v>0</v>
      </c>
      <c r="AG267" s="444">
        <f>+IF(AND(Tabla33[[#This Row],[Amortización k | cupón de intereses]]="Cupón de interés",Tabla33[[#This Row],[Estado]]="Vigente"),Tabla33[[#This Row],[Valor Nominal]],0)</f>
        <v>2493.1506849315069</v>
      </c>
      <c r="AH267" s="444">
        <f>+IF(Tabla33[[#This Row],[Amortización k | cupón de intereses]]="Amortización de K",SUMIFS($AG$7:$AG$418,Tabla33[Código Emisión],Tabla33[[#This Row],[Código Emisión]],Tabla33[Fecha de operación],Tabla33[[#This Row],[Fecha de operación]]),0)-Tabla33[[#This Row],[Accrued]]*Tabla33[[#This Row],[Valor Nominal]]</f>
        <v>0</v>
      </c>
      <c r="AI267" s="444">
        <f>+IF(Tabla33[[#This Row],[Amortización k | cupón de intereses]]="Amortización de K",IF(Tabla33[[#This Row],[Precio Clean]]&gt;1,Tabla33[[#This Row],[Valor Nominal]]*(Tabla33[[#This Row],[Precio Clean]]-1),0),0)</f>
        <v>0</v>
      </c>
      <c r="AJ267" s="444">
        <f>+IF(Tabla33[[#This Row],[Amortización k | cupón de intereses]]="Amortización de K",IF(Tabla33[[#This Row],[Precio Clean]]&lt;1,Tabla33[[#This Row],[Valor Nominal]]*(Tabla33[[#This Row],[Precio Clean]]-1),0),0)</f>
        <v>0</v>
      </c>
    </row>
    <row r="268" spans="1:36">
      <c r="A268" s="502"/>
      <c r="B268" s="437" t="str">
        <f t="shared" si="175"/>
        <v>Bancop S.A.</v>
      </c>
      <c r="C268" s="437" t="str">
        <f t="shared" si="165"/>
        <v>BCO_6,50%_02102028_AA4088-91_250K</v>
      </c>
      <c r="D268" s="437" t="s">
        <v>453</v>
      </c>
      <c r="E268" s="437" t="str">
        <f t="shared" si="176"/>
        <v>AA-py</v>
      </c>
      <c r="F268" s="437" t="s">
        <v>297</v>
      </c>
      <c r="G268" s="437" t="s">
        <v>298</v>
      </c>
      <c r="H268" s="437">
        <v>2</v>
      </c>
      <c r="I268" s="492">
        <v>1424.6575342465753</v>
      </c>
      <c r="J268" s="451"/>
      <c r="K268" s="450"/>
      <c r="L268" s="451"/>
      <c r="M268" s="493"/>
      <c r="N268" s="493"/>
      <c r="O268" s="494">
        <f t="shared" si="174"/>
        <v>6.5560713410377516E-2</v>
      </c>
      <c r="P268" s="494">
        <f t="shared" si="174"/>
        <v>6.3669465351994248E-2</v>
      </c>
      <c r="Q268" s="450">
        <f t="shared" si="174"/>
        <v>45933</v>
      </c>
      <c r="R268" s="450">
        <v>46685</v>
      </c>
      <c r="S268" s="509" t="s">
        <v>146</v>
      </c>
      <c r="T268" s="510">
        <f>Tabla33[[#This Row],[Cantidad]]*Tabla33[[#This Row],[Cortes]]</f>
        <v>2849.3150684931506</v>
      </c>
      <c r="U268" s="511">
        <f t="shared" si="153"/>
        <v>2538.4628850974618</v>
      </c>
      <c r="V268" s="511">
        <f t="shared" si="154"/>
        <v>2538.0212925043479</v>
      </c>
      <c r="W268" s="497">
        <f>IF(Tabla33[[#This Row],[Fecha de operación]]=$C$1,0,U268-V268)</f>
        <v>0.44159259311390997</v>
      </c>
      <c r="X268" s="512" t="str">
        <f t="shared" si="161"/>
        <v>Vigente</v>
      </c>
      <c r="Y268" s="498" t="s">
        <v>450</v>
      </c>
      <c r="Z268" s="469">
        <f t="shared" si="162"/>
        <v>664</v>
      </c>
      <c r="AA268" s="499">
        <f t="shared" si="177"/>
        <v>2.5050531978134045</v>
      </c>
      <c r="AB268" s="499">
        <f t="shared" si="177"/>
        <v>2.4646570295215704</v>
      </c>
      <c r="AC268" s="469" t="s">
        <v>451</v>
      </c>
      <c r="AD268" s="469" t="s">
        <v>454</v>
      </c>
      <c r="AF268" s="444">
        <f>+IF(Tabla33[[#This Row],[Amortización k | cupón de intereses]]="Amortización de K",Tabla33[[#This Row],[Valor Nominal]],0)</f>
        <v>0</v>
      </c>
      <c r="AG268" s="444">
        <f>+IF(AND(Tabla33[[#This Row],[Amortización k | cupón de intereses]]="Cupón de interés",Tabla33[[#This Row],[Estado]]="Vigente"),Tabla33[[#This Row],[Valor Nominal]],0)</f>
        <v>2849.3150684931506</v>
      </c>
      <c r="AH268" s="444">
        <f>+IF(Tabla33[[#This Row],[Amortización k | cupón de intereses]]="Amortización de K",SUMIFS($AG$7:$AG$418,Tabla33[Código Emisión],Tabla33[[#This Row],[Código Emisión]],Tabla33[Fecha de operación],Tabla33[[#This Row],[Fecha de operación]]),0)-Tabla33[[#This Row],[Accrued]]*Tabla33[[#This Row],[Valor Nominal]]</f>
        <v>0</v>
      </c>
      <c r="AI268" s="444">
        <f>+IF(Tabla33[[#This Row],[Amortización k | cupón de intereses]]="Amortización de K",IF(Tabla33[[#This Row],[Precio Clean]]&gt;1,Tabla33[[#This Row],[Valor Nominal]]*(Tabla33[[#This Row],[Precio Clean]]-1),0),0)</f>
        <v>0</v>
      </c>
      <c r="AJ268" s="444">
        <f>+IF(Tabla33[[#This Row],[Amortización k | cupón de intereses]]="Amortización de K",IF(Tabla33[[#This Row],[Precio Clean]]&lt;1,Tabla33[[#This Row],[Valor Nominal]]*(Tabla33[[#This Row],[Precio Clean]]-1),0),0)</f>
        <v>0</v>
      </c>
    </row>
    <row r="269" spans="1:36">
      <c r="A269" s="502"/>
      <c r="B269" s="437" t="str">
        <f t="shared" si="175"/>
        <v>Bancop S.A.</v>
      </c>
      <c r="C269" s="437" t="str">
        <f t="shared" si="165"/>
        <v>BCO_6,50%_02102028_AA4088-91_250K</v>
      </c>
      <c r="D269" s="437" t="s">
        <v>453</v>
      </c>
      <c r="E269" s="437" t="str">
        <f t="shared" si="176"/>
        <v>AA-py</v>
      </c>
      <c r="F269" s="437" t="s">
        <v>297</v>
      </c>
      <c r="G269" s="437" t="s">
        <v>298</v>
      </c>
      <c r="H269" s="437">
        <v>2</v>
      </c>
      <c r="I269" s="492">
        <v>1335.6164383561643</v>
      </c>
      <c r="J269" s="451"/>
      <c r="K269" s="450"/>
      <c r="L269" s="451"/>
      <c r="M269" s="493"/>
      <c r="N269" s="493"/>
      <c r="O269" s="494">
        <f t="shared" si="174"/>
        <v>6.5560713410377516E-2</v>
      </c>
      <c r="P269" s="494">
        <f t="shared" si="174"/>
        <v>6.3669465351994248E-2</v>
      </c>
      <c r="Q269" s="450">
        <f t="shared" si="174"/>
        <v>45933</v>
      </c>
      <c r="R269" s="450">
        <v>46653</v>
      </c>
      <c r="S269" s="509" t="s">
        <v>146</v>
      </c>
      <c r="T269" s="510">
        <f>Tabla33[[#This Row],[Cantidad]]*Tabla33[[#This Row],[Cortes]]</f>
        <v>2671.2328767123286</v>
      </c>
      <c r="U269" s="511">
        <f t="shared" si="153"/>
        <v>2393.0948334197733</v>
      </c>
      <c r="V269" s="511">
        <f t="shared" si="154"/>
        <v>2392.678529143961</v>
      </c>
      <c r="W269" s="497">
        <f>IF(Tabla33[[#This Row],[Fecha de operación]]=$C$1,0,U269-V269)</f>
        <v>0.41630427581230833</v>
      </c>
      <c r="X269" s="512" t="str">
        <f t="shared" si="161"/>
        <v>Vigente</v>
      </c>
      <c r="Y269" s="498" t="s">
        <v>450</v>
      </c>
      <c r="Z269" s="469">
        <f t="shared" si="162"/>
        <v>632</v>
      </c>
      <c r="AA269" s="499">
        <f t="shared" si="177"/>
        <v>2.5050531978134045</v>
      </c>
      <c r="AB269" s="499">
        <f t="shared" si="177"/>
        <v>2.4646570295215704</v>
      </c>
      <c r="AC269" s="469" t="s">
        <v>451</v>
      </c>
      <c r="AD269" s="469" t="s">
        <v>454</v>
      </c>
      <c r="AF269" s="444">
        <f>+IF(Tabla33[[#This Row],[Amortización k | cupón de intereses]]="Amortización de K",Tabla33[[#This Row],[Valor Nominal]],0)</f>
        <v>0</v>
      </c>
      <c r="AG269" s="444">
        <f>+IF(AND(Tabla33[[#This Row],[Amortización k | cupón de intereses]]="Cupón de interés",Tabla33[[#This Row],[Estado]]="Vigente"),Tabla33[[#This Row],[Valor Nominal]],0)</f>
        <v>2671.2328767123286</v>
      </c>
      <c r="AH269" s="444">
        <f>+IF(Tabla33[[#This Row],[Amortización k | cupón de intereses]]="Amortización de K",SUMIFS($AG$7:$AG$418,Tabla33[Código Emisión],Tabla33[[#This Row],[Código Emisión]],Tabla33[Fecha de operación],Tabla33[[#This Row],[Fecha de operación]]),0)-Tabla33[[#This Row],[Accrued]]*Tabla33[[#This Row],[Valor Nominal]]</f>
        <v>0</v>
      </c>
      <c r="AI269" s="444">
        <f>+IF(Tabla33[[#This Row],[Amortización k | cupón de intereses]]="Amortización de K",IF(Tabla33[[#This Row],[Precio Clean]]&gt;1,Tabla33[[#This Row],[Valor Nominal]]*(Tabla33[[#This Row],[Precio Clean]]-1),0),0)</f>
        <v>0</v>
      </c>
      <c r="AJ269" s="444">
        <f>+IF(Tabla33[[#This Row],[Amortización k | cupón de intereses]]="Amortización de K",IF(Tabla33[[#This Row],[Precio Clean]]&lt;1,Tabla33[[#This Row],[Valor Nominal]]*(Tabla33[[#This Row],[Precio Clean]]-1),0),0)</f>
        <v>0</v>
      </c>
    </row>
    <row r="270" spans="1:36">
      <c r="A270" s="502"/>
      <c r="B270" s="437" t="str">
        <f t="shared" si="175"/>
        <v>Bancop S.A.</v>
      </c>
      <c r="C270" s="437" t="str">
        <f t="shared" si="165"/>
        <v>BCO_6,50%_02102028_AA4088-91_250K</v>
      </c>
      <c r="D270" s="437" t="s">
        <v>453</v>
      </c>
      <c r="E270" s="437" t="str">
        <f t="shared" si="176"/>
        <v>AA-py</v>
      </c>
      <c r="F270" s="437" t="s">
        <v>297</v>
      </c>
      <c r="G270" s="437" t="s">
        <v>298</v>
      </c>
      <c r="H270" s="437">
        <v>2</v>
      </c>
      <c r="I270" s="492">
        <v>1291.0958904109589</v>
      </c>
      <c r="J270" s="451"/>
      <c r="K270" s="450"/>
      <c r="L270" s="451"/>
      <c r="M270" s="493"/>
      <c r="N270" s="493"/>
      <c r="O270" s="494">
        <f t="shared" si="174"/>
        <v>6.5560713410377516E-2</v>
      </c>
      <c r="P270" s="494">
        <f t="shared" si="174"/>
        <v>6.3669465351994248E-2</v>
      </c>
      <c r="Q270" s="450">
        <f t="shared" si="174"/>
        <v>45933</v>
      </c>
      <c r="R270" s="450">
        <v>46623</v>
      </c>
      <c r="S270" s="509" t="s">
        <v>146</v>
      </c>
      <c r="T270" s="510">
        <f>Tabla33[[#This Row],[Cantidad]]*Tabla33[[#This Row],[Cortes]]</f>
        <v>2582.1917808219177</v>
      </c>
      <c r="U270" s="511">
        <f t="shared" si="153"/>
        <v>2325.4304431675891</v>
      </c>
      <c r="V270" s="511">
        <f t="shared" si="154"/>
        <v>2325.0259098314773</v>
      </c>
      <c r="W270" s="497">
        <f>IF(Tabla33[[#This Row],[Fecha de operación]]=$C$1,0,U270-V270)</f>
        <v>0.40453333611185371</v>
      </c>
      <c r="X270" s="512" t="str">
        <f t="shared" si="161"/>
        <v>Vigente</v>
      </c>
      <c r="Y270" s="498" t="s">
        <v>450</v>
      </c>
      <c r="Z270" s="469">
        <f t="shared" si="162"/>
        <v>602</v>
      </c>
      <c r="AA270" s="499">
        <f t="shared" si="177"/>
        <v>2.5050531978134045</v>
      </c>
      <c r="AB270" s="499">
        <f t="shared" si="177"/>
        <v>2.4646570295215704</v>
      </c>
      <c r="AC270" s="469" t="s">
        <v>451</v>
      </c>
      <c r="AD270" s="469" t="s">
        <v>454</v>
      </c>
      <c r="AF270" s="444">
        <f>+IF(Tabla33[[#This Row],[Amortización k | cupón de intereses]]="Amortización de K",Tabla33[[#This Row],[Valor Nominal]],0)</f>
        <v>0</v>
      </c>
      <c r="AG270" s="444">
        <f>+IF(AND(Tabla33[[#This Row],[Amortización k | cupón de intereses]]="Cupón de interés",Tabla33[[#This Row],[Estado]]="Vigente"),Tabla33[[#This Row],[Valor Nominal]],0)</f>
        <v>2582.1917808219177</v>
      </c>
      <c r="AH270" s="444">
        <f>+IF(Tabla33[[#This Row],[Amortización k | cupón de intereses]]="Amortización de K",SUMIFS($AG$7:$AG$418,Tabla33[Código Emisión],Tabla33[[#This Row],[Código Emisión]],Tabla33[Fecha de operación],Tabla33[[#This Row],[Fecha de operación]]),0)-Tabla33[[#This Row],[Accrued]]*Tabla33[[#This Row],[Valor Nominal]]</f>
        <v>0</v>
      </c>
      <c r="AI270" s="444">
        <f>+IF(Tabla33[[#This Row],[Amortización k | cupón de intereses]]="Amortización de K",IF(Tabla33[[#This Row],[Precio Clean]]&gt;1,Tabla33[[#This Row],[Valor Nominal]]*(Tabla33[[#This Row],[Precio Clean]]-1),0),0)</f>
        <v>0</v>
      </c>
      <c r="AJ270" s="444">
        <f>+IF(Tabla33[[#This Row],[Amortización k | cupón de intereses]]="Amortización de K",IF(Tabla33[[#This Row],[Precio Clean]]&lt;1,Tabla33[[#This Row],[Valor Nominal]]*(Tabla33[[#This Row],[Precio Clean]]-1),0),0)</f>
        <v>0</v>
      </c>
    </row>
    <row r="271" spans="1:36">
      <c r="A271" s="502"/>
      <c r="B271" s="437" t="str">
        <f t="shared" si="175"/>
        <v>Bancop S.A.</v>
      </c>
      <c r="C271" s="437" t="str">
        <f t="shared" si="165"/>
        <v>BCO_6,50%_02102028_AA4088-91_250K</v>
      </c>
      <c r="D271" s="437" t="s">
        <v>453</v>
      </c>
      <c r="E271" s="437" t="str">
        <f t="shared" si="176"/>
        <v>AA-py</v>
      </c>
      <c r="F271" s="437" t="s">
        <v>297</v>
      </c>
      <c r="G271" s="437" t="s">
        <v>298</v>
      </c>
      <c r="H271" s="437">
        <v>2</v>
      </c>
      <c r="I271" s="492">
        <v>1380.1369863013699</v>
      </c>
      <c r="J271" s="451"/>
      <c r="K271" s="450"/>
      <c r="L271" s="451"/>
      <c r="M271" s="493"/>
      <c r="N271" s="493"/>
      <c r="O271" s="494">
        <f t="shared" si="174"/>
        <v>6.5560713410377516E-2</v>
      </c>
      <c r="P271" s="494">
        <f t="shared" si="174"/>
        <v>6.3669465351994248E-2</v>
      </c>
      <c r="Q271" s="450">
        <f t="shared" si="174"/>
        <v>45933</v>
      </c>
      <c r="R271" s="450">
        <v>46594</v>
      </c>
      <c r="S271" s="509" t="s">
        <v>146</v>
      </c>
      <c r="T271" s="510">
        <f>Tabla33[[#This Row],[Cantidad]]*Tabla33[[#This Row],[Cortes]]</f>
        <v>2760.2739726027398</v>
      </c>
      <c r="U271" s="511">
        <f t="shared" si="153"/>
        <v>2498.3782721999441</v>
      </c>
      <c r="V271" s="511">
        <f t="shared" si="154"/>
        <v>2497.9436527511921</v>
      </c>
      <c r="W271" s="497">
        <f>IF(Tabla33[[#This Row],[Fecha de operación]]=$C$1,0,U271-V271)</f>
        <v>0.43461944875207337</v>
      </c>
      <c r="X271" s="512" t="str">
        <f t="shared" si="161"/>
        <v>Vigente</v>
      </c>
      <c r="Y271" s="498" t="s">
        <v>450</v>
      </c>
      <c r="Z271" s="469">
        <f t="shared" si="162"/>
        <v>573</v>
      </c>
      <c r="AA271" s="499">
        <f t="shared" si="177"/>
        <v>2.5050531978134045</v>
      </c>
      <c r="AB271" s="499">
        <f t="shared" si="177"/>
        <v>2.4646570295215704</v>
      </c>
      <c r="AC271" s="469" t="s">
        <v>451</v>
      </c>
      <c r="AD271" s="469" t="s">
        <v>454</v>
      </c>
      <c r="AF271" s="444">
        <f>+IF(Tabla33[[#This Row],[Amortización k | cupón de intereses]]="Amortización de K",Tabla33[[#This Row],[Valor Nominal]],0)</f>
        <v>0</v>
      </c>
      <c r="AG271" s="444">
        <f>+IF(AND(Tabla33[[#This Row],[Amortización k | cupón de intereses]]="Cupón de interés",Tabla33[[#This Row],[Estado]]="Vigente"),Tabla33[[#This Row],[Valor Nominal]],0)</f>
        <v>2760.2739726027398</v>
      </c>
      <c r="AH271" s="444">
        <f>+IF(Tabla33[[#This Row],[Amortización k | cupón de intereses]]="Amortización de K",SUMIFS($AG$7:$AG$418,Tabla33[Código Emisión],Tabla33[[#This Row],[Código Emisión]],Tabla33[Fecha de operación],Tabla33[[#This Row],[Fecha de operación]]),0)-Tabla33[[#This Row],[Accrued]]*Tabla33[[#This Row],[Valor Nominal]]</f>
        <v>0</v>
      </c>
      <c r="AI271" s="444">
        <f>+IF(Tabla33[[#This Row],[Amortización k | cupón de intereses]]="Amortización de K",IF(Tabla33[[#This Row],[Precio Clean]]&gt;1,Tabla33[[#This Row],[Valor Nominal]]*(Tabla33[[#This Row],[Precio Clean]]-1),0),0)</f>
        <v>0</v>
      </c>
      <c r="AJ271" s="444">
        <f>+IF(Tabla33[[#This Row],[Amortización k | cupón de intereses]]="Amortización de K",IF(Tabla33[[#This Row],[Precio Clean]]&lt;1,Tabla33[[#This Row],[Valor Nominal]]*(Tabla33[[#This Row],[Precio Clean]]-1),0),0)</f>
        <v>0</v>
      </c>
    </row>
    <row r="272" spans="1:36">
      <c r="A272" s="502"/>
      <c r="B272" s="437" t="str">
        <f t="shared" si="175"/>
        <v>Bancop S.A.</v>
      </c>
      <c r="C272" s="437" t="str">
        <f t="shared" si="165"/>
        <v>BCO_6,50%_02102028_AA4088-91_250K</v>
      </c>
      <c r="D272" s="437" t="s">
        <v>453</v>
      </c>
      <c r="E272" s="437" t="str">
        <f t="shared" si="176"/>
        <v>AA-py</v>
      </c>
      <c r="F272" s="437" t="s">
        <v>297</v>
      </c>
      <c r="G272" s="437" t="s">
        <v>298</v>
      </c>
      <c r="H272" s="437">
        <v>2</v>
      </c>
      <c r="I272" s="492">
        <v>1335.6164383561643</v>
      </c>
      <c r="J272" s="451"/>
      <c r="K272" s="450"/>
      <c r="L272" s="451"/>
      <c r="M272" s="493"/>
      <c r="N272" s="493"/>
      <c r="O272" s="494">
        <f t="shared" si="174"/>
        <v>6.5560713410377516E-2</v>
      </c>
      <c r="P272" s="494">
        <f t="shared" si="174"/>
        <v>6.3669465351994248E-2</v>
      </c>
      <c r="Q272" s="450">
        <f t="shared" si="174"/>
        <v>45933</v>
      </c>
      <c r="R272" s="450">
        <v>46563</v>
      </c>
      <c r="S272" s="509" t="s">
        <v>146</v>
      </c>
      <c r="T272" s="510">
        <f>Tabla33[[#This Row],[Cantidad]]*Tabla33[[#This Row],[Cortes]]</f>
        <v>2671.2328767123286</v>
      </c>
      <c r="U272" s="511">
        <f t="shared" si="153"/>
        <v>2430.8603689229599</v>
      </c>
      <c r="V272" s="511">
        <f t="shared" si="154"/>
        <v>2430.4374949309422</v>
      </c>
      <c r="W272" s="497">
        <f>IF(Tabla33[[#This Row],[Fecha de operación]]=$C$1,0,U272-V272)</f>
        <v>0.42287399201768494</v>
      </c>
      <c r="X272" s="512" t="str">
        <f t="shared" si="161"/>
        <v>Vigente</v>
      </c>
      <c r="Y272" s="498" t="s">
        <v>450</v>
      </c>
      <c r="Z272" s="469">
        <f t="shared" si="162"/>
        <v>542</v>
      </c>
      <c r="AA272" s="499">
        <f t="shared" si="177"/>
        <v>2.5050531978134045</v>
      </c>
      <c r="AB272" s="499">
        <f t="shared" si="177"/>
        <v>2.4646570295215704</v>
      </c>
      <c r="AC272" s="469" t="s">
        <v>451</v>
      </c>
      <c r="AD272" s="469" t="s">
        <v>454</v>
      </c>
      <c r="AF272" s="444">
        <f>+IF(Tabla33[[#This Row],[Amortización k | cupón de intereses]]="Amortización de K",Tabla33[[#This Row],[Valor Nominal]],0)</f>
        <v>0</v>
      </c>
      <c r="AG272" s="444">
        <f>+IF(AND(Tabla33[[#This Row],[Amortización k | cupón de intereses]]="Cupón de interés",Tabla33[[#This Row],[Estado]]="Vigente"),Tabla33[[#This Row],[Valor Nominal]],0)</f>
        <v>2671.2328767123286</v>
      </c>
      <c r="AH272" s="444">
        <f>+IF(Tabla33[[#This Row],[Amortización k | cupón de intereses]]="Amortización de K",SUMIFS($AG$7:$AG$418,Tabla33[Código Emisión],Tabla33[[#This Row],[Código Emisión]],Tabla33[Fecha de operación],Tabla33[[#This Row],[Fecha de operación]]),0)-Tabla33[[#This Row],[Accrued]]*Tabla33[[#This Row],[Valor Nominal]]</f>
        <v>0</v>
      </c>
      <c r="AI272" s="444">
        <f>+IF(Tabla33[[#This Row],[Amortización k | cupón de intereses]]="Amortización de K",IF(Tabla33[[#This Row],[Precio Clean]]&gt;1,Tabla33[[#This Row],[Valor Nominal]]*(Tabla33[[#This Row],[Precio Clean]]-1),0),0)</f>
        <v>0</v>
      </c>
      <c r="AJ272" s="444">
        <f>+IF(Tabla33[[#This Row],[Amortización k | cupón de intereses]]="Amortización de K",IF(Tabla33[[#This Row],[Precio Clean]]&lt;1,Tabla33[[#This Row],[Valor Nominal]]*(Tabla33[[#This Row],[Precio Clean]]-1),0),0)</f>
        <v>0</v>
      </c>
    </row>
    <row r="273" spans="1:36">
      <c r="A273" s="502"/>
      <c r="B273" s="437" t="str">
        <f t="shared" si="175"/>
        <v>Bancop S.A.</v>
      </c>
      <c r="C273" s="437" t="str">
        <f t="shared" si="165"/>
        <v>BCO_6,50%_02102028_AA4088-91_250K</v>
      </c>
      <c r="D273" s="437" t="s">
        <v>453</v>
      </c>
      <c r="E273" s="437" t="str">
        <f t="shared" si="176"/>
        <v>AA-py</v>
      </c>
      <c r="F273" s="437" t="s">
        <v>297</v>
      </c>
      <c r="G273" s="437" t="s">
        <v>298</v>
      </c>
      <c r="H273" s="437">
        <v>2</v>
      </c>
      <c r="I273" s="492">
        <v>1335.6164383561643</v>
      </c>
      <c r="J273" s="451"/>
      <c r="K273" s="450"/>
      <c r="L273" s="451"/>
      <c r="M273" s="493"/>
      <c r="N273" s="493"/>
      <c r="O273" s="494">
        <f t="shared" ref="O273:Q288" si="178">+O272</f>
        <v>6.5560713410377516E-2</v>
      </c>
      <c r="P273" s="494">
        <f t="shared" si="178"/>
        <v>6.3669465351994248E-2</v>
      </c>
      <c r="Q273" s="450">
        <f t="shared" si="178"/>
        <v>45933</v>
      </c>
      <c r="R273" s="450">
        <v>46533</v>
      </c>
      <c r="S273" s="509" t="s">
        <v>146</v>
      </c>
      <c r="T273" s="510">
        <f>Tabla33[[#This Row],[Cantidad]]*Tabla33[[#This Row],[Cortes]]</f>
        <v>2671.2328767123286</v>
      </c>
      <c r="U273" s="511">
        <f t="shared" si="153"/>
        <v>2443.580859240883</v>
      </c>
      <c r="V273" s="511">
        <f t="shared" si="154"/>
        <v>2443.1557723844039</v>
      </c>
      <c r="W273" s="497">
        <f>IF(Tabla33[[#This Row],[Fecha de operación]]=$C$1,0,U273-V273)</f>
        <v>0.42508685647908351</v>
      </c>
      <c r="X273" s="512" t="str">
        <f t="shared" si="161"/>
        <v>Vigente</v>
      </c>
      <c r="Y273" s="498" t="s">
        <v>450</v>
      </c>
      <c r="Z273" s="469">
        <f t="shared" si="162"/>
        <v>512</v>
      </c>
      <c r="AA273" s="499">
        <f t="shared" si="177"/>
        <v>2.5050531978134045</v>
      </c>
      <c r="AB273" s="499">
        <f t="shared" si="177"/>
        <v>2.4646570295215704</v>
      </c>
      <c r="AC273" s="469" t="s">
        <v>451</v>
      </c>
      <c r="AD273" s="469" t="s">
        <v>454</v>
      </c>
      <c r="AF273" s="444">
        <f>+IF(Tabla33[[#This Row],[Amortización k | cupón de intereses]]="Amortización de K",Tabla33[[#This Row],[Valor Nominal]],0)</f>
        <v>0</v>
      </c>
      <c r="AG273" s="444">
        <f>+IF(AND(Tabla33[[#This Row],[Amortización k | cupón de intereses]]="Cupón de interés",Tabla33[[#This Row],[Estado]]="Vigente"),Tabla33[[#This Row],[Valor Nominal]],0)</f>
        <v>2671.2328767123286</v>
      </c>
      <c r="AH273" s="444">
        <f>+IF(Tabla33[[#This Row],[Amortización k | cupón de intereses]]="Amortización de K",SUMIFS($AG$7:$AG$418,Tabla33[Código Emisión],Tabla33[[#This Row],[Código Emisión]],Tabla33[Fecha de operación],Tabla33[[#This Row],[Fecha de operación]]),0)-Tabla33[[#This Row],[Accrued]]*Tabla33[[#This Row],[Valor Nominal]]</f>
        <v>0</v>
      </c>
      <c r="AI273" s="444">
        <f>+IF(Tabla33[[#This Row],[Amortización k | cupón de intereses]]="Amortización de K",IF(Tabla33[[#This Row],[Precio Clean]]&gt;1,Tabla33[[#This Row],[Valor Nominal]]*(Tabla33[[#This Row],[Precio Clean]]-1),0),0)</f>
        <v>0</v>
      </c>
      <c r="AJ273" s="444">
        <f>+IF(Tabla33[[#This Row],[Amortización k | cupón de intereses]]="Amortización de K",IF(Tabla33[[#This Row],[Precio Clean]]&lt;1,Tabla33[[#This Row],[Valor Nominal]]*(Tabla33[[#This Row],[Precio Clean]]-1),0),0)</f>
        <v>0</v>
      </c>
    </row>
    <row r="274" spans="1:36">
      <c r="A274" s="502"/>
      <c r="B274" s="437" t="str">
        <f t="shared" si="175"/>
        <v>Bancop S.A.</v>
      </c>
      <c r="C274" s="437" t="str">
        <f t="shared" si="165"/>
        <v>BCO_6,50%_02102028_AA4088-91_250K</v>
      </c>
      <c r="D274" s="437" t="s">
        <v>453</v>
      </c>
      <c r="E274" s="437" t="str">
        <f t="shared" si="176"/>
        <v>AA-py</v>
      </c>
      <c r="F274" s="437" t="s">
        <v>297</v>
      </c>
      <c r="G274" s="437" t="s">
        <v>298</v>
      </c>
      <c r="H274" s="437">
        <v>2</v>
      </c>
      <c r="I274" s="492">
        <v>1246.5753424657535</v>
      </c>
      <c r="J274" s="451"/>
      <c r="K274" s="450"/>
      <c r="L274" s="451"/>
      <c r="M274" s="493"/>
      <c r="N274" s="493"/>
      <c r="O274" s="494">
        <f t="shared" si="178"/>
        <v>6.5560713410377516E-2</v>
      </c>
      <c r="P274" s="494">
        <f t="shared" si="178"/>
        <v>6.3669465351994248E-2</v>
      </c>
      <c r="Q274" s="450">
        <f t="shared" si="178"/>
        <v>45933</v>
      </c>
      <c r="R274" s="450">
        <v>46503</v>
      </c>
      <c r="S274" s="509" t="s">
        <v>146</v>
      </c>
      <c r="T274" s="510">
        <f>Tabla33[[#This Row],[Cantidad]]*Tabla33[[#This Row],[Cortes]]</f>
        <v>2493.1506849315069</v>
      </c>
      <c r="U274" s="511">
        <f t="shared" si="153"/>
        <v>2292.6100538391206</v>
      </c>
      <c r="V274" s="511">
        <f t="shared" si="154"/>
        <v>2292.2112299584896</v>
      </c>
      <c r="W274" s="497">
        <f>IF(Tabla33[[#This Row],[Fecha de operación]]=$C$1,0,U274-V274)</f>
        <v>0.39882388063097096</v>
      </c>
      <c r="X274" s="512" t="str">
        <f t="shared" si="161"/>
        <v>Vigente</v>
      </c>
      <c r="Y274" s="498" t="s">
        <v>450</v>
      </c>
      <c r="Z274" s="469">
        <f t="shared" si="162"/>
        <v>482</v>
      </c>
      <c r="AA274" s="499">
        <f t="shared" ref="AA274:AB289" si="179">+AA273</f>
        <v>2.5050531978134045</v>
      </c>
      <c r="AB274" s="499">
        <f t="shared" si="179"/>
        <v>2.4646570295215704</v>
      </c>
      <c r="AC274" s="469" t="s">
        <v>451</v>
      </c>
      <c r="AD274" s="469" t="s">
        <v>454</v>
      </c>
      <c r="AF274" s="444">
        <f>+IF(Tabla33[[#This Row],[Amortización k | cupón de intereses]]="Amortización de K",Tabla33[[#This Row],[Valor Nominal]],0)</f>
        <v>0</v>
      </c>
      <c r="AG274" s="444">
        <f>+IF(AND(Tabla33[[#This Row],[Amortización k | cupón de intereses]]="Cupón de interés",Tabla33[[#This Row],[Estado]]="Vigente"),Tabla33[[#This Row],[Valor Nominal]],0)</f>
        <v>2493.1506849315069</v>
      </c>
      <c r="AH274" s="444">
        <f>+IF(Tabla33[[#This Row],[Amortización k | cupón de intereses]]="Amortización de K",SUMIFS($AG$7:$AG$418,Tabla33[Código Emisión],Tabla33[[#This Row],[Código Emisión]],Tabla33[Fecha de operación],Tabla33[[#This Row],[Fecha de operación]]),0)-Tabla33[[#This Row],[Accrued]]*Tabla33[[#This Row],[Valor Nominal]]</f>
        <v>0</v>
      </c>
      <c r="AI274" s="444">
        <f>+IF(Tabla33[[#This Row],[Amortización k | cupón de intereses]]="Amortización de K",IF(Tabla33[[#This Row],[Precio Clean]]&gt;1,Tabla33[[#This Row],[Valor Nominal]]*(Tabla33[[#This Row],[Precio Clean]]-1),0),0)</f>
        <v>0</v>
      </c>
      <c r="AJ274" s="444">
        <f>+IF(Tabla33[[#This Row],[Amortización k | cupón de intereses]]="Amortización de K",IF(Tabla33[[#This Row],[Precio Clean]]&lt;1,Tabla33[[#This Row],[Valor Nominal]]*(Tabla33[[#This Row],[Precio Clean]]-1),0),0)</f>
        <v>0</v>
      </c>
    </row>
    <row r="275" spans="1:36">
      <c r="A275" s="502"/>
      <c r="B275" s="437" t="str">
        <f t="shared" si="175"/>
        <v>Bancop S.A.</v>
      </c>
      <c r="C275" s="437" t="str">
        <f t="shared" si="165"/>
        <v>BCO_6,50%_02102028_AA4088-91_250K</v>
      </c>
      <c r="D275" s="437" t="s">
        <v>453</v>
      </c>
      <c r="E275" s="437" t="str">
        <f t="shared" si="176"/>
        <v>AA-py</v>
      </c>
      <c r="F275" s="437" t="s">
        <v>297</v>
      </c>
      <c r="G275" s="437" t="s">
        <v>298</v>
      </c>
      <c r="H275" s="437">
        <v>2</v>
      </c>
      <c r="I275" s="492">
        <v>1424.6575342465753</v>
      </c>
      <c r="J275" s="451"/>
      <c r="K275" s="450"/>
      <c r="L275" s="451"/>
      <c r="M275" s="493"/>
      <c r="N275" s="493"/>
      <c r="O275" s="494">
        <f t="shared" si="178"/>
        <v>6.5560713410377516E-2</v>
      </c>
      <c r="P275" s="494">
        <f t="shared" si="178"/>
        <v>6.3669465351994248E-2</v>
      </c>
      <c r="Q275" s="450">
        <f t="shared" si="178"/>
        <v>45933</v>
      </c>
      <c r="R275" s="450">
        <v>46475</v>
      </c>
      <c r="S275" s="509" t="s">
        <v>146</v>
      </c>
      <c r="T275" s="510">
        <f>Tabla33[[#This Row],[Cantidad]]*Tabla33[[#This Row],[Cortes]]</f>
        <v>2849.3150684931506</v>
      </c>
      <c r="U275" s="511">
        <f t="shared" si="153"/>
        <v>2632.9203882321494</v>
      </c>
      <c r="V275" s="511">
        <f t="shared" si="154"/>
        <v>2632.4623637526397</v>
      </c>
      <c r="W275" s="497">
        <f>IF(Tabla33[[#This Row],[Fecha de operación]]=$C$1,0,U275-V275)</f>
        <v>0.45802447950973146</v>
      </c>
      <c r="X275" s="512" t="str">
        <f t="shared" si="161"/>
        <v>Vigente</v>
      </c>
      <c r="Y275" s="498" t="s">
        <v>450</v>
      </c>
      <c r="Z275" s="469">
        <f t="shared" si="162"/>
        <v>454</v>
      </c>
      <c r="AA275" s="499">
        <f t="shared" si="179"/>
        <v>2.5050531978134045</v>
      </c>
      <c r="AB275" s="499">
        <f t="shared" si="179"/>
        <v>2.4646570295215704</v>
      </c>
      <c r="AC275" s="469" t="s">
        <v>451</v>
      </c>
      <c r="AD275" s="469" t="s">
        <v>454</v>
      </c>
      <c r="AF275" s="444">
        <f>+IF(Tabla33[[#This Row],[Amortización k | cupón de intereses]]="Amortización de K",Tabla33[[#This Row],[Valor Nominal]],0)</f>
        <v>0</v>
      </c>
      <c r="AG275" s="444">
        <f>+IF(AND(Tabla33[[#This Row],[Amortización k | cupón de intereses]]="Cupón de interés",Tabla33[[#This Row],[Estado]]="Vigente"),Tabla33[[#This Row],[Valor Nominal]],0)</f>
        <v>2849.3150684931506</v>
      </c>
      <c r="AH275" s="444">
        <f>+IF(Tabla33[[#This Row],[Amortización k | cupón de intereses]]="Amortización de K",SUMIFS($AG$7:$AG$418,Tabla33[Código Emisión],Tabla33[[#This Row],[Código Emisión]],Tabla33[Fecha de operación],Tabla33[[#This Row],[Fecha de operación]]),0)-Tabla33[[#This Row],[Accrued]]*Tabla33[[#This Row],[Valor Nominal]]</f>
        <v>0</v>
      </c>
      <c r="AI275" s="444">
        <f>+IF(Tabla33[[#This Row],[Amortización k | cupón de intereses]]="Amortización de K",IF(Tabla33[[#This Row],[Precio Clean]]&gt;1,Tabla33[[#This Row],[Valor Nominal]]*(Tabla33[[#This Row],[Precio Clean]]-1),0),0)</f>
        <v>0</v>
      </c>
      <c r="AJ275" s="444">
        <f>+IF(Tabla33[[#This Row],[Amortización k | cupón de intereses]]="Amortización de K",IF(Tabla33[[#This Row],[Precio Clean]]&lt;1,Tabla33[[#This Row],[Valor Nominal]]*(Tabla33[[#This Row],[Precio Clean]]-1),0),0)</f>
        <v>0</v>
      </c>
    </row>
    <row r="276" spans="1:36">
      <c r="A276" s="502"/>
      <c r="B276" s="437" t="str">
        <f t="shared" si="175"/>
        <v>Bancop S.A.</v>
      </c>
      <c r="C276" s="437" t="str">
        <f t="shared" si="165"/>
        <v>BCO_6,50%_02102028_AA4088-91_250K</v>
      </c>
      <c r="D276" s="437" t="s">
        <v>453</v>
      </c>
      <c r="E276" s="437" t="str">
        <f t="shared" si="176"/>
        <v>AA-py</v>
      </c>
      <c r="F276" s="437" t="s">
        <v>297</v>
      </c>
      <c r="G276" s="437" t="s">
        <v>298</v>
      </c>
      <c r="H276" s="437">
        <v>2</v>
      </c>
      <c r="I276" s="492">
        <v>1335.6164383561643</v>
      </c>
      <c r="J276" s="451"/>
      <c r="K276" s="450"/>
      <c r="L276" s="451"/>
      <c r="M276" s="493"/>
      <c r="N276" s="493"/>
      <c r="O276" s="494">
        <f t="shared" si="178"/>
        <v>6.5560713410377516E-2</v>
      </c>
      <c r="P276" s="494">
        <f t="shared" si="178"/>
        <v>6.3669465351994248E-2</v>
      </c>
      <c r="Q276" s="450">
        <f t="shared" si="178"/>
        <v>45933</v>
      </c>
      <c r="R276" s="450">
        <v>46443</v>
      </c>
      <c r="S276" s="509" t="s">
        <v>146</v>
      </c>
      <c r="T276" s="510">
        <f>Tabla33[[#This Row],[Cantidad]]*Tabla33[[#This Row],[Cortes]]</f>
        <v>2671.2328767123286</v>
      </c>
      <c r="U276" s="511">
        <f t="shared" si="153"/>
        <v>2482.1431169524567</v>
      </c>
      <c r="V276" s="511">
        <f t="shared" si="154"/>
        <v>2481.7113217814781</v>
      </c>
      <c r="W276" s="497">
        <f>IF(Tabla33[[#This Row],[Fecha de operación]]=$C$1,0,U276-V276)</f>
        <v>0.43179517097860298</v>
      </c>
      <c r="X276" s="512" t="str">
        <f t="shared" si="161"/>
        <v>Vigente</v>
      </c>
      <c r="Y276" s="498" t="s">
        <v>450</v>
      </c>
      <c r="Z276" s="469">
        <f t="shared" si="162"/>
        <v>422</v>
      </c>
      <c r="AA276" s="499">
        <f t="shared" si="179"/>
        <v>2.5050531978134045</v>
      </c>
      <c r="AB276" s="499">
        <f t="shared" si="179"/>
        <v>2.4646570295215704</v>
      </c>
      <c r="AC276" s="469" t="s">
        <v>451</v>
      </c>
      <c r="AD276" s="469" t="s">
        <v>454</v>
      </c>
      <c r="AF276" s="444">
        <f>+IF(Tabla33[[#This Row],[Amortización k | cupón de intereses]]="Amortización de K",Tabla33[[#This Row],[Valor Nominal]],0)</f>
        <v>0</v>
      </c>
      <c r="AG276" s="444">
        <f>+IF(AND(Tabla33[[#This Row],[Amortización k | cupón de intereses]]="Cupón de interés",Tabla33[[#This Row],[Estado]]="Vigente"),Tabla33[[#This Row],[Valor Nominal]],0)</f>
        <v>2671.2328767123286</v>
      </c>
      <c r="AH276" s="444">
        <f>+IF(Tabla33[[#This Row],[Amortización k | cupón de intereses]]="Amortización de K",SUMIFS($AG$7:$AG$418,Tabla33[Código Emisión],Tabla33[[#This Row],[Código Emisión]],Tabla33[Fecha de operación],Tabla33[[#This Row],[Fecha de operación]]),0)-Tabla33[[#This Row],[Accrued]]*Tabla33[[#This Row],[Valor Nominal]]</f>
        <v>0</v>
      </c>
      <c r="AI276" s="444">
        <f>+IF(Tabla33[[#This Row],[Amortización k | cupón de intereses]]="Amortización de K",IF(Tabla33[[#This Row],[Precio Clean]]&gt;1,Tabla33[[#This Row],[Valor Nominal]]*(Tabla33[[#This Row],[Precio Clean]]-1),0),0)</f>
        <v>0</v>
      </c>
      <c r="AJ276" s="444">
        <f>+IF(Tabla33[[#This Row],[Amortización k | cupón de intereses]]="Amortización de K",IF(Tabla33[[#This Row],[Precio Clean]]&lt;1,Tabla33[[#This Row],[Valor Nominal]]*(Tabla33[[#This Row],[Precio Clean]]-1),0),0)</f>
        <v>0</v>
      </c>
    </row>
    <row r="277" spans="1:36">
      <c r="A277" s="502"/>
      <c r="B277" s="437" t="str">
        <f t="shared" si="175"/>
        <v>Bancop S.A.</v>
      </c>
      <c r="C277" s="437" t="str">
        <f t="shared" si="165"/>
        <v>BCO_6,50%_02102028_AA4088-91_250K</v>
      </c>
      <c r="D277" s="437" t="s">
        <v>453</v>
      </c>
      <c r="E277" s="437" t="str">
        <f t="shared" si="176"/>
        <v>AA-py</v>
      </c>
      <c r="F277" s="437" t="s">
        <v>297</v>
      </c>
      <c r="G277" s="437" t="s">
        <v>298</v>
      </c>
      <c r="H277" s="437">
        <v>2</v>
      </c>
      <c r="I277" s="492">
        <v>1291.0958904109589</v>
      </c>
      <c r="J277" s="451"/>
      <c r="K277" s="450"/>
      <c r="L277" s="451"/>
      <c r="M277" s="493"/>
      <c r="N277" s="493"/>
      <c r="O277" s="494">
        <f t="shared" si="178"/>
        <v>6.5560713410377516E-2</v>
      </c>
      <c r="P277" s="494">
        <f t="shared" si="178"/>
        <v>6.3669465351994248E-2</v>
      </c>
      <c r="Q277" s="450">
        <f t="shared" si="178"/>
        <v>45933</v>
      </c>
      <c r="R277" s="450">
        <v>46413</v>
      </c>
      <c r="S277" s="509" t="s">
        <v>146</v>
      </c>
      <c r="T277" s="510">
        <f>Tabla33[[#This Row],[Cantidad]]*Tabla33[[#This Row],[Cortes]]</f>
        <v>2582.1917808219177</v>
      </c>
      <c r="U277" s="511">
        <f t="shared" si="153"/>
        <v>2411.9609001084896</v>
      </c>
      <c r="V277" s="511">
        <f t="shared" si="154"/>
        <v>2411.5413138799022</v>
      </c>
      <c r="W277" s="497">
        <f>IF(Tabla33[[#This Row],[Fecha de operación]]=$C$1,0,U277-V277)</f>
        <v>0.41958622858737726</v>
      </c>
      <c r="X277" s="512" t="str">
        <f t="shared" si="161"/>
        <v>Vigente</v>
      </c>
      <c r="Y277" s="498" t="s">
        <v>450</v>
      </c>
      <c r="Z277" s="469">
        <f t="shared" si="162"/>
        <v>392</v>
      </c>
      <c r="AA277" s="499">
        <f t="shared" si="179"/>
        <v>2.5050531978134045</v>
      </c>
      <c r="AB277" s="499">
        <f t="shared" si="179"/>
        <v>2.4646570295215704</v>
      </c>
      <c r="AC277" s="469" t="s">
        <v>451</v>
      </c>
      <c r="AD277" s="469" t="s">
        <v>454</v>
      </c>
      <c r="AF277" s="444">
        <f>+IF(Tabla33[[#This Row],[Amortización k | cupón de intereses]]="Amortización de K",Tabla33[[#This Row],[Valor Nominal]],0)</f>
        <v>0</v>
      </c>
      <c r="AG277" s="444">
        <f>+IF(AND(Tabla33[[#This Row],[Amortización k | cupón de intereses]]="Cupón de interés",Tabla33[[#This Row],[Estado]]="Vigente"),Tabla33[[#This Row],[Valor Nominal]],0)</f>
        <v>2582.1917808219177</v>
      </c>
      <c r="AH277" s="444">
        <f>+IF(Tabla33[[#This Row],[Amortización k | cupón de intereses]]="Amortización de K",SUMIFS($AG$7:$AG$418,Tabla33[Código Emisión],Tabla33[[#This Row],[Código Emisión]],Tabla33[Fecha de operación],Tabla33[[#This Row],[Fecha de operación]]),0)-Tabla33[[#This Row],[Accrued]]*Tabla33[[#This Row],[Valor Nominal]]</f>
        <v>0</v>
      </c>
      <c r="AI277" s="444">
        <f>+IF(Tabla33[[#This Row],[Amortización k | cupón de intereses]]="Amortización de K",IF(Tabla33[[#This Row],[Precio Clean]]&gt;1,Tabla33[[#This Row],[Valor Nominal]]*(Tabla33[[#This Row],[Precio Clean]]-1),0),0)</f>
        <v>0</v>
      </c>
      <c r="AJ277" s="444">
        <f>+IF(Tabla33[[#This Row],[Amortización k | cupón de intereses]]="Amortización de K",IF(Tabla33[[#This Row],[Precio Clean]]&lt;1,Tabla33[[#This Row],[Valor Nominal]]*(Tabla33[[#This Row],[Precio Clean]]-1),0),0)</f>
        <v>0</v>
      </c>
    </row>
    <row r="278" spans="1:36">
      <c r="A278" s="502"/>
      <c r="B278" s="437" t="str">
        <f t="shared" si="175"/>
        <v>Bancop S.A.</v>
      </c>
      <c r="C278" s="437" t="str">
        <f t="shared" si="165"/>
        <v>BCO_6,50%_02102028_AA4088-91_250K</v>
      </c>
      <c r="D278" s="437" t="s">
        <v>453</v>
      </c>
      <c r="E278" s="437" t="str">
        <f t="shared" si="176"/>
        <v>AA-py</v>
      </c>
      <c r="F278" s="437" t="s">
        <v>297</v>
      </c>
      <c r="G278" s="437" t="s">
        <v>298</v>
      </c>
      <c r="H278" s="437">
        <v>2</v>
      </c>
      <c r="I278" s="492">
        <v>1380.1369863013699</v>
      </c>
      <c r="J278" s="451"/>
      <c r="K278" s="450"/>
      <c r="L278" s="451"/>
      <c r="M278" s="493"/>
      <c r="N278" s="493"/>
      <c r="O278" s="494">
        <f t="shared" si="178"/>
        <v>6.5560713410377516E-2</v>
      </c>
      <c r="P278" s="494">
        <f t="shared" si="178"/>
        <v>6.3669465351994248E-2</v>
      </c>
      <c r="Q278" s="450">
        <f t="shared" si="178"/>
        <v>45933</v>
      </c>
      <c r="R278" s="450">
        <v>46384</v>
      </c>
      <c r="S278" s="509" t="s">
        <v>146</v>
      </c>
      <c r="T278" s="510">
        <f>Tabla33[[#This Row],[Cantidad]]*Tabla33[[#This Row],[Cortes]]</f>
        <v>2760.2739726027398</v>
      </c>
      <c r="U278" s="511">
        <f t="shared" si="153"/>
        <v>2591.344206373491</v>
      </c>
      <c r="V278" s="511">
        <f t="shared" si="154"/>
        <v>2590.8934145126127</v>
      </c>
      <c r="W278" s="497">
        <f>IF(Tabla33[[#This Row],[Fecha de operación]]=$C$1,0,U278-V278)</f>
        <v>0.45079186087832568</v>
      </c>
      <c r="X278" s="512" t="str">
        <f t="shared" si="161"/>
        <v>Vigente</v>
      </c>
      <c r="Y278" s="498" t="s">
        <v>450</v>
      </c>
      <c r="Z278" s="469">
        <f t="shared" si="162"/>
        <v>363</v>
      </c>
      <c r="AA278" s="499">
        <f t="shared" si="179"/>
        <v>2.5050531978134045</v>
      </c>
      <c r="AB278" s="499">
        <f t="shared" si="179"/>
        <v>2.4646570295215704</v>
      </c>
      <c r="AC278" s="469" t="s">
        <v>451</v>
      </c>
      <c r="AD278" s="469" t="s">
        <v>454</v>
      </c>
      <c r="AF278" s="444">
        <f>+IF(Tabla33[[#This Row],[Amortización k | cupón de intereses]]="Amortización de K",Tabla33[[#This Row],[Valor Nominal]],0)</f>
        <v>0</v>
      </c>
      <c r="AG278" s="444">
        <f>+IF(AND(Tabla33[[#This Row],[Amortización k | cupón de intereses]]="Cupón de interés",Tabla33[[#This Row],[Estado]]="Vigente"),Tabla33[[#This Row],[Valor Nominal]],0)</f>
        <v>2760.2739726027398</v>
      </c>
      <c r="AH278" s="444">
        <f>+IF(Tabla33[[#This Row],[Amortización k | cupón de intereses]]="Amortización de K",SUMIFS($AG$7:$AG$418,Tabla33[Código Emisión],Tabla33[[#This Row],[Código Emisión]],Tabla33[Fecha de operación],Tabla33[[#This Row],[Fecha de operación]]),0)-Tabla33[[#This Row],[Accrued]]*Tabla33[[#This Row],[Valor Nominal]]</f>
        <v>0</v>
      </c>
      <c r="AI278" s="444">
        <f>+IF(Tabla33[[#This Row],[Amortización k | cupón de intereses]]="Amortización de K",IF(Tabla33[[#This Row],[Precio Clean]]&gt;1,Tabla33[[#This Row],[Valor Nominal]]*(Tabla33[[#This Row],[Precio Clean]]-1),0),0)</f>
        <v>0</v>
      </c>
      <c r="AJ278" s="444">
        <f>+IF(Tabla33[[#This Row],[Amortización k | cupón de intereses]]="Amortización de K",IF(Tabla33[[#This Row],[Precio Clean]]&lt;1,Tabla33[[#This Row],[Valor Nominal]]*(Tabla33[[#This Row],[Precio Clean]]-1),0),0)</f>
        <v>0</v>
      </c>
    </row>
    <row r="279" spans="1:36">
      <c r="A279" s="502"/>
      <c r="B279" s="437" t="str">
        <f t="shared" si="175"/>
        <v>Bancop S.A.</v>
      </c>
      <c r="C279" s="437" t="str">
        <f t="shared" si="165"/>
        <v>BCO_6,50%_02102028_AA4088-91_250K</v>
      </c>
      <c r="D279" s="437" t="s">
        <v>453</v>
      </c>
      <c r="E279" s="437" t="str">
        <f t="shared" si="176"/>
        <v>AA-py</v>
      </c>
      <c r="F279" s="437" t="s">
        <v>297</v>
      </c>
      <c r="G279" s="437" t="s">
        <v>298</v>
      </c>
      <c r="H279" s="437">
        <v>2</v>
      </c>
      <c r="I279" s="492">
        <v>1335.6164383561643</v>
      </c>
      <c r="J279" s="451"/>
      <c r="K279" s="450"/>
      <c r="L279" s="451"/>
      <c r="M279" s="493"/>
      <c r="N279" s="493"/>
      <c r="O279" s="494">
        <f t="shared" si="178"/>
        <v>6.5560713410377516E-2</v>
      </c>
      <c r="P279" s="494">
        <f t="shared" si="178"/>
        <v>6.3669465351994248E-2</v>
      </c>
      <c r="Q279" s="450">
        <f t="shared" si="178"/>
        <v>45933</v>
      </c>
      <c r="R279" s="450">
        <v>46353</v>
      </c>
      <c r="S279" s="509" t="s">
        <v>146</v>
      </c>
      <c r="T279" s="510">
        <f>Tabla33[[#This Row],[Cantidad]]*Tabla33[[#This Row],[Cortes]]</f>
        <v>2671.2328767123286</v>
      </c>
      <c r="U279" s="511">
        <f t="shared" si="153"/>
        <v>2521.3139273600423</v>
      </c>
      <c r="V279" s="511">
        <f t="shared" si="154"/>
        <v>2520.8753180103554</v>
      </c>
      <c r="W279" s="497">
        <f>IF(Tabla33[[#This Row],[Fecha de operación]]=$C$1,0,U279-V279)</f>
        <v>0.43860934968688525</v>
      </c>
      <c r="X279" s="512" t="str">
        <f t="shared" si="161"/>
        <v>Vigente</v>
      </c>
      <c r="Y279" s="498" t="s">
        <v>450</v>
      </c>
      <c r="Z279" s="469">
        <f t="shared" si="162"/>
        <v>332</v>
      </c>
      <c r="AA279" s="499">
        <f t="shared" si="179"/>
        <v>2.5050531978134045</v>
      </c>
      <c r="AB279" s="499">
        <f t="shared" si="179"/>
        <v>2.4646570295215704</v>
      </c>
      <c r="AC279" s="469" t="s">
        <v>451</v>
      </c>
      <c r="AD279" s="469" t="s">
        <v>454</v>
      </c>
      <c r="AF279" s="444">
        <f>+IF(Tabla33[[#This Row],[Amortización k | cupón de intereses]]="Amortización de K",Tabla33[[#This Row],[Valor Nominal]],0)</f>
        <v>0</v>
      </c>
      <c r="AG279" s="444">
        <f>+IF(AND(Tabla33[[#This Row],[Amortización k | cupón de intereses]]="Cupón de interés",Tabla33[[#This Row],[Estado]]="Vigente"),Tabla33[[#This Row],[Valor Nominal]],0)</f>
        <v>2671.2328767123286</v>
      </c>
      <c r="AH279" s="444">
        <f>+IF(Tabla33[[#This Row],[Amortización k | cupón de intereses]]="Amortización de K",SUMIFS($AG$7:$AG$418,Tabla33[Código Emisión],Tabla33[[#This Row],[Código Emisión]],Tabla33[Fecha de operación],Tabla33[[#This Row],[Fecha de operación]]),0)-Tabla33[[#This Row],[Accrued]]*Tabla33[[#This Row],[Valor Nominal]]</f>
        <v>0</v>
      </c>
      <c r="AI279" s="444">
        <f>+IF(Tabla33[[#This Row],[Amortización k | cupón de intereses]]="Amortización de K",IF(Tabla33[[#This Row],[Precio Clean]]&gt;1,Tabla33[[#This Row],[Valor Nominal]]*(Tabla33[[#This Row],[Precio Clean]]-1),0),0)</f>
        <v>0</v>
      </c>
      <c r="AJ279" s="444">
        <f>+IF(Tabla33[[#This Row],[Amortización k | cupón de intereses]]="Amortización de K",IF(Tabla33[[#This Row],[Precio Clean]]&lt;1,Tabla33[[#This Row],[Valor Nominal]]*(Tabla33[[#This Row],[Precio Clean]]-1),0),0)</f>
        <v>0</v>
      </c>
    </row>
    <row r="280" spans="1:36">
      <c r="A280" s="502"/>
      <c r="B280" s="437" t="str">
        <f t="shared" si="175"/>
        <v>Bancop S.A.</v>
      </c>
      <c r="C280" s="437" t="str">
        <f t="shared" si="165"/>
        <v>BCO_6,50%_02102028_AA4088-91_250K</v>
      </c>
      <c r="D280" s="437" t="s">
        <v>453</v>
      </c>
      <c r="E280" s="437" t="str">
        <f t="shared" si="176"/>
        <v>AA-py</v>
      </c>
      <c r="F280" s="437" t="s">
        <v>297</v>
      </c>
      <c r="G280" s="437" t="s">
        <v>298</v>
      </c>
      <c r="H280" s="437">
        <v>2</v>
      </c>
      <c r="I280" s="492">
        <v>1335.6164383561643</v>
      </c>
      <c r="J280" s="451"/>
      <c r="K280" s="450"/>
      <c r="L280" s="451"/>
      <c r="M280" s="493"/>
      <c r="N280" s="493"/>
      <c r="O280" s="494">
        <f t="shared" si="178"/>
        <v>6.5560713410377516E-2</v>
      </c>
      <c r="P280" s="494">
        <f t="shared" si="178"/>
        <v>6.3669465351994248E-2</v>
      </c>
      <c r="Q280" s="450">
        <f t="shared" si="178"/>
        <v>45933</v>
      </c>
      <c r="R280" s="450">
        <v>46323</v>
      </c>
      <c r="S280" s="509" t="s">
        <v>146</v>
      </c>
      <c r="T280" s="510">
        <f>Tabla33[[#This Row],[Cantidad]]*Tabla33[[#This Row],[Cortes]]</f>
        <v>2671.2328767123286</v>
      </c>
      <c r="U280" s="511">
        <f t="shared" si="153"/>
        <v>2534.5077536330168</v>
      </c>
      <c r="V280" s="511">
        <f t="shared" si="154"/>
        <v>2534.0668490770495</v>
      </c>
      <c r="W280" s="497">
        <f>IF(Tabla33[[#This Row],[Fecha de operación]]=$C$1,0,U280-V280)</f>
        <v>0.44090455596733591</v>
      </c>
      <c r="X280" s="512" t="str">
        <f t="shared" si="161"/>
        <v>Vigente</v>
      </c>
      <c r="Y280" s="498" t="s">
        <v>450</v>
      </c>
      <c r="Z280" s="469">
        <f t="shared" si="162"/>
        <v>302</v>
      </c>
      <c r="AA280" s="499">
        <f t="shared" si="179"/>
        <v>2.5050531978134045</v>
      </c>
      <c r="AB280" s="499">
        <f t="shared" si="179"/>
        <v>2.4646570295215704</v>
      </c>
      <c r="AC280" s="469" t="s">
        <v>451</v>
      </c>
      <c r="AD280" s="469" t="s">
        <v>454</v>
      </c>
      <c r="AF280" s="444">
        <f>+IF(Tabla33[[#This Row],[Amortización k | cupón de intereses]]="Amortización de K",Tabla33[[#This Row],[Valor Nominal]],0)</f>
        <v>0</v>
      </c>
      <c r="AG280" s="444">
        <f>+IF(AND(Tabla33[[#This Row],[Amortización k | cupón de intereses]]="Cupón de interés",Tabla33[[#This Row],[Estado]]="Vigente"),Tabla33[[#This Row],[Valor Nominal]],0)</f>
        <v>2671.2328767123286</v>
      </c>
      <c r="AH280" s="444">
        <f>+IF(Tabla33[[#This Row],[Amortización k | cupón de intereses]]="Amortización de K",SUMIFS($AG$7:$AG$418,Tabla33[Código Emisión],Tabla33[[#This Row],[Código Emisión]],Tabla33[Fecha de operación],Tabla33[[#This Row],[Fecha de operación]]),0)-Tabla33[[#This Row],[Accrued]]*Tabla33[[#This Row],[Valor Nominal]]</f>
        <v>0</v>
      </c>
      <c r="AI280" s="444">
        <f>+IF(Tabla33[[#This Row],[Amortización k | cupón de intereses]]="Amortización de K",IF(Tabla33[[#This Row],[Precio Clean]]&gt;1,Tabla33[[#This Row],[Valor Nominal]]*(Tabla33[[#This Row],[Precio Clean]]-1),0),0)</f>
        <v>0</v>
      </c>
      <c r="AJ280" s="444">
        <f>+IF(Tabla33[[#This Row],[Amortización k | cupón de intereses]]="Amortización de K",IF(Tabla33[[#This Row],[Precio Clean]]&lt;1,Tabla33[[#This Row],[Valor Nominal]]*(Tabla33[[#This Row],[Precio Clean]]-1),0),0)</f>
        <v>0</v>
      </c>
    </row>
    <row r="281" spans="1:36">
      <c r="A281" s="502"/>
      <c r="B281" s="437" t="str">
        <f t="shared" si="175"/>
        <v>Bancop S.A.</v>
      </c>
      <c r="C281" s="437" t="str">
        <f t="shared" si="175"/>
        <v>BCO_6,50%_02102028_AA4088-91_250K</v>
      </c>
      <c r="D281" s="437" t="s">
        <v>453</v>
      </c>
      <c r="E281" s="437" t="str">
        <f t="shared" si="176"/>
        <v>AA-py</v>
      </c>
      <c r="F281" s="437" t="s">
        <v>297</v>
      </c>
      <c r="G281" s="437" t="s">
        <v>298</v>
      </c>
      <c r="H281" s="437">
        <v>2</v>
      </c>
      <c r="I281" s="492">
        <v>1246.5753424657535</v>
      </c>
      <c r="J281" s="451"/>
      <c r="K281" s="450"/>
      <c r="L281" s="451"/>
      <c r="M281" s="493"/>
      <c r="N281" s="493"/>
      <c r="O281" s="494">
        <f t="shared" si="178"/>
        <v>6.5560713410377516E-2</v>
      </c>
      <c r="P281" s="494">
        <f t="shared" si="178"/>
        <v>6.3669465351994248E-2</v>
      </c>
      <c r="Q281" s="450">
        <f t="shared" si="178"/>
        <v>45933</v>
      </c>
      <c r="R281" s="450">
        <v>46293</v>
      </c>
      <c r="S281" s="509" t="s">
        <v>146</v>
      </c>
      <c r="T281" s="510">
        <f>Tabla33[[#This Row],[Cantidad]]*Tabla33[[#This Row],[Cortes]]</f>
        <v>2493.1506849315069</v>
      </c>
      <c r="U281" s="511">
        <f t="shared" si="153"/>
        <v>2377.9192472956997</v>
      </c>
      <c r="V281" s="511">
        <f t="shared" si="154"/>
        <v>2377.5055829743528</v>
      </c>
      <c r="W281" s="497">
        <f>IF(Tabla33[[#This Row],[Fecha de operación]]=$C$1,0,U281-V281)</f>
        <v>0.41366432134691422</v>
      </c>
      <c r="X281" s="512" t="str">
        <f t="shared" si="161"/>
        <v>Vigente</v>
      </c>
      <c r="Y281" s="498" t="s">
        <v>450</v>
      </c>
      <c r="Z281" s="469">
        <f t="shared" si="162"/>
        <v>272</v>
      </c>
      <c r="AA281" s="499">
        <f t="shared" si="179"/>
        <v>2.5050531978134045</v>
      </c>
      <c r="AB281" s="499">
        <f t="shared" si="179"/>
        <v>2.4646570295215704</v>
      </c>
      <c r="AC281" s="469" t="s">
        <v>451</v>
      </c>
      <c r="AD281" s="469" t="s">
        <v>454</v>
      </c>
      <c r="AF281" s="444">
        <f>+IF(Tabla33[[#This Row],[Amortización k | cupón de intereses]]="Amortización de K",Tabla33[[#This Row],[Valor Nominal]],0)</f>
        <v>0</v>
      </c>
      <c r="AG281" s="444">
        <f>+IF(AND(Tabla33[[#This Row],[Amortización k | cupón de intereses]]="Cupón de interés",Tabla33[[#This Row],[Estado]]="Vigente"),Tabla33[[#This Row],[Valor Nominal]],0)</f>
        <v>2493.1506849315069</v>
      </c>
      <c r="AH281" s="444">
        <f>+IF(Tabla33[[#This Row],[Amortización k | cupón de intereses]]="Amortización de K",SUMIFS($AG$7:$AG$418,Tabla33[Código Emisión],Tabla33[[#This Row],[Código Emisión]],Tabla33[Fecha de operación],Tabla33[[#This Row],[Fecha de operación]]),0)-Tabla33[[#This Row],[Accrued]]*Tabla33[[#This Row],[Valor Nominal]]</f>
        <v>0</v>
      </c>
      <c r="AI281" s="444">
        <f>+IF(Tabla33[[#This Row],[Amortización k | cupón de intereses]]="Amortización de K",IF(Tabla33[[#This Row],[Precio Clean]]&gt;1,Tabla33[[#This Row],[Valor Nominal]]*(Tabla33[[#This Row],[Precio Clean]]-1),0),0)</f>
        <v>0</v>
      </c>
      <c r="AJ281" s="444">
        <f>+IF(Tabla33[[#This Row],[Amortización k | cupón de intereses]]="Amortización de K",IF(Tabla33[[#This Row],[Precio Clean]]&lt;1,Tabla33[[#This Row],[Valor Nominal]]*(Tabla33[[#This Row],[Precio Clean]]-1),0),0)</f>
        <v>0</v>
      </c>
    </row>
    <row r="282" spans="1:36">
      <c r="A282" s="502"/>
      <c r="B282" s="437" t="str">
        <f t="shared" ref="B282:C292" si="180">+B281</f>
        <v>Bancop S.A.</v>
      </c>
      <c r="C282" s="437" t="str">
        <f t="shared" si="180"/>
        <v>BCO_6,50%_02102028_AA4088-91_250K</v>
      </c>
      <c r="D282" s="437" t="s">
        <v>453</v>
      </c>
      <c r="E282" s="437" t="str">
        <f t="shared" si="176"/>
        <v>AA-py</v>
      </c>
      <c r="F282" s="437" t="s">
        <v>297</v>
      </c>
      <c r="G282" s="437" t="s">
        <v>298</v>
      </c>
      <c r="H282" s="437">
        <v>2</v>
      </c>
      <c r="I282" s="492">
        <v>1424.6575342465753</v>
      </c>
      <c r="J282" s="451"/>
      <c r="K282" s="450"/>
      <c r="L282" s="451"/>
      <c r="M282" s="493"/>
      <c r="N282" s="493"/>
      <c r="O282" s="494">
        <f t="shared" si="178"/>
        <v>6.5560713410377516E-2</v>
      </c>
      <c r="P282" s="494">
        <f t="shared" si="178"/>
        <v>6.3669465351994248E-2</v>
      </c>
      <c r="Q282" s="450">
        <f t="shared" si="178"/>
        <v>45933</v>
      </c>
      <c r="R282" s="450">
        <v>46265</v>
      </c>
      <c r="S282" s="509" t="s">
        <v>146</v>
      </c>
      <c r="T282" s="510">
        <f>Tabla33[[#This Row],[Cantidad]]*Tabla33[[#This Row],[Cortes]]</f>
        <v>2849.3150684931506</v>
      </c>
      <c r="U282" s="511">
        <f t="shared" ref="U282:U345" si="181">IF(X282="VIgente",(T282/(1+O282)^((R282-$U$5)/365)))</f>
        <v>2730.8927034016392</v>
      </c>
      <c r="V282" s="511">
        <f t="shared" ref="V282:V345" si="182">IF(X282="VIgente",(T282/(1+O282)^((R282-$V$5)/365)))</f>
        <v>2730.4176355968311</v>
      </c>
      <c r="W282" s="497">
        <f>IF(Tabla33[[#This Row],[Fecha de operación]]=$C$1,0,U282-V282)</f>
        <v>0.4750678048080772</v>
      </c>
      <c r="X282" s="512" t="str">
        <f t="shared" si="161"/>
        <v>Vigente</v>
      </c>
      <c r="Y282" s="498" t="s">
        <v>450</v>
      </c>
      <c r="Z282" s="469">
        <f t="shared" si="162"/>
        <v>244</v>
      </c>
      <c r="AA282" s="499">
        <f t="shared" si="179"/>
        <v>2.5050531978134045</v>
      </c>
      <c r="AB282" s="499">
        <f t="shared" si="179"/>
        <v>2.4646570295215704</v>
      </c>
      <c r="AC282" s="469" t="s">
        <v>451</v>
      </c>
      <c r="AD282" s="469" t="s">
        <v>454</v>
      </c>
      <c r="AF282" s="444">
        <f>+IF(Tabla33[[#This Row],[Amortización k | cupón de intereses]]="Amortización de K",Tabla33[[#This Row],[Valor Nominal]],0)</f>
        <v>0</v>
      </c>
      <c r="AG282" s="444">
        <f>+IF(AND(Tabla33[[#This Row],[Amortización k | cupón de intereses]]="Cupón de interés",Tabla33[[#This Row],[Estado]]="Vigente"),Tabla33[[#This Row],[Valor Nominal]],0)</f>
        <v>2849.3150684931506</v>
      </c>
      <c r="AH282" s="444">
        <f>+IF(Tabla33[[#This Row],[Amortización k | cupón de intereses]]="Amortización de K",SUMIFS($AG$7:$AG$418,Tabla33[Código Emisión],Tabla33[[#This Row],[Código Emisión]],Tabla33[Fecha de operación],Tabla33[[#This Row],[Fecha de operación]]),0)-Tabla33[[#This Row],[Accrued]]*Tabla33[[#This Row],[Valor Nominal]]</f>
        <v>0</v>
      </c>
      <c r="AI282" s="444">
        <f>+IF(Tabla33[[#This Row],[Amortización k | cupón de intereses]]="Amortización de K",IF(Tabla33[[#This Row],[Precio Clean]]&gt;1,Tabla33[[#This Row],[Valor Nominal]]*(Tabla33[[#This Row],[Precio Clean]]-1),0),0)</f>
        <v>0</v>
      </c>
      <c r="AJ282" s="444">
        <f>+IF(Tabla33[[#This Row],[Amortización k | cupón de intereses]]="Amortización de K",IF(Tabla33[[#This Row],[Precio Clean]]&lt;1,Tabla33[[#This Row],[Valor Nominal]]*(Tabla33[[#This Row],[Precio Clean]]-1),0),0)</f>
        <v>0</v>
      </c>
    </row>
    <row r="283" spans="1:36">
      <c r="A283" s="502"/>
      <c r="B283" s="437" t="str">
        <f t="shared" si="180"/>
        <v>Bancop S.A.</v>
      </c>
      <c r="C283" s="437" t="str">
        <f t="shared" si="180"/>
        <v>BCO_6,50%_02102028_AA4088-91_250K</v>
      </c>
      <c r="D283" s="437" t="s">
        <v>453</v>
      </c>
      <c r="E283" s="437" t="str">
        <f t="shared" si="176"/>
        <v>AA-py</v>
      </c>
      <c r="F283" s="437" t="s">
        <v>297</v>
      </c>
      <c r="G283" s="437" t="s">
        <v>298</v>
      </c>
      <c r="H283" s="437">
        <v>2</v>
      </c>
      <c r="I283" s="492">
        <v>1335.6164383561643</v>
      </c>
      <c r="J283" s="451"/>
      <c r="K283" s="450"/>
      <c r="L283" s="451"/>
      <c r="M283" s="493"/>
      <c r="N283" s="493"/>
      <c r="O283" s="494">
        <f t="shared" si="178"/>
        <v>6.5560713410377516E-2</v>
      </c>
      <c r="P283" s="494">
        <f t="shared" si="178"/>
        <v>6.3669465351994248E-2</v>
      </c>
      <c r="Q283" s="450">
        <f t="shared" si="178"/>
        <v>45933</v>
      </c>
      <c r="R283" s="450">
        <v>46233</v>
      </c>
      <c r="S283" s="509" t="s">
        <v>146</v>
      </c>
      <c r="T283" s="510">
        <f>Tabla33[[#This Row],[Cantidad]]*Tabla33[[#This Row],[Cortes]]</f>
        <v>2671.2328767123286</v>
      </c>
      <c r="U283" s="511">
        <f t="shared" si="181"/>
        <v>2574.5049326901244</v>
      </c>
      <c r="V283" s="511">
        <f t="shared" si="182"/>
        <v>2574.0570701998413</v>
      </c>
      <c r="W283" s="497">
        <f>IF(Tabla33[[#This Row],[Fecha de operación]]=$C$1,0,U283-V283)</f>
        <v>0.44786249028311431</v>
      </c>
      <c r="X283" s="512" t="str">
        <f t="shared" si="161"/>
        <v>Vigente</v>
      </c>
      <c r="Y283" s="498" t="s">
        <v>450</v>
      </c>
      <c r="Z283" s="469">
        <f t="shared" si="162"/>
        <v>212</v>
      </c>
      <c r="AA283" s="499">
        <f t="shared" si="179"/>
        <v>2.5050531978134045</v>
      </c>
      <c r="AB283" s="499">
        <f t="shared" si="179"/>
        <v>2.4646570295215704</v>
      </c>
      <c r="AC283" s="469" t="s">
        <v>451</v>
      </c>
      <c r="AD283" s="469" t="s">
        <v>454</v>
      </c>
      <c r="AF283" s="444">
        <f>+IF(Tabla33[[#This Row],[Amortización k | cupón de intereses]]="Amortización de K",Tabla33[[#This Row],[Valor Nominal]],0)</f>
        <v>0</v>
      </c>
      <c r="AG283" s="444">
        <f>+IF(AND(Tabla33[[#This Row],[Amortización k | cupón de intereses]]="Cupón de interés",Tabla33[[#This Row],[Estado]]="Vigente"),Tabla33[[#This Row],[Valor Nominal]],0)</f>
        <v>2671.2328767123286</v>
      </c>
      <c r="AH283" s="444">
        <f>+IF(Tabla33[[#This Row],[Amortización k | cupón de intereses]]="Amortización de K",SUMIFS($AG$7:$AG$418,Tabla33[Código Emisión],Tabla33[[#This Row],[Código Emisión]],Tabla33[Fecha de operación],Tabla33[[#This Row],[Fecha de operación]]),0)-Tabla33[[#This Row],[Accrued]]*Tabla33[[#This Row],[Valor Nominal]]</f>
        <v>0</v>
      </c>
      <c r="AI283" s="444">
        <f>+IF(Tabla33[[#This Row],[Amortización k | cupón de intereses]]="Amortización de K",IF(Tabla33[[#This Row],[Precio Clean]]&gt;1,Tabla33[[#This Row],[Valor Nominal]]*(Tabla33[[#This Row],[Precio Clean]]-1),0),0)</f>
        <v>0</v>
      </c>
      <c r="AJ283" s="444">
        <f>+IF(Tabla33[[#This Row],[Amortización k | cupón de intereses]]="Amortización de K",IF(Tabla33[[#This Row],[Precio Clean]]&lt;1,Tabla33[[#This Row],[Valor Nominal]]*(Tabla33[[#This Row],[Precio Clean]]-1),0),0)</f>
        <v>0</v>
      </c>
    </row>
    <row r="284" spans="1:36">
      <c r="A284" s="502"/>
      <c r="B284" s="437" t="str">
        <f t="shared" si="180"/>
        <v>Bancop S.A.</v>
      </c>
      <c r="C284" s="437" t="str">
        <f t="shared" si="180"/>
        <v>BCO_6,50%_02102028_AA4088-91_250K</v>
      </c>
      <c r="D284" s="437" t="s">
        <v>453</v>
      </c>
      <c r="E284" s="437" t="str">
        <f t="shared" si="176"/>
        <v>AA-py</v>
      </c>
      <c r="F284" s="437" t="s">
        <v>297</v>
      </c>
      <c r="G284" s="437" t="s">
        <v>298</v>
      </c>
      <c r="H284" s="437">
        <v>2</v>
      </c>
      <c r="I284" s="492">
        <v>1291.0958904109589</v>
      </c>
      <c r="J284" s="451"/>
      <c r="K284" s="450"/>
      <c r="L284" s="451"/>
      <c r="M284" s="493"/>
      <c r="N284" s="493"/>
      <c r="O284" s="494">
        <f t="shared" si="178"/>
        <v>6.5560713410377516E-2</v>
      </c>
      <c r="P284" s="494">
        <f t="shared" si="178"/>
        <v>6.3669465351994248E-2</v>
      </c>
      <c r="Q284" s="450">
        <f t="shared" si="178"/>
        <v>45933</v>
      </c>
      <c r="R284" s="450">
        <v>46203</v>
      </c>
      <c r="S284" s="509" t="s">
        <v>146</v>
      </c>
      <c r="T284" s="510">
        <f>Tabla33[[#This Row],[Cantidad]]*Tabla33[[#This Row],[Cortes]]</f>
        <v>2582.1917808219177</v>
      </c>
      <c r="U284" s="511">
        <f t="shared" si="181"/>
        <v>2501.711199638276</v>
      </c>
      <c r="V284" s="511">
        <f t="shared" si="182"/>
        <v>2501.2760003913791</v>
      </c>
      <c r="W284" s="497">
        <f>IF(Tabla33[[#This Row],[Fecha de operación]]=$C$1,0,U284-V284)</f>
        <v>0.43519924689690015</v>
      </c>
      <c r="X284" s="512" t="str">
        <f t="shared" si="161"/>
        <v>Vigente</v>
      </c>
      <c r="Y284" s="498" t="s">
        <v>450</v>
      </c>
      <c r="Z284" s="469">
        <f t="shared" si="162"/>
        <v>182</v>
      </c>
      <c r="AA284" s="499">
        <f t="shared" si="179"/>
        <v>2.5050531978134045</v>
      </c>
      <c r="AB284" s="499">
        <f t="shared" si="179"/>
        <v>2.4646570295215704</v>
      </c>
      <c r="AC284" s="469" t="s">
        <v>451</v>
      </c>
      <c r="AD284" s="469" t="s">
        <v>454</v>
      </c>
      <c r="AF284" s="444">
        <f>+IF(Tabla33[[#This Row],[Amortización k | cupón de intereses]]="Amortización de K",Tabla33[[#This Row],[Valor Nominal]],0)</f>
        <v>0</v>
      </c>
      <c r="AG284" s="444">
        <f>+IF(AND(Tabla33[[#This Row],[Amortización k | cupón de intereses]]="Cupón de interés",Tabla33[[#This Row],[Estado]]="Vigente"),Tabla33[[#This Row],[Valor Nominal]],0)</f>
        <v>2582.1917808219177</v>
      </c>
      <c r="AH284" s="444">
        <f>+IF(Tabla33[[#This Row],[Amortización k | cupón de intereses]]="Amortización de K",SUMIFS($AG$7:$AG$418,Tabla33[Código Emisión],Tabla33[[#This Row],[Código Emisión]],Tabla33[Fecha de operación],Tabla33[[#This Row],[Fecha de operación]]),0)-Tabla33[[#This Row],[Accrued]]*Tabla33[[#This Row],[Valor Nominal]]</f>
        <v>0</v>
      </c>
      <c r="AI284" s="444">
        <f>+IF(Tabla33[[#This Row],[Amortización k | cupón de intereses]]="Amortización de K",IF(Tabla33[[#This Row],[Precio Clean]]&gt;1,Tabla33[[#This Row],[Valor Nominal]]*(Tabla33[[#This Row],[Precio Clean]]-1),0),0)</f>
        <v>0</v>
      </c>
      <c r="AJ284" s="444">
        <f>+IF(Tabla33[[#This Row],[Amortización k | cupón de intereses]]="Amortización de K",IF(Tabla33[[#This Row],[Precio Clean]]&lt;1,Tabla33[[#This Row],[Valor Nominal]]*(Tabla33[[#This Row],[Precio Clean]]-1),0),0)</f>
        <v>0</v>
      </c>
    </row>
    <row r="285" spans="1:36">
      <c r="A285" s="502"/>
      <c r="B285" s="437" t="str">
        <f t="shared" si="180"/>
        <v>Bancop S.A.</v>
      </c>
      <c r="C285" s="437" t="str">
        <f t="shared" si="180"/>
        <v>BCO_6,50%_02102028_AA4088-91_250K</v>
      </c>
      <c r="D285" s="437" t="s">
        <v>453</v>
      </c>
      <c r="E285" s="437" t="str">
        <f t="shared" si="176"/>
        <v>AA-py</v>
      </c>
      <c r="F285" s="437" t="s">
        <v>297</v>
      </c>
      <c r="G285" s="437" t="s">
        <v>298</v>
      </c>
      <c r="H285" s="437">
        <v>2</v>
      </c>
      <c r="I285" s="492">
        <v>1246.5753424657535</v>
      </c>
      <c r="J285" s="451"/>
      <c r="K285" s="450"/>
      <c r="L285" s="451"/>
      <c r="M285" s="493"/>
      <c r="N285" s="493"/>
      <c r="O285" s="494">
        <f t="shared" si="178"/>
        <v>6.5560713410377516E-2</v>
      </c>
      <c r="P285" s="494">
        <f t="shared" si="178"/>
        <v>6.3669465351994248E-2</v>
      </c>
      <c r="Q285" s="450">
        <f t="shared" si="178"/>
        <v>45933</v>
      </c>
      <c r="R285" s="450">
        <v>46174</v>
      </c>
      <c r="S285" s="509" t="s">
        <v>146</v>
      </c>
      <c r="T285" s="510">
        <f>Tabla33[[#This Row],[Cantidad]]*Tabla33[[#This Row],[Cortes]]</f>
        <v>2493.1506849315069</v>
      </c>
      <c r="U285" s="511">
        <f t="shared" si="181"/>
        <v>2427.662729517664</v>
      </c>
      <c r="V285" s="511">
        <f t="shared" si="182"/>
        <v>2427.2404117889996</v>
      </c>
      <c r="W285" s="497">
        <f>IF(Tabla33[[#This Row],[Fecha de operación]]=$C$1,0,U285-V285)</f>
        <v>0.42231772866443862</v>
      </c>
      <c r="X285" s="512" t="str">
        <f t="shared" si="161"/>
        <v>Vigente</v>
      </c>
      <c r="Y285" s="498" t="s">
        <v>450</v>
      </c>
      <c r="Z285" s="469">
        <f t="shared" si="162"/>
        <v>153</v>
      </c>
      <c r="AA285" s="499">
        <f t="shared" si="179"/>
        <v>2.5050531978134045</v>
      </c>
      <c r="AB285" s="499">
        <f t="shared" si="179"/>
        <v>2.4646570295215704</v>
      </c>
      <c r="AC285" s="469" t="s">
        <v>451</v>
      </c>
      <c r="AD285" s="469" t="s">
        <v>454</v>
      </c>
      <c r="AF285" s="444">
        <f>+IF(Tabla33[[#This Row],[Amortización k | cupón de intereses]]="Amortización de K",Tabla33[[#This Row],[Valor Nominal]],0)</f>
        <v>0</v>
      </c>
      <c r="AG285" s="444">
        <f>+IF(AND(Tabla33[[#This Row],[Amortización k | cupón de intereses]]="Cupón de interés",Tabla33[[#This Row],[Estado]]="Vigente"),Tabla33[[#This Row],[Valor Nominal]],0)</f>
        <v>2493.1506849315069</v>
      </c>
      <c r="AH285" s="444">
        <f>+IF(Tabla33[[#This Row],[Amortización k | cupón de intereses]]="Amortización de K",SUMIFS($AG$7:$AG$418,Tabla33[Código Emisión],Tabla33[[#This Row],[Código Emisión]],Tabla33[Fecha de operación],Tabla33[[#This Row],[Fecha de operación]]),0)-Tabla33[[#This Row],[Accrued]]*Tabla33[[#This Row],[Valor Nominal]]</f>
        <v>0</v>
      </c>
      <c r="AI285" s="444">
        <f>+IF(Tabla33[[#This Row],[Amortización k | cupón de intereses]]="Amortización de K",IF(Tabla33[[#This Row],[Precio Clean]]&gt;1,Tabla33[[#This Row],[Valor Nominal]]*(Tabla33[[#This Row],[Precio Clean]]-1),0),0)</f>
        <v>0</v>
      </c>
      <c r="AJ285" s="444">
        <f>+IF(Tabla33[[#This Row],[Amortización k | cupón de intereses]]="Amortización de K",IF(Tabla33[[#This Row],[Precio Clean]]&lt;1,Tabla33[[#This Row],[Valor Nominal]]*(Tabla33[[#This Row],[Precio Clean]]-1),0),0)</f>
        <v>0</v>
      </c>
    </row>
    <row r="286" spans="1:36">
      <c r="A286" s="502"/>
      <c r="B286" s="437" t="str">
        <f t="shared" si="180"/>
        <v>Bancop S.A.</v>
      </c>
      <c r="C286" s="437" t="str">
        <f t="shared" si="180"/>
        <v>BCO_6,50%_02102028_AA4088-91_250K</v>
      </c>
      <c r="D286" s="437" t="s">
        <v>453</v>
      </c>
      <c r="E286" s="437" t="str">
        <f t="shared" si="176"/>
        <v>AA-py</v>
      </c>
      <c r="F286" s="437" t="s">
        <v>297</v>
      </c>
      <c r="G286" s="437" t="s">
        <v>298</v>
      </c>
      <c r="H286" s="437">
        <v>2</v>
      </c>
      <c r="I286" s="492">
        <v>1469.1780821917807</v>
      </c>
      <c r="J286" s="451"/>
      <c r="K286" s="450"/>
      <c r="L286" s="451"/>
      <c r="M286" s="493"/>
      <c r="N286" s="493"/>
      <c r="O286" s="494">
        <f t="shared" si="178"/>
        <v>6.5560713410377516E-2</v>
      </c>
      <c r="P286" s="494">
        <f t="shared" si="178"/>
        <v>6.3669465351994248E-2</v>
      </c>
      <c r="Q286" s="450">
        <f t="shared" si="178"/>
        <v>45933</v>
      </c>
      <c r="R286" s="450">
        <v>46146</v>
      </c>
      <c r="S286" s="509" t="s">
        <v>146</v>
      </c>
      <c r="T286" s="510">
        <f>Tabla33[[#This Row],[Cantidad]]*Tabla33[[#This Row],[Cortes]]</f>
        <v>2938.3561643835615</v>
      </c>
      <c r="U286" s="511">
        <f t="shared" si="181"/>
        <v>2875.1456312946284</v>
      </c>
      <c r="V286" s="511">
        <f t="shared" si="182"/>
        <v>2874.6454691601507</v>
      </c>
      <c r="W286" s="497">
        <f>IF(Tabla33[[#This Row],[Fecha de operación]]=$C$1,0,U286-V286)</f>
        <v>0.50016213447770497</v>
      </c>
      <c r="X286" s="512" t="str">
        <f t="shared" si="161"/>
        <v>Vigente</v>
      </c>
      <c r="Y286" s="498" t="s">
        <v>450</v>
      </c>
      <c r="Z286" s="469">
        <f t="shared" si="162"/>
        <v>125</v>
      </c>
      <c r="AA286" s="499">
        <f t="shared" si="179"/>
        <v>2.5050531978134045</v>
      </c>
      <c r="AB286" s="499">
        <f t="shared" si="179"/>
        <v>2.4646570295215704</v>
      </c>
      <c r="AC286" s="469" t="s">
        <v>451</v>
      </c>
      <c r="AD286" s="469" t="s">
        <v>454</v>
      </c>
      <c r="AF286" s="444">
        <f>+IF(Tabla33[[#This Row],[Amortización k | cupón de intereses]]="Amortización de K",Tabla33[[#This Row],[Valor Nominal]],0)</f>
        <v>0</v>
      </c>
      <c r="AG286" s="444">
        <f>+IF(AND(Tabla33[[#This Row],[Amortización k | cupón de intereses]]="Cupón de interés",Tabla33[[#This Row],[Estado]]="Vigente"),Tabla33[[#This Row],[Valor Nominal]],0)</f>
        <v>2938.3561643835615</v>
      </c>
      <c r="AH286" s="444">
        <f>+IF(Tabla33[[#This Row],[Amortización k | cupón de intereses]]="Amortización de K",SUMIFS($AG$7:$AG$418,Tabla33[Código Emisión],Tabla33[[#This Row],[Código Emisión]],Tabla33[Fecha de operación],Tabla33[[#This Row],[Fecha de operación]]),0)-Tabla33[[#This Row],[Accrued]]*Tabla33[[#This Row],[Valor Nominal]]</f>
        <v>0</v>
      </c>
      <c r="AI286" s="444">
        <f>+IF(Tabla33[[#This Row],[Amortización k | cupón de intereses]]="Amortización de K",IF(Tabla33[[#This Row],[Precio Clean]]&gt;1,Tabla33[[#This Row],[Valor Nominal]]*(Tabla33[[#This Row],[Precio Clean]]-1),0),0)</f>
        <v>0</v>
      </c>
      <c r="AJ286" s="444">
        <f>+IF(Tabla33[[#This Row],[Amortización k | cupón de intereses]]="Amortización de K",IF(Tabla33[[#This Row],[Precio Clean]]&lt;1,Tabla33[[#This Row],[Valor Nominal]]*(Tabla33[[#This Row],[Precio Clean]]-1),0),0)</f>
        <v>0</v>
      </c>
    </row>
    <row r="287" spans="1:36">
      <c r="A287" s="502"/>
      <c r="B287" s="437" t="str">
        <f t="shared" si="180"/>
        <v>Bancop S.A.</v>
      </c>
      <c r="C287" s="437" t="str">
        <f t="shared" si="180"/>
        <v>BCO_6,50%_02102028_AA4088-91_250K</v>
      </c>
      <c r="D287" s="437" t="s">
        <v>453</v>
      </c>
      <c r="E287" s="437" t="str">
        <f t="shared" si="176"/>
        <v>AA-py</v>
      </c>
      <c r="F287" s="437" t="s">
        <v>297</v>
      </c>
      <c r="G287" s="437" t="s">
        <v>298</v>
      </c>
      <c r="H287" s="437">
        <v>2</v>
      </c>
      <c r="I287" s="492">
        <v>1335.6164383561643</v>
      </c>
      <c r="J287" s="451"/>
      <c r="K287" s="450"/>
      <c r="L287" s="451"/>
      <c r="M287" s="493"/>
      <c r="N287" s="493"/>
      <c r="O287" s="494">
        <f t="shared" si="178"/>
        <v>6.5560713410377516E-2</v>
      </c>
      <c r="P287" s="494">
        <f t="shared" si="178"/>
        <v>6.3669465351994248E-2</v>
      </c>
      <c r="Q287" s="450">
        <f t="shared" si="178"/>
        <v>45933</v>
      </c>
      <c r="R287" s="450">
        <v>46113</v>
      </c>
      <c r="S287" s="509" t="s">
        <v>146</v>
      </c>
      <c r="T287" s="510">
        <f>Tabla33[[#This Row],[Cantidad]]*Tabla33[[#This Row],[Cortes]]</f>
        <v>2671.2328767123286</v>
      </c>
      <c r="U287" s="511">
        <f t="shared" si="181"/>
        <v>2628.8180843016844</v>
      </c>
      <c r="V287" s="511">
        <f t="shared" si="182"/>
        <v>2628.3607734615352</v>
      </c>
      <c r="W287" s="497">
        <f>IF(Tabla33[[#This Row],[Fecha de operación]]=$C$1,0,U287-V287)</f>
        <v>0.45731084014914813</v>
      </c>
      <c r="X287" s="512" t="str">
        <f t="shared" si="161"/>
        <v>Vigente</v>
      </c>
      <c r="Y287" s="498" t="s">
        <v>450</v>
      </c>
      <c r="Z287" s="469">
        <f t="shared" si="162"/>
        <v>92</v>
      </c>
      <c r="AA287" s="499">
        <f t="shared" si="179"/>
        <v>2.5050531978134045</v>
      </c>
      <c r="AB287" s="499">
        <f t="shared" si="179"/>
        <v>2.4646570295215704</v>
      </c>
      <c r="AC287" s="469" t="s">
        <v>451</v>
      </c>
      <c r="AD287" s="469" t="s">
        <v>454</v>
      </c>
      <c r="AF287" s="444">
        <f>+IF(Tabla33[[#This Row],[Amortización k | cupón de intereses]]="Amortización de K",Tabla33[[#This Row],[Valor Nominal]],0)</f>
        <v>0</v>
      </c>
      <c r="AG287" s="444">
        <f>+IF(AND(Tabla33[[#This Row],[Amortización k | cupón de intereses]]="Cupón de interés",Tabla33[[#This Row],[Estado]]="Vigente"),Tabla33[[#This Row],[Valor Nominal]],0)</f>
        <v>2671.2328767123286</v>
      </c>
      <c r="AH287" s="444">
        <f>+IF(Tabla33[[#This Row],[Amortización k | cupón de intereses]]="Amortización de K",SUMIFS($AG$7:$AG$418,Tabla33[Código Emisión],Tabla33[[#This Row],[Código Emisión]],Tabla33[Fecha de operación],Tabla33[[#This Row],[Fecha de operación]]),0)-Tabla33[[#This Row],[Accrued]]*Tabla33[[#This Row],[Valor Nominal]]</f>
        <v>0</v>
      </c>
      <c r="AI287" s="444">
        <f>+IF(Tabla33[[#This Row],[Amortización k | cupón de intereses]]="Amortización de K",IF(Tabla33[[#This Row],[Precio Clean]]&gt;1,Tabla33[[#This Row],[Valor Nominal]]*(Tabla33[[#This Row],[Precio Clean]]-1),0),0)</f>
        <v>0</v>
      </c>
      <c r="AJ287" s="444">
        <f>+IF(Tabla33[[#This Row],[Amortización k | cupón de intereses]]="Amortización de K",IF(Tabla33[[#This Row],[Precio Clean]]&lt;1,Tabla33[[#This Row],[Valor Nominal]]*(Tabla33[[#This Row],[Precio Clean]]-1),0),0)</f>
        <v>0</v>
      </c>
    </row>
    <row r="288" spans="1:36">
      <c r="A288" s="502"/>
      <c r="B288" s="437" t="str">
        <f t="shared" si="180"/>
        <v>Bancop S.A.</v>
      </c>
      <c r="C288" s="437" t="str">
        <f t="shared" si="180"/>
        <v>BCO_6,50%_02102028_AA4088-91_250K</v>
      </c>
      <c r="D288" s="437" t="s">
        <v>453</v>
      </c>
      <c r="E288" s="437" t="str">
        <f t="shared" si="176"/>
        <v>AA-py</v>
      </c>
      <c r="F288" s="437" t="s">
        <v>297</v>
      </c>
      <c r="G288" s="437" t="s">
        <v>298</v>
      </c>
      <c r="H288" s="437">
        <v>2</v>
      </c>
      <c r="I288" s="492">
        <v>1246.5753424657535</v>
      </c>
      <c r="J288" s="451"/>
      <c r="K288" s="450"/>
      <c r="L288" s="451"/>
      <c r="M288" s="493"/>
      <c r="N288" s="493"/>
      <c r="O288" s="494">
        <f t="shared" si="178"/>
        <v>6.5560713410377516E-2</v>
      </c>
      <c r="P288" s="494">
        <f t="shared" si="178"/>
        <v>6.3669465351994248E-2</v>
      </c>
      <c r="Q288" s="450">
        <f t="shared" si="178"/>
        <v>45933</v>
      </c>
      <c r="R288" s="450">
        <v>46083</v>
      </c>
      <c r="S288" s="509" t="s">
        <v>146</v>
      </c>
      <c r="T288" s="510">
        <f>Tabla33[[#This Row],[Cantidad]]*Tabla33[[#This Row],[Cortes]]</f>
        <v>2493.1506849315069</v>
      </c>
      <c r="U288" s="511">
        <f t="shared" si="181"/>
        <v>2466.4028395018722</v>
      </c>
      <c r="V288" s="511">
        <f t="shared" si="182"/>
        <v>2465.9737825194152</v>
      </c>
      <c r="W288" s="497">
        <f>IF(Tabla33[[#This Row],[Fecha de operación]]=$C$1,0,U288-V288)</f>
        <v>0.42905698245704116</v>
      </c>
      <c r="X288" s="512" t="str">
        <f t="shared" si="161"/>
        <v>Vigente</v>
      </c>
      <c r="Y288" s="498" t="s">
        <v>450</v>
      </c>
      <c r="Z288" s="469">
        <f t="shared" si="162"/>
        <v>62</v>
      </c>
      <c r="AA288" s="499">
        <f t="shared" si="179"/>
        <v>2.5050531978134045</v>
      </c>
      <c r="AB288" s="499">
        <f t="shared" si="179"/>
        <v>2.4646570295215704</v>
      </c>
      <c r="AC288" s="469" t="s">
        <v>451</v>
      </c>
      <c r="AD288" s="469" t="s">
        <v>454</v>
      </c>
      <c r="AF288" s="444">
        <f>+IF(Tabla33[[#This Row],[Amortización k | cupón de intereses]]="Amortización de K",Tabla33[[#This Row],[Valor Nominal]],0)</f>
        <v>0</v>
      </c>
      <c r="AG288" s="444">
        <f>+IF(AND(Tabla33[[#This Row],[Amortización k | cupón de intereses]]="Cupón de interés",Tabla33[[#This Row],[Estado]]="Vigente"),Tabla33[[#This Row],[Valor Nominal]],0)</f>
        <v>2493.1506849315069</v>
      </c>
      <c r="AH288" s="444">
        <f>+IF(Tabla33[[#This Row],[Amortización k | cupón de intereses]]="Amortización de K",SUMIFS($AG$7:$AG$418,Tabla33[Código Emisión],Tabla33[[#This Row],[Código Emisión]],Tabla33[Fecha de operación],Tabla33[[#This Row],[Fecha de operación]]),0)-Tabla33[[#This Row],[Accrued]]*Tabla33[[#This Row],[Valor Nominal]]</f>
        <v>0</v>
      </c>
      <c r="AI288" s="444">
        <f>+IF(Tabla33[[#This Row],[Amortización k | cupón de intereses]]="Amortización de K",IF(Tabla33[[#This Row],[Precio Clean]]&gt;1,Tabla33[[#This Row],[Valor Nominal]]*(Tabla33[[#This Row],[Precio Clean]]-1),0),0)</f>
        <v>0</v>
      </c>
      <c r="AJ288" s="444">
        <f>+IF(Tabla33[[#This Row],[Amortización k | cupón de intereses]]="Amortización de K",IF(Tabla33[[#This Row],[Precio Clean]]&lt;1,Tabla33[[#This Row],[Valor Nominal]]*(Tabla33[[#This Row],[Precio Clean]]-1),0),0)</f>
        <v>0</v>
      </c>
    </row>
    <row r="289" spans="1:36">
      <c r="A289" s="502"/>
      <c r="B289" s="437" t="str">
        <f t="shared" si="180"/>
        <v>Bancop S.A.</v>
      </c>
      <c r="C289" s="437" t="str">
        <f t="shared" si="180"/>
        <v>BCO_6,50%_02102028_AA4088-91_250K</v>
      </c>
      <c r="D289" s="437" t="s">
        <v>453</v>
      </c>
      <c r="E289" s="437" t="str">
        <f t="shared" si="176"/>
        <v>AA-py</v>
      </c>
      <c r="F289" s="437" t="s">
        <v>297</v>
      </c>
      <c r="G289" s="437" t="s">
        <v>298</v>
      </c>
      <c r="H289" s="437">
        <v>2</v>
      </c>
      <c r="I289" s="492">
        <v>1380.1369863013699</v>
      </c>
      <c r="J289" s="451"/>
      <c r="K289" s="450"/>
      <c r="L289" s="451"/>
      <c r="M289" s="493"/>
      <c r="N289" s="493"/>
      <c r="O289" s="494">
        <f t="shared" ref="O289:Q292" si="183">+O288</f>
        <v>6.5560713410377516E-2</v>
      </c>
      <c r="P289" s="494">
        <f t="shared" si="183"/>
        <v>6.3669465351994248E-2</v>
      </c>
      <c r="Q289" s="450">
        <f t="shared" si="183"/>
        <v>45933</v>
      </c>
      <c r="R289" s="450">
        <v>46055</v>
      </c>
      <c r="S289" s="509" t="s">
        <v>146</v>
      </c>
      <c r="T289" s="510">
        <f>Tabla33[[#This Row],[Cantidad]]*Tabla33[[#This Row],[Cortes]]</f>
        <v>2760.2739726027398</v>
      </c>
      <c r="U289" s="511">
        <f t="shared" si="181"/>
        <v>2743.9946617306014</v>
      </c>
      <c r="V289" s="511">
        <f t="shared" si="182"/>
        <v>2743.5173147009173</v>
      </c>
      <c r="W289" s="497">
        <f>IF(Tabla33[[#This Row],[Fecha de operación]]=$C$1,0,U289-V289)</f>
        <v>0.47734702968409692</v>
      </c>
      <c r="X289" s="512" t="str">
        <f t="shared" si="161"/>
        <v>Vigente</v>
      </c>
      <c r="Y289" s="498" t="s">
        <v>450</v>
      </c>
      <c r="Z289" s="469">
        <f t="shared" si="162"/>
        <v>34</v>
      </c>
      <c r="AA289" s="499">
        <f t="shared" si="179"/>
        <v>2.5050531978134045</v>
      </c>
      <c r="AB289" s="499">
        <f t="shared" si="179"/>
        <v>2.4646570295215704</v>
      </c>
      <c r="AC289" s="469" t="s">
        <v>451</v>
      </c>
      <c r="AD289" s="469" t="s">
        <v>454</v>
      </c>
      <c r="AF289" s="444">
        <f>+IF(Tabla33[[#This Row],[Amortización k | cupón de intereses]]="Amortización de K",Tabla33[[#This Row],[Valor Nominal]],0)</f>
        <v>0</v>
      </c>
      <c r="AG289" s="444">
        <f>+IF(AND(Tabla33[[#This Row],[Amortización k | cupón de intereses]]="Cupón de interés",Tabla33[[#This Row],[Estado]]="Vigente"),Tabla33[[#This Row],[Valor Nominal]],0)</f>
        <v>2760.2739726027398</v>
      </c>
      <c r="AH289" s="444">
        <f>+IF(Tabla33[[#This Row],[Amortización k | cupón de intereses]]="Amortización de K",SUMIFS($AG$7:$AG$418,Tabla33[Código Emisión],Tabla33[[#This Row],[Código Emisión]],Tabla33[Fecha de operación],Tabla33[[#This Row],[Fecha de operación]]),0)-Tabla33[[#This Row],[Accrued]]*Tabla33[[#This Row],[Valor Nominal]]</f>
        <v>0</v>
      </c>
      <c r="AI289" s="444">
        <f>+IF(Tabla33[[#This Row],[Amortización k | cupón de intereses]]="Amortización de K",IF(Tabla33[[#This Row],[Precio Clean]]&gt;1,Tabla33[[#This Row],[Valor Nominal]]*(Tabla33[[#This Row],[Precio Clean]]-1),0),0)</f>
        <v>0</v>
      </c>
      <c r="AJ289" s="444">
        <f>+IF(Tabla33[[#This Row],[Amortización k | cupón de intereses]]="Amortización de K",IF(Tabla33[[#This Row],[Precio Clean]]&lt;1,Tabla33[[#This Row],[Valor Nominal]]*(Tabla33[[#This Row],[Precio Clean]]-1),0),0)</f>
        <v>0</v>
      </c>
    </row>
    <row r="290" spans="1:36">
      <c r="A290" s="502"/>
      <c r="B290" s="437" t="str">
        <f t="shared" si="180"/>
        <v>Bancop S.A.</v>
      </c>
      <c r="C290" s="437" t="str">
        <f t="shared" si="180"/>
        <v>BCO_6,50%_02102028_AA4088-91_250K</v>
      </c>
      <c r="D290" s="437" t="s">
        <v>453</v>
      </c>
      <c r="E290" s="437" t="str">
        <f t="shared" si="176"/>
        <v>AA-py</v>
      </c>
      <c r="F290" s="437" t="s">
        <v>297</v>
      </c>
      <c r="G290" s="437" t="s">
        <v>298</v>
      </c>
      <c r="H290" s="437">
        <v>2</v>
      </c>
      <c r="I290" s="492">
        <v>1380.1369863013699</v>
      </c>
      <c r="J290" s="451"/>
      <c r="K290" s="450"/>
      <c r="L290" s="451"/>
      <c r="M290" s="493"/>
      <c r="N290" s="493"/>
      <c r="O290" s="494">
        <f t="shared" si="183"/>
        <v>6.5560713410377516E-2</v>
      </c>
      <c r="P290" s="494">
        <f t="shared" si="183"/>
        <v>6.3669465351994248E-2</v>
      </c>
      <c r="Q290" s="450">
        <f t="shared" si="183"/>
        <v>45933</v>
      </c>
      <c r="R290" s="450">
        <v>46024</v>
      </c>
      <c r="S290" s="509" t="s">
        <v>146</v>
      </c>
      <c r="T290" s="510">
        <f>Tabla33[[#This Row],[Cantidad]]*Tabla33[[#This Row],[Cortes]]</f>
        <v>2760.2739726027398</v>
      </c>
      <c r="U290" s="511">
        <f t="shared" si="181"/>
        <v>2758.8336862185288</v>
      </c>
      <c r="V290" s="511">
        <f t="shared" si="182"/>
        <v>2758.3537577828524</v>
      </c>
      <c r="W290" s="497">
        <f>IF(Tabla33[[#This Row],[Fecha de operación]]=$C$1,0,U290-V290)</f>
        <v>0.47992843567635646</v>
      </c>
      <c r="X290" s="512" t="str">
        <f t="shared" si="161"/>
        <v>Vigente</v>
      </c>
      <c r="Y290" s="498" t="s">
        <v>450</v>
      </c>
      <c r="Z290" s="469">
        <f t="shared" si="162"/>
        <v>3</v>
      </c>
      <c r="AA290" s="499">
        <f t="shared" ref="AA290:AB292" si="184">+AA289</f>
        <v>2.5050531978134045</v>
      </c>
      <c r="AB290" s="499">
        <f t="shared" si="184"/>
        <v>2.4646570295215704</v>
      </c>
      <c r="AC290" s="469" t="s">
        <v>451</v>
      </c>
      <c r="AD290" s="469" t="s">
        <v>454</v>
      </c>
      <c r="AF290" s="444">
        <f>+IF(Tabla33[[#This Row],[Amortización k | cupón de intereses]]="Amortización de K",Tabla33[[#This Row],[Valor Nominal]],0)</f>
        <v>0</v>
      </c>
      <c r="AG290" s="444">
        <f>+IF(AND(Tabla33[[#This Row],[Amortización k | cupón de intereses]]="Cupón de interés",Tabla33[[#This Row],[Estado]]="Vigente"),Tabla33[[#This Row],[Valor Nominal]],0)</f>
        <v>2760.2739726027398</v>
      </c>
      <c r="AH290" s="444">
        <f>+IF(Tabla33[[#This Row],[Amortización k | cupón de intereses]]="Amortización de K",SUMIFS($AG$7:$AG$418,Tabla33[Código Emisión],Tabla33[[#This Row],[Código Emisión]],Tabla33[Fecha de operación],Tabla33[[#This Row],[Fecha de operación]]),0)-Tabla33[[#This Row],[Accrued]]*Tabla33[[#This Row],[Valor Nominal]]</f>
        <v>0</v>
      </c>
      <c r="AI290" s="444">
        <f>+IF(Tabla33[[#This Row],[Amortización k | cupón de intereses]]="Amortización de K",IF(Tabla33[[#This Row],[Precio Clean]]&gt;1,Tabla33[[#This Row],[Valor Nominal]]*(Tabla33[[#This Row],[Precio Clean]]-1),0),0)</f>
        <v>0</v>
      </c>
      <c r="AJ290" s="444">
        <f>+IF(Tabla33[[#This Row],[Amortización k | cupón de intereses]]="Amortización de K",IF(Tabla33[[#This Row],[Precio Clean]]&lt;1,Tabla33[[#This Row],[Valor Nominal]]*(Tabla33[[#This Row],[Precio Clean]]-1),0),0)</f>
        <v>0</v>
      </c>
    </row>
    <row r="291" spans="1:36">
      <c r="A291" s="502"/>
      <c r="B291" s="437" t="str">
        <f t="shared" si="180"/>
        <v>Bancop S.A.</v>
      </c>
      <c r="C291" s="437" t="str">
        <f t="shared" si="180"/>
        <v>BCO_6,50%_02102028_AA4088-91_250K</v>
      </c>
      <c r="D291" s="437" t="s">
        <v>453</v>
      </c>
      <c r="E291" s="437" t="str">
        <f t="shared" si="176"/>
        <v>AA-py</v>
      </c>
      <c r="F291" s="437" t="s">
        <v>297</v>
      </c>
      <c r="G291" s="437" t="s">
        <v>298</v>
      </c>
      <c r="H291" s="437">
        <v>2</v>
      </c>
      <c r="I291" s="492">
        <v>1291.0958904109589</v>
      </c>
      <c r="J291" s="451"/>
      <c r="K291" s="450"/>
      <c r="L291" s="451"/>
      <c r="M291" s="493"/>
      <c r="N291" s="493"/>
      <c r="O291" s="494">
        <f t="shared" si="183"/>
        <v>6.5560713410377516E-2</v>
      </c>
      <c r="P291" s="494">
        <f t="shared" si="183"/>
        <v>6.3669465351994248E-2</v>
      </c>
      <c r="Q291" s="450">
        <f t="shared" si="183"/>
        <v>45933</v>
      </c>
      <c r="R291" s="450">
        <v>45993</v>
      </c>
      <c r="S291" s="509" t="s">
        <v>146</v>
      </c>
      <c r="T291" s="510">
        <f>Tabla33[[#This Row],[Cantidad]]*Tabla33[[#This Row],[Cortes]]</f>
        <v>2582.1917808219177</v>
      </c>
      <c r="U291" s="511" t="b">
        <f t="shared" si="181"/>
        <v>0</v>
      </c>
      <c r="V291" s="511" t="b">
        <f t="shared" si="182"/>
        <v>0</v>
      </c>
      <c r="W291" s="497">
        <f>IF(Tabla33[[#This Row],[Fecha de operación]]=$C$1,0,U291-V291)</f>
        <v>0</v>
      </c>
      <c r="X291" s="512" t="str">
        <f t="shared" si="161"/>
        <v>Vencido</v>
      </c>
      <c r="Y291" s="498" t="s">
        <v>450</v>
      </c>
      <c r="Z291" s="469">
        <f t="shared" si="162"/>
        <v>-28</v>
      </c>
      <c r="AA291" s="499">
        <f t="shared" si="184"/>
        <v>2.5050531978134045</v>
      </c>
      <c r="AB291" s="499">
        <f t="shared" si="184"/>
        <v>2.4646570295215704</v>
      </c>
      <c r="AC291" s="469" t="s">
        <v>451</v>
      </c>
      <c r="AD291" s="469" t="s">
        <v>454</v>
      </c>
      <c r="AF291" s="444">
        <f>+IF(Tabla33[[#This Row],[Amortización k | cupón de intereses]]="Amortización de K",Tabla33[[#This Row],[Valor Nominal]],0)</f>
        <v>0</v>
      </c>
      <c r="AG291" s="444">
        <f>+IF(AND(Tabla33[[#This Row],[Amortización k | cupón de intereses]]="Cupón de interés",Tabla33[[#This Row],[Estado]]="Vigente"),Tabla33[[#This Row],[Valor Nominal]],0)</f>
        <v>0</v>
      </c>
      <c r="AH291" s="444">
        <f>+IF(Tabla33[[#This Row],[Amortización k | cupón de intereses]]="Amortización de K",SUMIFS($AG$7:$AG$418,Tabla33[Código Emisión],Tabla33[[#This Row],[Código Emisión]],Tabla33[Fecha de operación],Tabla33[[#This Row],[Fecha de operación]]),0)-Tabla33[[#This Row],[Accrued]]*Tabla33[[#This Row],[Valor Nominal]]</f>
        <v>0</v>
      </c>
      <c r="AI291" s="444">
        <f>+IF(Tabla33[[#This Row],[Amortización k | cupón de intereses]]="Amortización de K",IF(Tabla33[[#This Row],[Precio Clean]]&gt;1,Tabla33[[#This Row],[Valor Nominal]]*(Tabla33[[#This Row],[Precio Clean]]-1),0),0)</f>
        <v>0</v>
      </c>
      <c r="AJ291" s="444">
        <f>+IF(Tabla33[[#This Row],[Amortización k | cupón de intereses]]="Amortización de K",IF(Tabla33[[#This Row],[Precio Clean]]&lt;1,Tabla33[[#This Row],[Valor Nominal]]*(Tabla33[[#This Row],[Precio Clean]]-1),0),0)</f>
        <v>0</v>
      </c>
    </row>
    <row r="292" spans="1:36">
      <c r="A292" s="502"/>
      <c r="B292" s="437" t="str">
        <f t="shared" si="180"/>
        <v>Bancop S.A.</v>
      </c>
      <c r="C292" s="437" t="str">
        <f t="shared" si="180"/>
        <v>BCO_6,50%_02102028_AA4088-91_250K</v>
      </c>
      <c r="D292" s="437" t="s">
        <v>453</v>
      </c>
      <c r="E292" s="437" t="str">
        <f t="shared" si="176"/>
        <v>AA-py</v>
      </c>
      <c r="F292" s="437" t="s">
        <v>297</v>
      </c>
      <c r="G292" s="437" t="s">
        <v>298</v>
      </c>
      <c r="H292" s="437">
        <v>2</v>
      </c>
      <c r="I292" s="492">
        <v>1380.1369863013699</v>
      </c>
      <c r="J292" s="451"/>
      <c r="K292" s="450"/>
      <c r="L292" s="451"/>
      <c r="M292" s="493"/>
      <c r="N292" s="493"/>
      <c r="O292" s="494">
        <f t="shared" si="183"/>
        <v>6.5560713410377516E-2</v>
      </c>
      <c r="P292" s="494">
        <f t="shared" si="183"/>
        <v>6.3669465351994248E-2</v>
      </c>
      <c r="Q292" s="450">
        <f t="shared" si="183"/>
        <v>45933</v>
      </c>
      <c r="R292" s="450">
        <v>45964</v>
      </c>
      <c r="S292" s="509" t="s">
        <v>146</v>
      </c>
      <c r="T292" s="510">
        <f>Tabla33[[#This Row],[Cantidad]]*Tabla33[[#This Row],[Cortes]]</f>
        <v>2760.2739726027398</v>
      </c>
      <c r="U292" s="511" t="b">
        <f t="shared" si="181"/>
        <v>0</v>
      </c>
      <c r="V292" s="511" t="b">
        <f t="shared" si="182"/>
        <v>0</v>
      </c>
      <c r="W292" s="497">
        <f>IF(Tabla33[[#This Row],[Fecha de operación]]=$C$1,0,U292-V292)</f>
        <v>0</v>
      </c>
      <c r="X292" s="512" t="str">
        <f t="shared" si="161"/>
        <v>Vencido</v>
      </c>
      <c r="Y292" s="498" t="s">
        <v>450</v>
      </c>
      <c r="Z292" s="469">
        <f t="shared" si="162"/>
        <v>-57</v>
      </c>
      <c r="AA292" s="499">
        <f t="shared" si="184"/>
        <v>2.5050531978134045</v>
      </c>
      <c r="AB292" s="499">
        <f t="shared" si="184"/>
        <v>2.4646570295215704</v>
      </c>
      <c r="AC292" s="469" t="s">
        <v>451</v>
      </c>
      <c r="AD292" s="469" t="s">
        <v>454</v>
      </c>
      <c r="AF292" s="444">
        <f>+IF(Tabla33[[#This Row],[Amortización k | cupón de intereses]]="Amortización de K",Tabla33[[#This Row],[Valor Nominal]],0)</f>
        <v>0</v>
      </c>
      <c r="AG292" s="444">
        <f>+IF(AND(Tabla33[[#This Row],[Amortización k | cupón de intereses]]="Cupón de interés",Tabla33[[#This Row],[Estado]]="Vigente"),Tabla33[[#This Row],[Valor Nominal]],0)</f>
        <v>0</v>
      </c>
      <c r="AH292" s="444">
        <f>+IF(Tabla33[[#This Row],[Amortización k | cupón de intereses]]="Amortización de K",SUMIFS($AG$7:$AG$418,Tabla33[Código Emisión],Tabla33[[#This Row],[Código Emisión]],Tabla33[Fecha de operación],Tabla33[[#This Row],[Fecha de operación]]),0)-Tabla33[[#This Row],[Accrued]]*Tabla33[[#This Row],[Valor Nominal]]</f>
        <v>0</v>
      </c>
      <c r="AI292" s="444">
        <f>+IF(Tabla33[[#This Row],[Amortización k | cupón de intereses]]="Amortización de K",IF(Tabla33[[#This Row],[Precio Clean]]&gt;1,Tabla33[[#This Row],[Valor Nominal]]*(Tabla33[[#This Row],[Precio Clean]]-1),0),0)</f>
        <v>0</v>
      </c>
      <c r="AJ292" s="444">
        <f>+IF(Tabla33[[#This Row],[Amortización k | cupón de intereses]]="Amortización de K",IF(Tabla33[[#This Row],[Precio Clean]]&lt;1,Tabla33[[#This Row],[Valor Nominal]]*(Tabla33[[#This Row],[Precio Clean]]-1),0),0)</f>
        <v>0</v>
      </c>
    </row>
    <row r="293" spans="1:36" ht="15">
      <c r="A293" s="500">
        <f>+A256+1</f>
        <v>29</v>
      </c>
      <c r="B293" s="475" t="s">
        <v>516</v>
      </c>
      <c r="C293" s="475" t="s">
        <v>564</v>
      </c>
      <c r="D293" s="475" t="s">
        <v>453</v>
      </c>
      <c r="E293" s="475" t="s">
        <v>449</v>
      </c>
      <c r="F293" s="475" t="s">
        <v>297</v>
      </c>
      <c r="G293" s="475" t="s">
        <v>298</v>
      </c>
      <c r="H293" s="475">
        <v>2</v>
      </c>
      <c r="I293" s="477">
        <v>250000</v>
      </c>
      <c r="J293" s="478">
        <v>6.5000000000000002E-2</v>
      </c>
      <c r="K293" s="479">
        <f>_xlfn.MAXIFS(R:R,C:C,C293,AD:AD,"Cupón de interés",X:X,"Vencido")</f>
        <v>45993</v>
      </c>
      <c r="L293" s="478">
        <f>+Tabla33[[#This Row],[Tasa de Interés]]*($U$5-Tabla33[[#This Row],[Last coupon]])/365</f>
        <v>4.9863013698630138E-3</v>
      </c>
      <c r="M293" s="480">
        <f>+Tabla33[[#This Row],[Precio Dirty]]-Tabla33[[#This Row],[Accrued]]</f>
        <v>1.0033410434599361</v>
      </c>
      <c r="N293" s="481">
        <f>SUMIFS(U:U,C:C,C293,Q:Q,Q293)/SUMIFS(T:T,C:C,C293,Q:Q,Q293,AD:AD,"Amortización de K")</f>
        <v>1.0083273448297991</v>
      </c>
      <c r="O293" s="482">
        <v>6.5565869200000002E-2</v>
      </c>
      <c r="P293" s="482">
        <v>6.3669465351994248E-2</v>
      </c>
      <c r="Q293" s="484">
        <v>45937</v>
      </c>
      <c r="R293" s="484">
        <v>47028</v>
      </c>
      <c r="S293" s="504" t="s">
        <v>146</v>
      </c>
      <c r="T293" s="510">
        <f>Tabla33[[#This Row],[Cantidad]]*Tabla33[[#This Row],[Cortes]]</f>
        <v>500000</v>
      </c>
      <c r="U293" s="511">
        <f t="shared" si="181"/>
        <v>419641.66136169754</v>
      </c>
      <c r="V293" s="511">
        <f t="shared" si="182"/>
        <v>419568.65467356378</v>
      </c>
      <c r="W293" s="497">
        <f>IF(Tabla33[[#This Row],[Fecha de operación]]=$C$1,0,U293-V293)</f>
        <v>73.006688133755233</v>
      </c>
      <c r="X293" s="507" t="str">
        <f t="shared" ref="X293:X356" si="185">IF(R293&lt;=$U$5,"Vencido","Vigente")</f>
        <v>Vigente</v>
      </c>
      <c r="Y293" s="489" t="s">
        <v>450</v>
      </c>
      <c r="Z293" s="488">
        <f t="shared" ref="Z293:Z356" si="186">+R293-$U$5</f>
        <v>1007</v>
      </c>
      <c r="AA293" s="508">
        <f t="shared" ref="AA293" si="187">IF(Y293="Mensual",DURATION($C$1,$C$1+Z293*12,J293/12,O293/12,1)/12,DURATION($C$1,R293,J293,O293,IF(Y293="Cupón cero",1,IF(Y293="Al vencimiento",1,IF(Y293="Anual",1,IF(Y293="Semestral",2,IF(Y293="Trimestral",4,"")))))))</f>
        <v>2.5050510437655946</v>
      </c>
      <c r="AB293" s="508">
        <f t="shared" ref="AB293" si="188">IF(Y293="Mensual",MDURATION($C$1,$C$1+Z293*12,J293/12,O293/12,1)/12,MDURATION($C$1,R293,J293,O293,IF(Y293="Cupón cero",1,IF(Y293="Al vencimiento",1,IF(Y293="Anual",1,IF(Y293="Semestral",2,IF(Y293="Trimestral",4,"")))))))</f>
        <v>2.4646517846319136</v>
      </c>
      <c r="AC293" s="488" t="s">
        <v>451</v>
      </c>
      <c r="AD293" s="488" t="s">
        <v>452</v>
      </c>
      <c r="AF293" s="444">
        <f>+IF(Tabla33[[#This Row],[Amortización k | cupón de intereses]]="Amortización de K",Tabla33[[#This Row],[Valor Nominal]],0)</f>
        <v>500000</v>
      </c>
      <c r="AG293" s="444">
        <f>+IF(AND(Tabla33[[#This Row],[Amortización k | cupón de intereses]]="Cupón de interés",Tabla33[[#This Row],[Estado]]="Vigente"),Tabla33[[#This Row],[Valor Nominal]],0)</f>
        <v>0</v>
      </c>
      <c r="AH293" s="444">
        <f>+IF(Tabla33[[#This Row],[Amortización k | cupón de intereses]]="Amortización de K",SUMIFS($AG$7:$AG$418,Tabla33[Código Emisión],Tabla33[[#This Row],[Código Emisión]],Tabla33[Fecha de operación],Tabla33[[#This Row],[Fecha de operación]]),0)-Tabla33[[#This Row],[Accrued]]*Tabla33[[#This Row],[Valor Nominal]]</f>
        <v>89664.134246575297</v>
      </c>
      <c r="AI293" s="444">
        <f>+IF(Tabla33[[#This Row],[Amortización k | cupón de intereses]]="Amortización de K",IF(Tabla33[[#This Row],[Precio Clean]]&gt;1,Tabla33[[#This Row],[Valor Nominal]]*(Tabla33[[#This Row],[Precio Clean]]-1),0),0)</f>
        <v>1670.5217299680664</v>
      </c>
      <c r="AJ293" s="444">
        <f>+IF(Tabla33[[#This Row],[Amortización k | cupón de intereses]]="Amortización de K",IF(Tabla33[[#This Row],[Precio Clean]]&lt;1,Tabla33[[#This Row],[Valor Nominal]]*(Tabla33[[#This Row],[Precio Clean]]-1),0),0)</f>
        <v>0</v>
      </c>
    </row>
    <row r="294" spans="1:36">
      <c r="A294" s="502"/>
      <c r="B294" s="437" t="str">
        <f>+B293</f>
        <v>Bancop S.A.</v>
      </c>
      <c r="C294" s="437" t="str">
        <f t="shared" ref="C294:C317" si="189">+C293</f>
        <v>BCO_6,50%_02102028_AA4088-91_250K</v>
      </c>
      <c r="D294" s="437" t="s">
        <v>453</v>
      </c>
      <c r="E294" s="437" t="str">
        <f>+E293</f>
        <v>AA-py</v>
      </c>
      <c r="F294" s="437" t="s">
        <v>297</v>
      </c>
      <c r="G294" s="437" t="s">
        <v>298</v>
      </c>
      <c r="H294" s="437">
        <v>2</v>
      </c>
      <c r="I294" s="492">
        <v>2003.3</v>
      </c>
      <c r="J294" s="451"/>
      <c r="K294" s="450"/>
      <c r="L294" s="451"/>
      <c r="M294" s="493"/>
      <c r="N294" s="493"/>
      <c r="O294" s="494">
        <f t="shared" ref="O294:Q309" si="190">+O293</f>
        <v>6.5565869200000002E-2</v>
      </c>
      <c r="P294" s="494">
        <f t="shared" si="190"/>
        <v>6.3669465351994248E-2</v>
      </c>
      <c r="Q294" s="450">
        <f t="shared" si="190"/>
        <v>45937</v>
      </c>
      <c r="R294" s="450">
        <v>47028</v>
      </c>
      <c r="S294" s="509" t="s">
        <v>146</v>
      </c>
      <c r="T294" s="510">
        <f>Tabla33[[#This Row],[Cantidad]]*Tabla33[[#This Row],[Cortes]]</f>
        <v>4006.6</v>
      </c>
      <c r="U294" s="511">
        <f t="shared" si="181"/>
        <v>3362.6725608235547</v>
      </c>
      <c r="V294" s="511">
        <f t="shared" si="182"/>
        <v>3362.0875436302013</v>
      </c>
      <c r="W294" s="497">
        <f>IF(Tabla33[[#This Row],[Fecha de operación]]=$C$1,0,U294-V294)</f>
        <v>0.58501719335345115</v>
      </c>
      <c r="X294" s="512" t="str">
        <f t="shared" si="185"/>
        <v>Vigente</v>
      </c>
      <c r="Y294" s="498" t="s">
        <v>450</v>
      </c>
      <c r="Z294" s="469">
        <f t="shared" si="186"/>
        <v>1007</v>
      </c>
      <c r="AA294" s="499">
        <f>+AA293</f>
        <v>2.5050510437655946</v>
      </c>
      <c r="AB294" s="499">
        <f>+AB293</f>
        <v>2.4646517846319136</v>
      </c>
      <c r="AC294" s="469" t="s">
        <v>451</v>
      </c>
      <c r="AD294" s="469" t="s">
        <v>454</v>
      </c>
      <c r="AF294" s="444">
        <f>+IF(Tabla33[[#This Row],[Amortización k | cupón de intereses]]="Amortización de K",Tabla33[[#This Row],[Valor Nominal]],0)</f>
        <v>0</v>
      </c>
      <c r="AG294" s="444">
        <f>+IF(AND(Tabla33[[#This Row],[Amortización k | cupón de intereses]]="Cupón de interés",Tabla33[[#This Row],[Estado]]="Vigente"),Tabla33[[#This Row],[Valor Nominal]],0)</f>
        <v>4006.6</v>
      </c>
      <c r="AH294" s="444">
        <f>+IF(Tabla33[[#This Row],[Amortización k | cupón de intereses]]="Amortización de K",SUMIFS($AG$7:$AG$418,Tabla33[Código Emisión],Tabla33[[#This Row],[Código Emisión]],Tabla33[Fecha de operación],Tabla33[[#This Row],[Fecha de operación]]),0)-Tabla33[[#This Row],[Accrued]]*Tabla33[[#This Row],[Valor Nominal]]</f>
        <v>0</v>
      </c>
      <c r="AI294" s="444">
        <f>+IF(Tabla33[[#This Row],[Amortización k | cupón de intereses]]="Amortización de K",IF(Tabla33[[#This Row],[Precio Clean]]&gt;1,Tabla33[[#This Row],[Valor Nominal]]*(Tabla33[[#This Row],[Precio Clean]]-1),0),0)</f>
        <v>0</v>
      </c>
      <c r="AJ294" s="444">
        <f>+IF(Tabla33[[#This Row],[Amortización k | cupón de intereses]]="Amortización de K",IF(Tabla33[[#This Row],[Precio Clean]]&lt;1,Tabla33[[#This Row],[Valor Nominal]]*(Tabla33[[#This Row],[Precio Clean]]-1),0),0)</f>
        <v>0</v>
      </c>
    </row>
    <row r="295" spans="1:36">
      <c r="A295" s="502"/>
      <c r="B295" s="437" t="str">
        <f t="shared" ref="B295:B310" si="191">+B294</f>
        <v>Bancop S.A.</v>
      </c>
      <c r="C295" s="437" t="str">
        <f t="shared" si="189"/>
        <v>BCO_6,50%_02102028_AA4088-91_250K</v>
      </c>
      <c r="D295" s="437" t="s">
        <v>453</v>
      </c>
      <c r="E295" s="437" t="str">
        <f t="shared" ref="E295:E329" si="192">+E294</f>
        <v>AA-py</v>
      </c>
      <c r="F295" s="437" t="s">
        <v>297</v>
      </c>
      <c r="G295" s="437" t="s">
        <v>298</v>
      </c>
      <c r="H295" s="437">
        <v>2</v>
      </c>
      <c r="I295" s="492">
        <v>1335.6164383561643</v>
      </c>
      <c r="J295" s="451"/>
      <c r="K295" s="450"/>
      <c r="L295" s="451"/>
      <c r="M295" s="493"/>
      <c r="N295" s="493"/>
      <c r="O295" s="494">
        <f t="shared" si="190"/>
        <v>6.5565869200000002E-2</v>
      </c>
      <c r="P295" s="494">
        <f t="shared" si="190"/>
        <v>6.3669465351994248E-2</v>
      </c>
      <c r="Q295" s="450">
        <f t="shared" si="190"/>
        <v>45937</v>
      </c>
      <c r="R295" s="450">
        <v>46983</v>
      </c>
      <c r="S295" s="509" t="s">
        <v>146</v>
      </c>
      <c r="T295" s="510">
        <f>Tabla33[[#This Row],[Cantidad]]*Tabla33[[#This Row],[Cortes]]</f>
        <v>2671.2328767123286</v>
      </c>
      <c r="U295" s="511">
        <f t="shared" si="181"/>
        <v>2259.5432352476018</v>
      </c>
      <c r="V295" s="511">
        <f t="shared" si="182"/>
        <v>2259.1501337434161</v>
      </c>
      <c r="W295" s="497">
        <f>IF(Tabla33[[#This Row],[Fecha de operación]]=$C$1,0,U295-V295)</f>
        <v>0.39310150418577905</v>
      </c>
      <c r="X295" s="512" t="str">
        <f t="shared" si="185"/>
        <v>Vigente</v>
      </c>
      <c r="Y295" s="498" t="s">
        <v>450</v>
      </c>
      <c r="Z295" s="469">
        <f t="shared" si="186"/>
        <v>962</v>
      </c>
      <c r="AA295" s="499">
        <f t="shared" ref="AA295:AB310" si="193">+AA294</f>
        <v>2.5050510437655946</v>
      </c>
      <c r="AB295" s="499">
        <f t="shared" si="193"/>
        <v>2.4646517846319136</v>
      </c>
      <c r="AC295" s="469" t="s">
        <v>451</v>
      </c>
      <c r="AD295" s="469" t="s">
        <v>454</v>
      </c>
      <c r="AF295" s="444">
        <f>+IF(Tabla33[[#This Row],[Amortización k | cupón de intereses]]="Amortización de K",Tabla33[[#This Row],[Valor Nominal]],0)</f>
        <v>0</v>
      </c>
      <c r="AG295" s="444">
        <f>+IF(AND(Tabla33[[#This Row],[Amortización k | cupón de intereses]]="Cupón de interés",Tabla33[[#This Row],[Estado]]="Vigente"),Tabla33[[#This Row],[Valor Nominal]],0)</f>
        <v>2671.2328767123286</v>
      </c>
      <c r="AH295" s="444">
        <f>+IF(Tabla33[[#This Row],[Amortización k | cupón de intereses]]="Amortización de K",SUMIFS($AG$7:$AG$418,Tabla33[Código Emisión],Tabla33[[#This Row],[Código Emisión]],Tabla33[Fecha de operación],Tabla33[[#This Row],[Fecha de operación]]),0)-Tabla33[[#This Row],[Accrued]]*Tabla33[[#This Row],[Valor Nominal]]</f>
        <v>0</v>
      </c>
      <c r="AI295" s="444">
        <f>+IF(Tabla33[[#This Row],[Amortización k | cupón de intereses]]="Amortización de K",IF(Tabla33[[#This Row],[Precio Clean]]&gt;1,Tabla33[[#This Row],[Valor Nominal]]*(Tabla33[[#This Row],[Precio Clean]]-1),0),0)</f>
        <v>0</v>
      </c>
      <c r="AJ295" s="444">
        <f>+IF(Tabla33[[#This Row],[Amortización k | cupón de intereses]]="Amortización de K",IF(Tabla33[[#This Row],[Precio Clean]]&lt;1,Tabla33[[#This Row],[Valor Nominal]]*(Tabla33[[#This Row],[Precio Clean]]-1),0),0)</f>
        <v>0</v>
      </c>
    </row>
    <row r="296" spans="1:36">
      <c r="A296" s="502"/>
      <c r="B296" s="437" t="str">
        <f t="shared" si="191"/>
        <v>Bancop S.A.</v>
      </c>
      <c r="C296" s="437" t="str">
        <f t="shared" si="189"/>
        <v>BCO_6,50%_02102028_AA4088-91_250K</v>
      </c>
      <c r="D296" s="437" t="s">
        <v>453</v>
      </c>
      <c r="E296" s="437" t="str">
        <f t="shared" si="192"/>
        <v>AA-py</v>
      </c>
      <c r="F296" s="437" t="s">
        <v>297</v>
      </c>
      <c r="G296" s="437" t="s">
        <v>298</v>
      </c>
      <c r="H296" s="437">
        <v>2</v>
      </c>
      <c r="I296" s="492">
        <v>1335.6164383561643</v>
      </c>
      <c r="J296" s="451"/>
      <c r="K296" s="450"/>
      <c r="L296" s="451"/>
      <c r="M296" s="493"/>
      <c r="N296" s="493"/>
      <c r="O296" s="494">
        <f t="shared" si="190"/>
        <v>6.5565869200000002E-2</v>
      </c>
      <c r="P296" s="494">
        <f t="shared" si="190"/>
        <v>6.3669465351994248E-2</v>
      </c>
      <c r="Q296" s="450">
        <f t="shared" si="190"/>
        <v>45937</v>
      </c>
      <c r="R296" s="450">
        <v>46953</v>
      </c>
      <c r="S296" s="509" t="s">
        <v>146</v>
      </c>
      <c r="T296" s="510">
        <f>Tabla33[[#This Row],[Cantidad]]*Tabla33[[#This Row],[Cortes]]</f>
        <v>2671.2328767123286</v>
      </c>
      <c r="U296" s="511">
        <f t="shared" si="181"/>
        <v>2271.3681405401239</v>
      </c>
      <c r="V296" s="511">
        <f t="shared" si="182"/>
        <v>2270.9729818112805</v>
      </c>
      <c r="W296" s="497">
        <f>IF(Tabla33[[#This Row],[Fecha de operación]]=$C$1,0,U296-V296)</f>
        <v>0.39515872884339842</v>
      </c>
      <c r="X296" s="512" t="str">
        <f t="shared" si="185"/>
        <v>Vigente</v>
      </c>
      <c r="Y296" s="498" t="s">
        <v>450</v>
      </c>
      <c r="Z296" s="469">
        <f t="shared" si="186"/>
        <v>932</v>
      </c>
      <c r="AA296" s="499">
        <f t="shared" si="193"/>
        <v>2.5050510437655946</v>
      </c>
      <c r="AB296" s="499">
        <f t="shared" si="193"/>
        <v>2.4646517846319136</v>
      </c>
      <c r="AC296" s="469" t="s">
        <v>451</v>
      </c>
      <c r="AD296" s="469" t="s">
        <v>454</v>
      </c>
      <c r="AF296" s="444">
        <f>+IF(Tabla33[[#This Row],[Amortización k | cupón de intereses]]="Amortización de K",Tabla33[[#This Row],[Valor Nominal]],0)</f>
        <v>0</v>
      </c>
      <c r="AG296" s="444">
        <f>+IF(AND(Tabla33[[#This Row],[Amortización k | cupón de intereses]]="Cupón de interés",Tabla33[[#This Row],[Estado]]="Vigente"),Tabla33[[#This Row],[Valor Nominal]],0)</f>
        <v>2671.2328767123286</v>
      </c>
      <c r="AH296" s="444">
        <f>+IF(Tabla33[[#This Row],[Amortización k | cupón de intereses]]="Amortización de K",SUMIFS($AG$7:$AG$418,Tabla33[Código Emisión],Tabla33[[#This Row],[Código Emisión]],Tabla33[Fecha de operación],Tabla33[[#This Row],[Fecha de operación]]),0)-Tabla33[[#This Row],[Accrued]]*Tabla33[[#This Row],[Valor Nominal]]</f>
        <v>0</v>
      </c>
      <c r="AI296" s="444">
        <f>+IF(Tabla33[[#This Row],[Amortización k | cupón de intereses]]="Amortización de K",IF(Tabla33[[#This Row],[Precio Clean]]&gt;1,Tabla33[[#This Row],[Valor Nominal]]*(Tabla33[[#This Row],[Precio Clean]]-1),0),0)</f>
        <v>0</v>
      </c>
      <c r="AJ296" s="444">
        <f>+IF(Tabla33[[#This Row],[Amortización k | cupón de intereses]]="Amortización de K",IF(Tabla33[[#This Row],[Precio Clean]]&lt;1,Tabla33[[#This Row],[Valor Nominal]]*(Tabla33[[#This Row],[Precio Clean]]-1),0),0)</f>
        <v>0</v>
      </c>
    </row>
    <row r="297" spans="1:36">
      <c r="A297" s="502"/>
      <c r="B297" s="437" t="str">
        <f t="shared" si="191"/>
        <v>Bancop S.A.</v>
      </c>
      <c r="C297" s="437" t="str">
        <f t="shared" si="189"/>
        <v>BCO_6,50%_02102028_AA4088-91_250K</v>
      </c>
      <c r="D297" s="437" t="s">
        <v>453</v>
      </c>
      <c r="E297" s="437" t="str">
        <f t="shared" si="192"/>
        <v>AA-py</v>
      </c>
      <c r="F297" s="437" t="s">
        <v>297</v>
      </c>
      <c r="G297" s="437" t="s">
        <v>298</v>
      </c>
      <c r="H297" s="437">
        <v>2</v>
      </c>
      <c r="I297" s="492">
        <v>1246.5753424657535</v>
      </c>
      <c r="J297" s="451"/>
      <c r="K297" s="450"/>
      <c r="L297" s="451"/>
      <c r="M297" s="493"/>
      <c r="N297" s="493"/>
      <c r="O297" s="494">
        <f t="shared" si="190"/>
        <v>6.5565869200000002E-2</v>
      </c>
      <c r="P297" s="494">
        <f t="shared" si="190"/>
        <v>6.3669465351994248E-2</v>
      </c>
      <c r="Q297" s="450">
        <f t="shared" si="190"/>
        <v>45937</v>
      </c>
      <c r="R297" s="450">
        <v>46923</v>
      </c>
      <c r="S297" s="509" t="s">
        <v>146</v>
      </c>
      <c r="T297" s="510">
        <f>Tabla33[[#This Row],[Cantidad]]*Tabla33[[#This Row],[Cortes]]</f>
        <v>2493.1506849315069</v>
      </c>
      <c r="U297" s="511">
        <f t="shared" si="181"/>
        <v>2131.0379340195886</v>
      </c>
      <c r="V297" s="511">
        <f t="shared" si="182"/>
        <v>2130.6671890812872</v>
      </c>
      <c r="W297" s="497">
        <f>IF(Tabla33[[#This Row],[Fecha de operación]]=$C$1,0,U297-V297)</f>
        <v>0.37074493830141364</v>
      </c>
      <c r="X297" s="512" t="str">
        <f t="shared" si="185"/>
        <v>Vigente</v>
      </c>
      <c r="Y297" s="498" t="s">
        <v>450</v>
      </c>
      <c r="Z297" s="469">
        <f t="shared" si="186"/>
        <v>902</v>
      </c>
      <c r="AA297" s="499">
        <f t="shared" si="193"/>
        <v>2.5050510437655946</v>
      </c>
      <c r="AB297" s="499">
        <f t="shared" si="193"/>
        <v>2.4646517846319136</v>
      </c>
      <c r="AC297" s="469" t="s">
        <v>451</v>
      </c>
      <c r="AD297" s="469" t="s">
        <v>454</v>
      </c>
      <c r="AF297" s="444">
        <f>+IF(Tabla33[[#This Row],[Amortización k | cupón de intereses]]="Amortización de K",Tabla33[[#This Row],[Valor Nominal]],0)</f>
        <v>0</v>
      </c>
      <c r="AG297" s="444">
        <f>+IF(AND(Tabla33[[#This Row],[Amortización k | cupón de intereses]]="Cupón de interés",Tabla33[[#This Row],[Estado]]="Vigente"),Tabla33[[#This Row],[Valor Nominal]],0)</f>
        <v>2493.1506849315069</v>
      </c>
      <c r="AH297" s="444">
        <f>+IF(Tabla33[[#This Row],[Amortización k | cupón de intereses]]="Amortización de K",SUMIFS($AG$7:$AG$418,Tabla33[Código Emisión],Tabla33[[#This Row],[Código Emisión]],Tabla33[Fecha de operación],Tabla33[[#This Row],[Fecha de operación]]),0)-Tabla33[[#This Row],[Accrued]]*Tabla33[[#This Row],[Valor Nominal]]</f>
        <v>0</v>
      </c>
      <c r="AI297" s="444">
        <f>+IF(Tabla33[[#This Row],[Amortización k | cupón de intereses]]="Amortización de K",IF(Tabla33[[#This Row],[Precio Clean]]&gt;1,Tabla33[[#This Row],[Valor Nominal]]*(Tabla33[[#This Row],[Precio Clean]]-1),0),0)</f>
        <v>0</v>
      </c>
      <c r="AJ297" s="444">
        <f>+IF(Tabla33[[#This Row],[Amortización k | cupón de intereses]]="Amortización de K",IF(Tabla33[[#This Row],[Precio Clean]]&lt;1,Tabla33[[#This Row],[Valor Nominal]]*(Tabla33[[#This Row],[Precio Clean]]-1),0),0)</f>
        <v>0</v>
      </c>
    </row>
    <row r="298" spans="1:36">
      <c r="A298" s="502"/>
      <c r="B298" s="437" t="str">
        <f t="shared" si="191"/>
        <v>Bancop S.A.</v>
      </c>
      <c r="C298" s="437" t="str">
        <f t="shared" si="189"/>
        <v>BCO_6,50%_02102028_AA4088-91_250K</v>
      </c>
      <c r="D298" s="437" t="s">
        <v>453</v>
      </c>
      <c r="E298" s="437" t="str">
        <f t="shared" si="192"/>
        <v>AA-py</v>
      </c>
      <c r="F298" s="437" t="s">
        <v>297</v>
      </c>
      <c r="G298" s="437" t="s">
        <v>298</v>
      </c>
      <c r="H298" s="437">
        <v>2</v>
      </c>
      <c r="I298" s="492">
        <v>1424.6575342465753</v>
      </c>
      <c r="J298" s="451"/>
      <c r="K298" s="450"/>
      <c r="L298" s="451"/>
      <c r="M298" s="493"/>
      <c r="N298" s="493"/>
      <c r="O298" s="494">
        <f t="shared" si="190"/>
        <v>6.5565869200000002E-2</v>
      </c>
      <c r="P298" s="494">
        <f t="shared" si="190"/>
        <v>6.3669465351994248E-2</v>
      </c>
      <c r="Q298" s="450">
        <f t="shared" si="190"/>
        <v>45937</v>
      </c>
      <c r="R298" s="450">
        <v>46895</v>
      </c>
      <c r="S298" s="509" t="s">
        <v>146</v>
      </c>
      <c r="T298" s="510">
        <f>Tabla33[[#This Row],[Cantidad]]*Tabla33[[#This Row],[Cortes]]</f>
        <v>2849.3150684931506</v>
      </c>
      <c r="U298" s="511">
        <f t="shared" si="181"/>
        <v>2447.3657427266526</v>
      </c>
      <c r="V298" s="511">
        <f t="shared" si="182"/>
        <v>2446.9399650120458</v>
      </c>
      <c r="W298" s="497">
        <f>IF(Tabla33[[#This Row],[Fecha de operación]]=$C$1,0,U298-V298)</f>
        <v>0.4257777146067383</v>
      </c>
      <c r="X298" s="512" t="str">
        <f t="shared" si="185"/>
        <v>Vigente</v>
      </c>
      <c r="Y298" s="498" t="s">
        <v>450</v>
      </c>
      <c r="Z298" s="469">
        <f t="shared" si="186"/>
        <v>874</v>
      </c>
      <c r="AA298" s="499">
        <f t="shared" si="193"/>
        <v>2.5050510437655946</v>
      </c>
      <c r="AB298" s="499">
        <f t="shared" si="193"/>
        <v>2.4646517846319136</v>
      </c>
      <c r="AC298" s="469" t="s">
        <v>451</v>
      </c>
      <c r="AD298" s="469" t="s">
        <v>454</v>
      </c>
      <c r="AF298" s="444">
        <f>+IF(Tabla33[[#This Row],[Amortización k | cupón de intereses]]="Amortización de K",Tabla33[[#This Row],[Valor Nominal]],0)</f>
        <v>0</v>
      </c>
      <c r="AG298" s="444">
        <f>+IF(AND(Tabla33[[#This Row],[Amortización k | cupón de intereses]]="Cupón de interés",Tabla33[[#This Row],[Estado]]="Vigente"),Tabla33[[#This Row],[Valor Nominal]],0)</f>
        <v>2849.3150684931506</v>
      </c>
      <c r="AH298" s="444">
        <f>+IF(Tabla33[[#This Row],[Amortización k | cupón de intereses]]="Amortización de K",SUMIFS($AG$7:$AG$418,Tabla33[Código Emisión],Tabla33[[#This Row],[Código Emisión]],Tabla33[Fecha de operación],Tabla33[[#This Row],[Fecha de operación]]),0)-Tabla33[[#This Row],[Accrued]]*Tabla33[[#This Row],[Valor Nominal]]</f>
        <v>0</v>
      </c>
      <c r="AI298" s="444">
        <f>+IF(Tabla33[[#This Row],[Amortización k | cupón de intereses]]="Amortización de K",IF(Tabla33[[#This Row],[Precio Clean]]&gt;1,Tabla33[[#This Row],[Valor Nominal]]*(Tabla33[[#This Row],[Precio Clean]]-1),0),0)</f>
        <v>0</v>
      </c>
      <c r="AJ298" s="444">
        <f>+IF(Tabla33[[#This Row],[Amortización k | cupón de intereses]]="Amortización de K",IF(Tabla33[[#This Row],[Precio Clean]]&lt;1,Tabla33[[#This Row],[Valor Nominal]]*(Tabla33[[#This Row],[Precio Clean]]-1),0),0)</f>
        <v>0</v>
      </c>
    </row>
    <row r="299" spans="1:36">
      <c r="A299" s="502"/>
      <c r="B299" s="437" t="str">
        <f t="shared" si="191"/>
        <v>Bancop S.A.</v>
      </c>
      <c r="C299" s="437" t="str">
        <f t="shared" si="189"/>
        <v>BCO_6,50%_02102028_AA4088-91_250K</v>
      </c>
      <c r="D299" s="437" t="s">
        <v>453</v>
      </c>
      <c r="E299" s="437" t="str">
        <f t="shared" si="192"/>
        <v>AA-py</v>
      </c>
      <c r="F299" s="437" t="s">
        <v>297</v>
      </c>
      <c r="G299" s="437" t="s">
        <v>298</v>
      </c>
      <c r="H299" s="437">
        <v>2</v>
      </c>
      <c r="I299" s="492">
        <v>1335.6164383561643</v>
      </c>
      <c r="J299" s="451"/>
      <c r="K299" s="450"/>
      <c r="L299" s="451"/>
      <c r="M299" s="493"/>
      <c r="N299" s="493"/>
      <c r="O299" s="494">
        <f t="shared" si="190"/>
        <v>6.5565869200000002E-2</v>
      </c>
      <c r="P299" s="494">
        <f t="shared" si="190"/>
        <v>6.3669465351994248E-2</v>
      </c>
      <c r="Q299" s="450">
        <f t="shared" si="190"/>
        <v>45937</v>
      </c>
      <c r="R299" s="450">
        <v>46863</v>
      </c>
      <c r="S299" s="509" t="s">
        <v>146</v>
      </c>
      <c r="T299" s="510">
        <f>Tabla33[[#This Row],[Cantidad]]*Tabla33[[#This Row],[Cortes]]</f>
        <v>2671.2328767123286</v>
      </c>
      <c r="U299" s="511">
        <f t="shared" si="181"/>
        <v>2307.2154543801325</v>
      </c>
      <c r="V299" s="511">
        <f t="shared" si="182"/>
        <v>2306.814059155005</v>
      </c>
      <c r="W299" s="497">
        <f>IF(Tabla33[[#This Row],[Fecha de operación]]=$C$1,0,U299-V299)</f>
        <v>0.40139522512754411</v>
      </c>
      <c r="X299" s="512" t="str">
        <f t="shared" si="185"/>
        <v>Vigente</v>
      </c>
      <c r="Y299" s="498" t="s">
        <v>450</v>
      </c>
      <c r="Z299" s="469">
        <f t="shared" si="186"/>
        <v>842</v>
      </c>
      <c r="AA299" s="499">
        <f t="shared" si="193"/>
        <v>2.5050510437655946</v>
      </c>
      <c r="AB299" s="499">
        <f t="shared" si="193"/>
        <v>2.4646517846319136</v>
      </c>
      <c r="AC299" s="469" t="s">
        <v>451</v>
      </c>
      <c r="AD299" s="469" t="s">
        <v>454</v>
      </c>
      <c r="AF299" s="444">
        <f>+IF(Tabla33[[#This Row],[Amortización k | cupón de intereses]]="Amortización de K",Tabla33[[#This Row],[Valor Nominal]],0)</f>
        <v>0</v>
      </c>
      <c r="AG299" s="444">
        <f>+IF(AND(Tabla33[[#This Row],[Amortización k | cupón de intereses]]="Cupón de interés",Tabla33[[#This Row],[Estado]]="Vigente"),Tabla33[[#This Row],[Valor Nominal]],0)</f>
        <v>2671.2328767123286</v>
      </c>
      <c r="AH299" s="444">
        <f>+IF(Tabla33[[#This Row],[Amortización k | cupón de intereses]]="Amortización de K",SUMIFS($AG$7:$AG$418,Tabla33[Código Emisión],Tabla33[[#This Row],[Código Emisión]],Tabla33[Fecha de operación],Tabla33[[#This Row],[Fecha de operación]]),0)-Tabla33[[#This Row],[Accrued]]*Tabla33[[#This Row],[Valor Nominal]]</f>
        <v>0</v>
      </c>
      <c r="AI299" s="444">
        <f>+IF(Tabla33[[#This Row],[Amortización k | cupón de intereses]]="Amortización de K",IF(Tabla33[[#This Row],[Precio Clean]]&gt;1,Tabla33[[#This Row],[Valor Nominal]]*(Tabla33[[#This Row],[Precio Clean]]-1),0),0)</f>
        <v>0</v>
      </c>
      <c r="AJ299" s="444">
        <f>+IF(Tabla33[[#This Row],[Amortización k | cupón de intereses]]="Amortización de K",IF(Tabla33[[#This Row],[Precio Clean]]&lt;1,Tabla33[[#This Row],[Valor Nominal]]*(Tabla33[[#This Row],[Precio Clean]]-1),0),0)</f>
        <v>0</v>
      </c>
    </row>
    <row r="300" spans="1:36">
      <c r="A300" s="502"/>
      <c r="B300" s="437" t="str">
        <f t="shared" si="191"/>
        <v>Bancop S.A.</v>
      </c>
      <c r="C300" s="437" t="str">
        <f t="shared" si="189"/>
        <v>BCO_6,50%_02102028_AA4088-91_250K</v>
      </c>
      <c r="D300" s="437" t="s">
        <v>453</v>
      </c>
      <c r="E300" s="437" t="str">
        <f t="shared" si="192"/>
        <v>AA-py</v>
      </c>
      <c r="F300" s="437" t="s">
        <v>297</v>
      </c>
      <c r="G300" s="437" t="s">
        <v>298</v>
      </c>
      <c r="H300" s="437">
        <v>2</v>
      </c>
      <c r="I300" s="492">
        <v>1291.0958904109589</v>
      </c>
      <c r="J300" s="451"/>
      <c r="K300" s="450"/>
      <c r="L300" s="451"/>
      <c r="M300" s="493"/>
      <c r="N300" s="493"/>
      <c r="O300" s="494">
        <f t="shared" si="190"/>
        <v>6.5565869200000002E-2</v>
      </c>
      <c r="P300" s="494">
        <f t="shared" si="190"/>
        <v>6.3669465351994248E-2</v>
      </c>
      <c r="Q300" s="450">
        <f t="shared" si="190"/>
        <v>45937</v>
      </c>
      <c r="R300" s="450">
        <v>46833</v>
      </c>
      <c r="S300" s="509" t="s">
        <v>146</v>
      </c>
      <c r="T300" s="510">
        <f>Tabla33[[#This Row],[Cantidad]]*Tabla33[[#This Row],[Cortes]]</f>
        <v>2582.1917808219177</v>
      </c>
      <c r="U300" s="511">
        <f t="shared" si="181"/>
        <v>2241.9801820422754</v>
      </c>
      <c r="V300" s="511">
        <f t="shared" si="182"/>
        <v>2241.5901360506045</v>
      </c>
      <c r="W300" s="497">
        <f>IF(Tabla33[[#This Row],[Fecha de operación]]=$C$1,0,U300-V300)</f>
        <v>0.39004599167083143</v>
      </c>
      <c r="X300" s="512" t="str">
        <f t="shared" si="185"/>
        <v>Vigente</v>
      </c>
      <c r="Y300" s="498" t="s">
        <v>450</v>
      </c>
      <c r="Z300" s="469">
        <f t="shared" si="186"/>
        <v>812</v>
      </c>
      <c r="AA300" s="499">
        <f t="shared" si="193"/>
        <v>2.5050510437655946</v>
      </c>
      <c r="AB300" s="499">
        <f t="shared" si="193"/>
        <v>2.4646517846319136</v>
      </c>
      <c r="AC300" s="469" t="s">
        <v>451</v>
      </c>
      <c r="AD300" s="469" t="s">
        <v>454</v>
      </c>
      <c r="AF300" s="444">
        <f>+IF(Tabla33[[#This Row],[Amortización k | cupón de intereses]]="Amortización de K",Tabla33[[#This Row],[Valor Nominal]],0)</f>
        <v>0</v>
      </c>
      <c r="AG300" s="444">
        <f>+IF(AND(Tabla33[[#This Row],[Amortización k | cupón de intereses]]="Cupón de interés",Tabla33[[#This Row],[Estado]]="Vigente"),Tabla33[[#This Row],[Valor Nominal]],0)</f>
        <v>2582.1917808219177</v>
      </c>
      <c r="AH300" s="444">
        <f>+IF(Tabla33[[#This Row],[Amortización k | cupón de intereses]]="Amortización de K",SUMIFS($AG$7:$AG$418,Tabla33[Código Emisión],Tabla33[[#This Row],[Código Emisión]],Tabla33[Fecha de operación],Tabla33[[#This Row],[Fecha de operación]]),0)-Tabla33[[#This Row],[Accrued]]*Tabla33[[#This Row],[Valor Nominal]]</f>
        <v>0</v>
      </c>
      <c r="AI300" s="444">
        <f>+IF(Tabla33[[#This Row],[Amortización k | cupón de intereses]]="Amortización de K",IF(Tabla33[[#This Row],[Precio Clean]]&gt;1,Tabla33[[#This Row],[Valor Nominal]]*(Tabla33[[#This Row],[Precio Clean]]-1),0),0)</f>
        <v>0</v>
      </c>
      <c r="AJ300" s="444">
        <f>+IF(Tabla33[[#This Row],[Amortización k | cupón de intereses]]="Amortización de K",IF(Tabla33[[#This Row],[Precio Clean]]&lt;1,Tabla33[[#This Row],[Valor Nominal]]*(Tabla33[[#This Row],[Precio Clean]]-1),0),0)</f>
        <v>0</v>
      </c>
    </row>
    <row r="301" spans="1:36">
      <c r="A301" s="502"/>
      <c r="B301" s="437" t="str">
        <f t="shared" si="191"/>
        <v>Bancop S.A.</v>
      </c>
      <c r="C301" s="437" t="str">
        <f t="shared" si="189"/>
        <v>BCO_6,50%_02102028_AA4088-91_250K</v>
      </c>
      <c r="D301" s="437" t="s">
        <v>453</v>
      </c>
      <c r="E301" s="437" t="str">
        <f t="shared" si="192"/>
        <v>AA-py</v>
      </c>
      <c r="F301" s="437" t="s">
        <v>297</v>
      </c>
      <c r="G301" s="437" t="s">
        <v>298</v>
      </c>
      <c r="H301" s="437">
        <v>2</v>
      </c>
      <c r="I301" s="492">
        <v>1380.1369863013699</v>
      </c>
      <c r="J301" s="451"/>
      <c r="K301" s="450"/>
      <c r="L301" s="451"/>
      <c r="M301" s="493"/>
      <c r="N301" s="493"/>
      <c r="O301" s="494">
        <f t="shared" si="190"/>
        <v>6.5565869200000002E-2</v>
      </c>
      <c r="P301" s="494">
        <f t="shared" si="190"/>
        <v>6.3669465351994248E-2</v>
      </c>
      <c r="Q301" s="450">
        <f t="shared" si="190"/>
        <v>45937</v>
      </c>
      <c r="R301" s="450">
        <v>46804</v>
      </c>
      <c r="S301" s="509" t="s">
        <v>146</v>
      </c>
      <c r="T301" s="510">
        <f>Tabla33[[#This Row],[Cantidad]]*Tabla33[[#This Row],[Cortes]]</f>
        <v>2760.2739726027398</v>
      </c>
      <c r="U301" s="511">
        <f t="shared" si="181"/>
        <v>2408.722541371767</v>
      </c>
      <c r="V301" s="511">
        <f t="shared" si="182"/>
        <v>2408.3034865648442</v>
      </c>
      <c r="W301" s="497">
        <f>IF(Tabla33[[#This Row],[Fecha de operación]]=$C$1,0,U301-V301)</f>
        <v>0.41905480692275887</v>
      </c>
      <c r="X301" s="512" t="str">
        <f t="shared" si="185"/>
        <v>Vigente</v>
      </c>
      <c r="Y301" s="498" t="s">
        <v>450</v>
      </c>
      <c r="Z301" s="469">
        <f t="shared" si="186"/>
        <v>783</v>
      </c>
      <c r="AA301" s="499">
        <f t="shared" si="193"/>
        <v>2.5050510437655946</v>
      </c>
      <c r="AB301" s="499">
        <f t="shared" si="193"/>
        <v>2.4646517846319136</v>
      </c>
      <c r="AC301" s="469" t="s">
        <v>451</v>
      </c>
      <c r="AD301" s="469" t="s">
        <v>454</v>
      </c>
      <c r="AF301" s="444">
        <f>+IF(Tabla33[[#This Row],[Amortización k | cupón de intereses]]="Amortización de K",Tabla33[[#This Row],[Valor Nominal]],0)</f>
        <v>0</v>
      </c>
      <c r="AG301" s="444">
        <f>+IF(AND(Tabla33[[#This Row],[Amortización k | cupón de intereses]]="Cupón de interés",Tabla33[[#This Row],[Estado]]="Vigente"),Tabla33[[#This Row],[Valor Nominal]],0)</f>
        <v>2760.2739726027398</v>
      </c>
      <c r="AH301" s="444">
        <f>+IF(Tabla33[[#This Row],[Amortización k | cupón de intereses]]="Amortización de K",SUMIFS($AG$7:$AG$418,Tabla33[Código Emisión],Tabla33[[#This Row],[Código Emisión]],Tabla33[Fecha de operación],Tabla33[[#This Row],[Fecha de operación]]),0)-Tabla33[[#This Row],[Accrued]]*Tabla33[[#This Row],[Valor Nominal]]</f>
        <v>0</v>
      </c>
      <c r="AI301" s="444">
        <f>+IF(Tabla33[[#This Row],[Amortización k | cupón de intereses]]="Amortización de K",IF(Tabla33[[#This Row],[Precio Clean]]&gt;1,Tabla33[[#This Row],[Valor Nominal]]*(Tabla33[[#This Row],[Precio Clean]]-1),0),0)</f>
        <v>0</v>
      </c>
      <c r="AJ301" s="444">
        <f>+IF(Tabla33[[#This Row],[Amortización k | cupón de intereses]]="Amortización de K",IF(Tabla33[[#This Row],[Precio Clean]]&lt;1,Tabla33[[#This Row],[Valor Nominal]]*(Tabla33[[#This Row],[Precio Clean]]-1),0),0)</f>
        <v>0</v>
      </c>
    </row>
    <row r="302" spans="1:36">
      <c r="A302" s="502"/>
      <c r="B302" s="437" t="str">
        <f t="shared" si="191"/>
        <v>Bancop S.A.</v>
      </c>
      <c r="C302" s="437" t="str">
        <f t="shared" si="189"/>
        <v>BCO_6,50%_02102028_AA4088-91_250K</v>
      </c>
      <c r="D302" s="437" t="s">
        <v>453</v>
      </c>
      <c r="E302" s="437" t="str">
        <f t="shared" si="192"/>
        <v>AA-py</v>
      </c>
      <c r="F302" s="437" t="s">
        <v>297</v>
      </c>
      <c r="G302" s="437" t="s">
        <v>298</v>
      </c>
      <c r="H302" s="437">
        <v>2</v>
      </c>
      <c r="I302" s="492">
        <v>1335.6164383561643</v>
      </c>
      <c r="J302" s="451"/>
      <c r="K302" s="450"/>
      <c r="L302" s="451"/>
      <c r="M302" s="493"/>
      <c r="N302" s="493"/>
      <c r="O302" s="494">
        <f t="shared" si="190"/>
        <v>6.5565869200000002E-2</v>
      </c>
      <c r="P302" s="494">
        <f t="shared" si="190"/>
        <v>6.3669465351994248E-2</v>
      </c>
      <c r="Q302" s="450">
        <f t="shared" si="190"/>
        <v>45937</v>
      </c>
      <c r="R302" s="450">
        <v>46773</v>
      </c>
      <c r="S302" s="509" t="s">
        <v>146</v>
      </c>
      <c r="T302" s="510">
        <f>Tabla33[[#This Row],[Cantidad]]*Tabla33[[#This Row],[Cortes]]</f>
        <v>2671.2328767123286</v>
      </c>
      <c r="U302" s="511">
        <f t="shared" si="181"/>
        <v>2343.6285197100069</v>
      </c>
      <c r="V302" s="511">
        <f t="shared" si="182"/>
        <v>2343.2207895626129</v>
      </c>
      <c r="W302" s="497">
        <f>IF(Tabla33[[#This Row],[Fecha de operación]]=$C$1,0,U302-V302)</f>
        <v>0.40773014739397695</v>
      </c>
      <c r="X302" s="512" t="str">
        <f t="shared" si="185"/>
        <v>Vigente</v>
      </c>
      <c r="Y302" s="498" t="s">
        <v>450</v>
      </c>
      <c r="Z302" s="469">
        <f t="shared" si="186"/>
        <v>752</v>
      </c>
      <c r="AA302" s="499">
        <f t="shared" si="193"/>
        <v>2.5050510437655946</v>
      </c>
      <c r="AB302" s="499">
        <f t="shared" si="193"/>
        <v>2.4646517846319136</v>
      </c>
      <c r="AC302" s="469" t="s">
        <v>451</v>
      </c>
      <c r="AD302" s="469" t="s">
        <v>454</v>
      </c>
      <c r="AF302" s="444">
        <f>+IF(Tabla33[[#This Row],[Amortización k | cupón de intereses]]="Amortización de K",Tabla33[[#This Row],[Valor Nominal]],0)</f>
        <v>0</v>
      </c>
      <c r="AG302" s="444">
        <f>+IF(AND(Tabla33[[#This Row],[Amortización k | cupón de intereses]]="Cupón de interés",Tabla33[[#This Row],[Estado]]="Vigente"),Tabla33[[#This Row],[Valor Nominal]],0)</f>
        <v>2671.2328767123286</v>
      </c>
      <c r="AH302" s="444">
        <f>+IF(Tabla33[[#This Row],[Amortización k | cupón de intereses]]="Amortización de K",SUMIFS($AG$7:$AG$418,Tabla33[Código Emisión],Tabla33[[#This Row],[Código Emisión]],Tabla33[Fecha de operación],Tabla33[[#This Row],[Fecha de operación]]),0)-Tabla33[[#This Row],[Accrued]]*Tabla33[[#This Row],[Valor Nominal]]</f>
        <v>0</v>
      </c>
      <c r="AI302" s="444">
        <f>+IF(Tabla33[[#This Row],[Amortización k | cupón de intereses]]="Amortización de K",IF(Tabla33[[#This Row],[Precio Clean]]&gt;1,Tabla33[[#This Row],[Valor Nominal]]*(Tabla33[[#This Row],[Precio Clean]]-1),0),0)</f>
        <v>0</v>
      </c>
      <c r="AJ302" s="444">
        <f>+IF(Tabla33[[#This Row],[Amortización k | cupón de intereses]]="Amortización de K",IF(Tabla33[[#This Row],[Precio Clean]]&lt;1,Tabla33[[#This Row],[Valor Nominal]]*(Tabla33[[#This Row],[Precio Clean]]-1),0),0)</f>
        <v>0</v>
      </c>
    </row>
    <row r="303" spans="1:36">
      <c r="A303" s="502"/>
      <c r="B303" s="437" t="str">
        <f t="shared" si="191"/>
        <v>Bancop S.A.</v>
      </c>
      <c r="C303" s="437" t="str">
        <f t="shared" si="189"/>
        <v>BCO_6,50%_02102028_AA4088-91_250K</v>
      </c>
      <c r="D303" s="437" t="s">
        <v>453</v>
      </c>
      <c r="E303" s="437" t="str">
        <f t="shared" si="192"/>
        <v>AA-py</v>
      </c>
      <c r="F303" s="437" t="s">
        <v>297</v>
      </c>
      <c r="G303" s="437" t="s">
        <v>298</v>
      </c>
      <c r="H303" s="437">
        <v>2</v>
      </c>
      <c r="I303" s="492">
        <v>1335.6164383561643</v>
      </c>
      <c r="J303" s="451"/>
      <c r="K303" s="450"/>
      <c r="L303" s="451"/>
      <c r="M303" s="493"/>
      <c r="N303" s="493"/>
      <c r="O303" s="494">
        <f t="shared" si="190"/>
        <v>6.5565869200000002E-2</v>
      </c>
      <c r="P303" s="494">
        <f t="shared" si="190"/>
        <v>6.3669465351994248E-2</v>
      </c>
      <c r="Q303" s="450">
        <f t="shared" si="190"/>
        <v>45937</v>
      </c>
      <c r="R303" s="450">
        <v>46743</v>
      </c>
      <c r="S303" s="509" t="s">
        <v>146</v>
      </c>
      <c r="T303" s="510">
        <f>Tabla33[[#This Row],[Cantidad]]*Tabla33[[#This Row],[Cortes]]</f>
        <v>2671.2328767123286</v>
      </c>
      <c r="U303" s="511">
        <f t="shared" si="181"/>
        <v>2355.893469923888</v>
      </c>
      <c r="V303" s="511">
        <f t="shared" si="182"/>
        <v>2355.4836059955142</v>
      </c>
      <c r="W303" s="497">
        <f>IF(Tabla33[[#This Row],[Fecha de operación]]=$C$1,0,U303-V303)</f>
        <v>0.4098639283738521</v>
      </c>
      <c r="X303" s="512" t="str">
        <f t="shared" si="185"/>
        <v>Vigente</v>
      </c>
      <c r="Y303" s="498" t="s">
        <v>450</v>
      </c>
      <c r="Z303" s="469">
        <f t="shared" si="186"/>
        <v>722</v>
      </c>
      <c r="AA303" s="499">
        <f t="shared" si="193"/>
        <v>2.5050510437655946</v>
      </c>
      <c r="AB303" s="499">
        <f t="shared" si="193"/>
        <v>2.4646517846319136</v>
      </c>
      <c r="AC303" s="469" t="s">
        <v>451</v>
      </c>
      <c r="AD303" s="469" t="s">
        <v>454</v>
      </c>
      <c r="AF303" s="444">
        <f>+IF(Tabla33[[#This Row],[Amortización k | cupón de intereses]]="Amortización de K",Tabla33[[#This Row],[Valor Nominal]],0)</f>
        <v>0</v>
      </c>
      <c r="AG303" s="444">
        <f>+IF(AND(Tabla33[[#This Row],[Amortización k | cupón de intereses]]="Cupón de interés",Tabla33[[#This Row],[Estado]]="Vigente"),Tabla33[[#This Row],[Valor Nominal]],0)</f>
        <v>2671.2328767123286</v>
      </c>
      <c r="AH303" s="444">
        <f>+IF(Tabla33[[#This Row],[Amortización k | cupón de intereses]]="Amortización de K",SUMIFS($AG$7:$AG$418,Tabla33[Código Emisión],Tabla33[[#This Row],[Código Emisión]],Tabla33[Fecha de operación],Tabla33[[#This Row],[Fecha de operación]]),0)-Tabla33[[#This Row],[Accrued]]*Tabla33[[#This Row],[Valor Nominal]]</f>
        <v>0</v>
      </c>
      <c r="AI303" s="444">
        <f>+IF(Tabla33[[#This Row],[Amortización k | cupón de intereses]]="Amortización de K",IF(Tabla33[[#This Row],[Precio Clean]]&gt;1,Tabla33[[#This Row],[Valor Nominal]]*(Tabla33[[#This Row],[Precio Clean]]-1),0),0)</f>
        <v>0</v>
      </c>
      <c r="AJ303" s="444">
        <f>+IF(Tabla33[[#This Row],[Amortización k | cupón de intereses]]="Amortización de K",IF(Tabla33[[#This Row],[Precio Clean]]&lt;1,Tabla33[[#This Row],[Valor Nominal]]*(Tabla33[[#This Row],[Precio Clean]]-1),0),0)</f>
        <v>0</v>
      </c>
    </row>
    <row r="304" spans="1:36">
      <c r="A304" s="502"/>
      <c r="B304" s="437" t="str">
        <f t="shared" si="191"/>
        <v>Bancop S.A.</v>
      </c>
      <c r="C304" s="437" t="str">
        <f t="shared" si="189"/>
        <v>BCO_6,50%_02102028_AA4088-91_250K</v>
      </c>
      <c r="D304" s="437" t="s">
        <v>453</v>
      </c>
      <c r="E304" s="437" t="str">
        <f t="shared" si="192"/>
        <v>AA-py</v>
      </c>
      <c r="F304" s="437" t="s">
        <v>297</v>
      </c>
      <c r="G304" s="437" t="s">
        <v>298</v>
      </c>
      <c r="H304" s="437">
        <v>2</v>
      </c>
      <c r="I304" s="492">
        <v>1246.5753424657535</v>
      </c>
      <c r="J304" s="451"/>
      <c r="K304" s="450"/>
      <c r="L304" s="451"/>
      <c r="M304" s="493"/>
      <c r="N304" s="493"/>
      <c r="O304" s="494">
        <f t="shared" si="190"/>
        <v>6.5565869200000002E-2</v>
      </c>
      <c r="P304" s="494">
        <f t="shared" si="190"/>
        <v>6.3669465351994248E-2</v>
      </c>
      <c r="Q304" s="450">
        <f t="shared" si="190"/>
        <v>45937</v>
      </c>
      <c r="R304" s="450">
        <v>46713</v>
      </c>
      <c r="S304" s="509" t="s">
        <v>146</v>
      </c>
      <c r="T304" s="510">
        <f>Tabla33[[#This Row],[Cantidad]]*Tabla33[[#This Row],[Cortes]]</f>
        <v>2493.1506849315069</v>
      </c>
      <c r="U304" s="511">
        <f t="shared" si="181"/>
        <v>2210.341099405834</v>
      </c>
      <c r="V304" s="511">
        <f t="shared" si="182"/>
        <v>2209.9565577881358</v>
      </c>
      <c r="W304" s="497">
        <f>IF(Tabla33[[#This Row],[Fecha de operación]]=$C$1,0,U304-V304)</f>
        <v>0.38454161769823259</v>
      </c>
      <c r="X304" s="512" t="str">
        <f t="shared" si="185"/>
        <v>Vigente</v>
      </c>
      <c r="Y304" s="498" t="s">
        <v>450</v>
      </c>
      <c r="Z304" s="469">
        <f t="shared" si="186"/>
        <v>692</v>
      </c>
      <c r="AA304" s="499">
        <f t="shared" si="193"/>
        <v>2.5050510437655946</v>
      </c>
      <c r="AB304" s="499">
        <f t="shared" si="193"/>
        <v>2.4646517846319136</v>
      </c>
      <c r="AC304" s="469" t="s">
        <v>451</v>
      </c>
      <c r="AD304" s="469" t="s">
        <v>454</v>
      </c>
      <c r="AF304" s="444">
        <f>+IF(Tabla33[[#This Row],[Amortización k | cupón de intereses]]="Amortización de K",Tabla33[[#This Row],[Valor Nominal]],0)</f>
        <v>0</v>
      </c>
      <c r="AG304" s="444">
        <f>+IF(AND(Tabla33[[#This Row],[Amortización k | cupón de intereses]]="Cupón de interés",Tabla33[[#This Row],[Estado]]="Vigente"),Tabla33[[#This Row],[Valor Nominal]],0)</f>
        <v>2493.1506849315069</v>
      </c>
      <c r="AH304" s="444">
        <f>+IF(Tabla33[[#This Row],[Amortización k | cupón de intereses]]="Amortización de K",SUMIFS($AG$7:$AG$418,Tabla33[Código Emisión],Tabla33[[#This Row],[Código Emisión]],Tabla33[Fecha de operación],Tabla33[[#This Row],[Fecha de operación]]),0)-Tabla33[[#This Row],[Accrued]]*Tabla33[[#This Row],[Valor Nominal]]</f>
        <v>0</v>
      </c>
      <c r="AI304" s="444">
        <f>+IF(Tabla33[[#This Row],[Amortización k | cupón de intereses]]="Amortización de K",IF(Tabla33[[#This Row],[Precio Clean]]&gt;1,Tabla33[[#This Row],[Valor Nominal]]*(Tabla33[[#This Row],[Precio Clean]]-1),0),0)</f>
        <v>0</v>
      </c>
      <c r="AJ304" s="444">
        <f>+IF(Tabla33[[#This Row],[Amortización k | cupón de intereses]]="Amortización de K",IF(Tabla33[[#This Row],[Precio Clean]]&lt;1,Tabla33[[#This Row],[Valor Nominal]]*(Tabla33[[#This Row],[Precio Clean]]-1),0),0)</f>
        <v>0</v>
      </c>
    </row>
    <row r="305" spans="1:36">
      <c r="A305" s="502"/>
      <c r="B305" s="437" t="str">
        <f t="shared" si="191"/>
        <v>Bancop S.A.</v>
      </c>
      <c r="C305" s="437" t="str">
        <f t="shared" si="189"/>
        <v>BCO_6,50%_02102028_AA4088-91_250K</v>
      </c>
      <c r="D305" s="437" t="s">
        <v>453</v>
      </c>
      <c r="E305" s="437" t="str">
        <f t="shared" si="192"/>
        <v>AA-py</v>
      </c>
      <c r="F305" s="437" t="s">
        <v>297</v>
      </c>
      <c r="G305" s="437" t="s">
        <v>298</v>
      </c>
      <c r="H305" s="437">
        <v>2</v>
      </c>
      <c r="I305" s="492">
        <v>1424.6575342465753</v>
      </c>
      <c r="J305" s="451"/>
      <c r="K305" s="450"/>
      <c r="L305" s="451"/>
      <c r="M305" s="493"/>
      <c r="N305" s="493"/>
      <c r="O305" s="494">
        <f t="shared" si="190"/>
        <v>6.5565869200000002E-2</v>
      </c>
      <c r="P305" s="494">
        <f t="shared" si="190"/>
        <v>6.3669465351994248E-2</v>
      </c>
      <c r="Q305" s="450">
        <f t="shared" si="190"/>
        <v>45937</v>
      </c>
      <c r="R305" s="450">
        <v>46685</v>
      </c>
      <c r="S305" s="509" t="s">
        <v>146</v>
      </c>
      <c r="T305" s="510">
        <f>Tabla33[[#This Row],[Cantidad]]*Tabla33[[#This Row],[Cortes]]</f>
        <v>2849.3150684931506</v>
      </c>
      <c r="U305" s="511">
        <f t="shared" si="181"/>
        <v>2538.440541141902</v>
      </c>
      <c r="V305" s="511">
        <f t="shared" si="182"/>
        <v>2537.9989187912233</v>
      </c>
      <c r="W305" s="497">
        <f>IF(Tabla33[[#This Row],[Fecha de operación]]=$C$1,0,U305-V305)</f>
        <v>0.44162235067869915</v>
      </c>
      <c r="X305" s="512" t="str">
        <f t="shared" si="185"/>
        <v>Vigente</v>
      </c>
      <c r="Y305" s="498" t="s">
        <v>450</v>
      </c>
      <c r="Z305" s="469">
        <f t="shared" si="186"/>
        <v>664</v>
      </c>
      <c r="AA305" s="499">
        <f t="shared" si="193"/>
        <v>2.5050510437655946</v>
      </c>
      <c r="AB305" s="499">
        <f t="shared" si="193"/>
        <v>2.4646517846319136</v>
      </c>
      <c r="AC305" s="469" t="s">
        <v>451</v>
      </c>
      <c r="AD305" s="469" t="s">
        <v>454</v>
      </c>
      <c r="AF305" s="444">
        <f>+IF(Tabla33[[#This Row],[Amortización k | cupón de intereses]]="Amortización de K",Tabla33[[#This Row],[Valor Nominal]],0)</f>
        <v>0</v>
      </c>
      <c r="AG305" s="444">
        <f>+IF(AND(Tabla33[[#This Row],[Amortización k | cupón de intereses]]="Cupón de interés",Tabla33[[#This Row],[Estado]]="Vigente"),Tabla33[[#This Row],[Valor Nominal]],0)</f>
        <v>2849.3150684931506</v>
      </c>
      <c r="AH305" s="444">
        <f>+IF(Tabla33[[#This Row],[Amortización k | cupón de intereses]]="Amortización de K",SUMIFS($AG$7:$AG$418,Tabla33[Código Emisión],Tabla33[[#This Row],[Código Emisión]],Tabla33[Fecha de operación],Tabla33[[#This Row],[Fecha de operación]]),0)-Tabla33[[#This Row],[Accrued]]*Tabla33[[#This Row],[Valor Nominal]]</f>
        <v>0</v>
      </c>
      <c r="AI305" s="444">
        <f>+IF(Tabla33[[#This Row],[Amortización k | cupón de intereses]]="Amortización de K",IF(Tabla33[[#This Row],[Precio Clean]]&gt;1,Tabla33[[#This Row],[Valor Nominal]]*(Tabla33[[#This Row],[Precio Clean]]-1),0),0)</f>
        <v>0</v>
      </c>
      <c r="AJ305" s="444">
        <f>+IF(Tabla33[[#This Row],[Amortización k | cupón de intereses]]="Amortización de K",IF(Tabla33[[#This Row],[Precio Clean]]&lt;1,Tabla33[[#This Row],[Valor Nominal]]*(Tabla33[[#This Row],[Precio Clean]]-1),0),0)</f>
        <v>0</v>
      </c>
    </row>
    <row r="306" spans="1:36">
      <c r="A306" s="502"/>
      <c r="B306" s="437" t="str">
        <f t="shared" si="191"/>
        <v>Bancop S.A.</v>
      </c>
      <c r="C306" s="437" t="str">
        <f t="shared" si="189"/>
        <v>BCO_6,50%_02102028_AA4088-91_250K</v>
      </c>
      <c r="D306" s="437" t="s">
        <v>453</v>
      </c>
      <c r="E306" s="437" t="str">
        <f t="shared" si="192"/>
        <v>AA-py</v>
      </c>
      <c r="F306" s="437" t="s">
        <v>297</v>
      </c>
      <c r="G306" s="437" t="s">
        <v>298</v>
      </c>
      <c r="H306" s="437">
        <v>2</v>
      </c>
      <c r="I306" s="492">
        <v>1335.6164383561643</v>
      </c>
      <c r="J306" s="451"/>
      <c r="K306" s="450"/>
      <c r="L306" s="451"/>
      <c r="M306" s="493"/>
      <c r="N306" s="493"/>
      <c r="O306" s="494">
        <f t="shared" si="190"/>
        <v>6.5565869200000002E-2</v>
      </c>
      <c r="P306" s="494">
        <f t="shared" si="190"/>
        <v>6.3669465351994248E-2</v>
      </c>
      <c r="Q306" s="450">
        <f t="shared" si="190"/>
        <v>45937</v>
      </c>
      <c r="R306" s="450">
        <v>46653</v>
      </c>
      <c r="S306" s="509" t="s">
        <v>146</v>
      </c>
      <c r="T306" s="510">
        <f>Tabla33[[#This Row],[Cantidad]]*Tabla33[[#This Row],[Cortes]]</f>
        <v>2671.2328767123286</v>
      </c>
      <c r="U306" s="511">
        <f t="shared" si="181"/>
        <v>2393.0747841646989</v>
      </c>
      <c r="V306" s="511">
        <f t="shared" si="182"/>
        <v>2392.6584516588146</v>
      </c>
      <c r="W306" s="497">
        <f>IF(Tabla33[[#This Row],[Fecha de operación]]=$C$1,0,U306-V306)</f>
        <v>0.41633250588438386</v>
      </c>
      <c r="X306" s="512" t="str">
        <f t="shared" si="185"/>
        <v>Vigente</v>
      </c>
      <c r="Y306" s="498" t="s">
        <v>450</v>
      </c>
      <c r="Z306" s="469">
        <f t="shared" si="186"/>
        <v>632</v>
      </c>
      <c r="AA306" s="499">
        <f t="shared" si="193"/>
        <v>2.5050510437655946</v>
      </c>
      <c r="AB306" s="499">
        <f t="shared" si="193"/>
        <v>2.4646517846319136</v>
      </c>
      <c r="AC306" s="469" t="s">
        <v>451</v>
      </c>
      <c r="AD306" s="469" t="s">
        <v>454</v>
      </c>
      <c r="AF306" s="444">
        <f>+IF(Tabla33[[#This Row],[Amortización k | cupón de intereses]]="Amortización de K",Tabla33[[#This Row],[Valor Nominal]],0)</f>
        <v>0</v>
      </c>
      <c r="AG306" s="444">
        <f>+IF(AND(Tabla33[[#This Row],[Amortización k | cupón de intereses]]="Cupón de interés",Tabla33[[#This Row],[Estado]]="Vigente"),Tabla33[[#This Row],[Valor Nominal]],0)</f>
        <v>2671.2328767123286</v>
      </c>
      <c r="AH306" s="444">
        <f>+IF(Tabla33[[#This Row],[Amortización k | cupón de intereses]]="Amortización de K",SUMIFS($AG$7:$AG$418,Tabla33[Código Emisión],Tabla33[[#This Row],[Código Emisión]],Tabla33[Fecha de operación],Tabla33[[#This Row],[Fecha de operación]]),0)-Tabla33[[#This Row],[Accrued]]*Tabla33[[#This Row],[Valor Nominal]]</f>
        <v>0</v>
      </c>
      <c r="AI306" s="444">
        <f>+IF(Tabla33[[#This Row],[Amortización k | cupón de intereses]]="Amortización de K",IF(Tabla33[[#This Row],[Precio Clean]]&gt;1,Tabla33[[#This Row],[Valor Nominal]]*(Tabla33[[#This Row],[Precio Clean]]-1),0),0)</f>
        <v>0</v>
      </c>
      <c r="AJ306" s="444">
        <f>+IF(Tabla33[[#This Row],[Amortización k | cupón de intereses]]="Amortización de K",IF(Tabla33[[#This Row],[Precio Clean]]&lt;1,Tabla33[[#This Row],[Valor Nominal]]*(Tabla33[[#This Row],[Precio Clean]]-1),0),0)</f>
        <v>0</v>
      </c>
    </row>
    <row r="307" spans="1:36">
      <c r="A307" s="502"/>
      <c r="B307" s="437" t="str">
        <f t="shared" si="191"/>
        <v>Bancop S.A.</v>
      </c>
      <c r="C307" s="437" t="str">
        <f t="shared" si="189"/>
        <v>BCO_6,50%_02102028_AA4088-91_250K</v>
      </c>
      <c r="D307" s="437" t="s">
        <v>453</v>
      </c>
      <c r="E307" s="437" t="str">
        <f t="shared" si="192"/>
        <v>AA-py</v>
      </c>
      <c r="F307" s="437" t="s">
        <v>297</v>
      </c>
      <c r="G307" s="437" t="s">
        <v>298</v>
      </c>
      <c r="H307" s="437">
        <v>2</v>
      </c>
      <c r="I307" s="492">
        <v>1291.0958904109589</v>
      </c>
      <c r="J307" s="451"/>
      <c r="K307" s="450"/>
      <c r="L307" s="451"/>
      <c r="M307" s="493"/>
      <c r="N307" s="493"/>
      <c r="O307" s="494">
        <f t="shared" si="190"/>
        <v>6.5565869200000002E-2</v>
      </c>
      <c r="P307" s="494">
        <f t="shared" si="190"/>
        <v>6.3669465351994248E-2</v>
      </c>
      <c r="Q307" s="450">
        <f t="shared" si="190"/>
        <v>45937</v>
      </c>
      <c r="R307" s="450">
        <v>46623</v>
      </c>
      <c r="S307" s="509" t="s">
        <v>146</v>
      </c>
      <c r="T307" s="510">
        <f>Tabla33[[#This Row],[Cantidad]]*Tabla33[[#This Row],[Cortes]]</f>
        <v>2582.1917808219177</v>
      </c>
      <c r="U307" s="511">
        <f t="shared" si="181"/>
        <v>2325.4118855942725</v>
      </c>
      <c r="V307" s="511">
        <f t="shared" si="182"/>
        <v>2325.0073246654006</v>
      </c>
      <c r="W307" s="497">
        <f>IF(Tabla33[[#This Row],[Fecha de operación]]=$C$1,0,U307-V307)</f>
        <v>0.40456092887188788</v>
      </c>
      <c r="X307" s="512" t="str">
        <f t="shared" si="185"/>
        <v>Vigente</v>
      </c>
      <c r="Y307" s="498" t="s">
        <v>450</v>
      </c>
      <c r="Z307" s="469">
        <f t="shared" si="186"/>
        <v>602</v>
      </c>
      <c r="AA307" s="499">
        <f t="shared" si="193"/>
        <v>2.5050510437655946</v>
      </c>
      <c r="AB307" s="499">
        <f t="shared" si="193"/>
        <v>2.4646517846319136</v>
      </c>
      <c r="AC307" s="469" t="s">
        <v>451</v>
      </c>
      <c r="AD307" s="469" t="s">
        <v>454</v>
      </c>
      <c r="AF307" s="444">
        <f>+IF(Tabla33[[#This Row],[Amortización k | cupón de intereses]]="Amortización de K",Tabla33[[#This Row],[Valor Nominal]],0)</f>
        <v>0</v>
      </c>
      <c r="AG307" s="444">
        <f>+IF(AND(Tabla33[[#This Row],[Amortización k | cupón de intereses]]="Cupón de interés",Tabla33[[#This Row],[Estado]]="Vigente"),Tabla33[[#This Row],[Valor Nominal]],0)</f>
        <v>2582.1917808219177</v>
      </c>
      <c r="AH307" s="444">
        <f>+IF(Tabla33[[#This Row],[Amortización k | cupón de intereses]]="Amortización de K",SUMIFS($AG$7:$AG$418,Tabla33[Código Emisión],Tabla33[[#This Row],[Código Emisión]],Tabla33[Fecha de operación],Tabla33[[#This Row],[Fecha de operación]]),0)-Tabla33[[#This Row],[Accrued]]*Tabla33[[#This Row],[Valor Nominal]]</f>
        <v>0</v>
      </c>
      <c r="AI307" s="444">
        <f>+IF(Tabla33[[#This Row],[Amortización k | cupón de intereses]]="Amortización de K",IF(Tabla33[[#This Row],[Precio Clean]]&gt;1,Tabla33[[#This Row],[Valor Nominal]]*(Tabla33[[#This Row],[Precio Clean]]-1),0),0)</f>
        <v>0</v>
      </c>
      <c r="AJ307" s="444">
        <f>+IF(Tabla33[[#This Row],[Amortización k | cupón de intereses]]="Amortización de K",IF(Tabla33[[#This Row],[Precio Clean]]&lt;1,Tabla33[[#This Row],[Valor Nominal]]*(Tabla33[[#This Row],[Precio Clean]]-1),0),0)</f>
        <v>0</v>
      </c>
    </row>
    <row r="308" spans="1:36">
      <c r="A308" s="502"/>
      <c r="B308" s="437" t="str">
        <f t="shared" si="191"/>
        <v>Bancop S.A.</v>
      </c>
      <c r="C308" s="437" t="str">
        <f t="shared" si="189"/>
        <v>BCO_6,50%_02102028_AA4088-91_250K</v>
      </c>
      <c r="D308" s="437" t="s">
        <v>453</v>
      </c>
      <c r="E308" s="437" t="str">
        <f t="shared" si="192"/>
        <v>AA-py</v>
      </c>
      <c r="F308" s="437" t="s">
        <v>297</v>
      </c>
      <c r="G308" s="437" t="s">
        <v>298</v>
      </c>
      <c r="H308" s="437">
        <v>2</v>
      </c>
      <c r="I308" s="492">
        <v>1380.1369863013699</v>
      </c>
      <c r="J308" s="451"/>
      <c r="K308" s="450"/>
      <c r="L308" s="451"/>
      <c r="M308" s="493"/>
      <c r="N308" s="493"/>
      <c r="O308" s="494">
        <f t="shared" si="190"/>
        <v>6.5565869200000002E-2</v>
      </c>
      <c r="P308" s="494">
        <f t="shared" si="190"/>
        <v>6.3669465351994248E-2</v>
      </c>
      <c r="Q308" s="450">
        <f t="shared" si="190"/>
        <v>45937</v>
      </c>
      <c r="R308" s="450">
        <v>46594</v>
      </c>
      <c r="S308" s="509" t="s">
        <v>146</v>
      </c>
      <c r="T308" s="510">
        <f>Tabla33[[#This Row],[Cantidad]]*Tabla33[[#This Row],[Cortes]]</f>
        <v>2760.2739726027398</v>
      </c>
      <c r="U308" s="511">
        <f t="shared" si="181"/>
        <v>2498.3592949079557</v>
      </c>
      <c r="V308" s="511">
        <f t="shared" si="182"/>
        <v>2497.9246456472092</v>
      </c>
      <c r="W308" s="497">
        <f>IF(Tabla33[[#This Row],[Fecha de operación]]=$C$1,0,U308-V308)</f>
        <v>0.43464926074648247</v>
      </c>
      <c r="X308" s="512" t="str">
        <f t="shared" si="185"/>
        <v>Vigente</v>
      </c>
      <c r="Y308" s="498" t="s">
        <v>450</v>
      </c>
      <c r="Z308" s="469">
        <f t="shared" si="186"/>
        <v>573</v>
      </c>
      <c r="AA308" s="499">
        <f t="shared" si="193"/>
        <v>2.5050510437655946</v>
      </c>
      <c r="AB308" s="499">
        <f t="shared" si="193"/>
        <v>2.4646517846319136</v>
      </c>
      <c r="AC308" s="469" t="s">
        <v>451</v>
      </c>
      <c r="AD308" s="469" t="s">
        <v>454</v>
      </c>
      <c r="AF308" s="444">
        <f>+IF(Tabla33[[#This Row],[Amortización k | cupón de intereses]]="Amortización de K",Tabla33[[#This Row],[Valor Nominal]],0)</f>
        <v>0</v>
      </c>
      <c r="AG308" s="444">
        <f>+IF(AND(Tabla33[[#This Row],[Amortización k | cupón de intereses]]="Cupón de interés",Tabla33[[#This Row],[Estado]]="Vigente"),Tabla33[[#This Row],[Valor Nominal]],0)</f>
        <v>2760.2739726027398</v>
      </c>
      <c r="AH308" s="444">
        <f>+IF(Tabla33[[#This Row],[Amortización k | cupón de intereses]]="Amortización de K",SUMIFS($AG$7:$AG$418,Tabla33[Código Emisión],Tabla33[[#This Row],[Código Emisión]],Tabla33[Fecha de operación],Tabla33[[#This Row],[Fecha de operación]]),0)-Tabla33[[#This Row],[Accrued]]*Tabla33[[#This Row],[Valor Nominal]]</f>
        <v>0</v>
      </c>
      <c r="AI308" s="444">
        <f>+IF(Tabla33[[#This Row],[Amortización k | cupón de intereses]]="Amortización de K",IF(Tabla33[[#This Row],[Precio Clean]]&gt;1,Tabla33[[#This Row],[Valor Nominal]]*(Tabla33[[#This Row],[Precio Clean]]-1),0),0)</f>
        <v>0</v>
      </c>
      <c r="AJ308" s="444">
        <f>+IF(Tabla33[[#This Row],[Amortización k | cupón de intereses]]="Amortización de K",IF(Tabla33[[#This Row],[Precio Clean]]&lt;1,Tabla33[[#This Row],[Valor Nominal]]*(Tabla33[[#This Row],[Precio Clean]]-1),0),0)</f>
        <v>0</v>
      </c>
    </row>
    <row r="309" spans="1:36">
      <c r="A309" s="502"/>
      <c r="B309" s="437" t="str">
        <f t="shared" si="191"/>
        <v>Bancop S.A.</v>
      </c>
      <c r="C309" s="437" t="str">
        <f t="shared" si="189"/>
        <v>BCO_6,50%_02102028_AA4088-91_250K</v>
      </c>
      <c r="D309" s="437" t="s">
        <v>453</v>
      </c>
      <c r="E309" s="437" t="str">
        <f t="shared" si="192"/>
        <v>AA-py</v>
      </c>
      <c r="F309" s="437" t="s">
        <v>297</v>
      </c>
      <c r="G309" s="437" t="s">
        <v>298</v>
      </c>
      <c r="H309" s="437">
        <v>2</v>
      </c>
      <c r="I309" s="492">
        <v>1335.6164383561643</v>
      </c>
      <c r="J309" s="451"/>
      <c r="K309" s="450"/>
      <c r="L309" s="451"/>
      <c r="M309" s="493"/>
      <c r="N309" s="493"/>
      <c r="O309" s="494">
        <f t="shared" si="190"/>
        <v>6.5565869200000002E-2</v>
      </c>
      <c r="P309" s="494">
        <f t="shared" si="190"/>
        <v>6.3669465351994248E-2</v>
      </c>
      <c r="Q309" s="450">
        <f t="shared" si="190"/>
        <v>45937</v>
      </c>
      <c r="R309" s="450">
        <v>46563</v>
      </c>
      <c r="S309" s="509" t="s">
        <v>146</v>
      </c>
      <c r="T309" s="510">
        <f>Tabla33[[#This Row],[Cantidad]]*Tabla33[[#This Row],[Cortes]]</f>
        <v>2671.2328767123286</v>
      </c>
      <c r="U309" s="511">
        <f t="shared" si="181"/>
        <v>2430.8429034314258</v>
      </c>
      <c r="V309" s="511">
        <f t="shared" si="182"/>
        <v>2430.4200002592838</v>
      </c>
      <c r="W309" s="497">
        <f>IF(Tabla33[[#This Row],[Fecha de operación]]=$C$1,0,U309-V309)</f>
        <v>0.42290317214201423</v>
      </c>
      <c r="X309" s="512" t="str">
        <f t="shared" si="185"/>
        <v>Vigente</v>
      </c>
      <c r="Y309" s="498" t="s">
        <v>450</v>
      </c>
      <c r="Z309" s="469">
        <f t="shared" si="186"/>
        <v>542</v>
      </c>
      <c r="AA309" s="499">
        <f t="shared" si="193"/>
        <v>2.5050510437655946</v>
      </c>
      <c r="AB309" s="499">
        <f t="shared" si="193"/>
        <v>2.4646517846319136</v>
      </c>
      <c r="AC309" s="469" t="s">
        <v>451</v>
      </c>
      <c r="AD309" s="469" t="s">
        <v>454</v>
      </c>
      <c r="AF309" s="444">
        <f>+IF(Tabla33[[#This Row],[Amortización k | cupón de intereses]]="Amortización de K",Tabla33[[#This Row],[Valor Nominal]],0)</f>
        <v>0</v>
      </c>
      <c r="AG309" s="444">
        <f>+IF(AND(Tabla33[[#This Row],[Amortización k | cupón de intereses]]="Cupón de interés",Tabla33[[#This Row],[Estado]]="Vigente"),Tabla33[[#This Row],[Valor Nominal]],0)</f>
        <v>2671.2328767123286</v>
      </c>
      <c r="AH309" s="444">
        <f>+IF(Tabla33[[#This Row],[Amortización k | cupón de intereses]]="Amortización de K",SUMIFS($AG$7:$AG$418,Tabla33[Código Emisión],Tabla33[[#This Row],[Código Emisión]],Tabla33[Fecha de operación],Tabla33[[#This Row],[Fecha de operación]]),0)-Tabla33[[#This Row],[Accrued]]*Tabla33[[#This Row],[Valor Nominal]]</f>
        <v>0</v>
      </c>
      <c r="AI309" s="444">
        <f>+IF(Tabla33[[#This Row],[Amortización k | cupón de intereses]]="Amortización de K",IF(Tabla33[[#This Row],[Precio Clean]]&gt;1,Tabla33[[#This Row],[Valor Nominal]]*(Tabla33[[#This Row],[Precio Clean]]-1),0),0)</f>
        <v>0</v>
      </c>
      <c r="AJ309" s="444">
        <f>+IF(Tabla33[[#This Row],[Amortización k | cupón de intereses]]="Amortización de K",IF(Tabla33[[#This Row],[Precio Clean]]&lt;1,Tabla33[[#This Row],[Valor Nominal]]*(Tabla33[[#This Row],[Precio Clean]]-1),0),0)</f>
        <v>0</v>
      </c>
    </row>
    <row r="310" spans="1:36">
      <c r="A310" s="502"/>
      <c r="B310" s="437" t="str">
        <f t="shared" si="191"/>
        <v>Bancop S.A.</v>
      </c>
      <c r="C310" s="437" t="str">
        <f t="shared" si="189"/>
        <v>BCO_6,50%_02102028_AA4088-91_250K</v>
      </c>
      <c r="D310" s="437" t="s">
        <v>453</v>
      </c>
      <c r="E310" s="437" t="str">
        <f t="shared" si="192"/>
        <v>AA-py</v>
      </c>
      <c r="F310" s="437" t="s">
        <v>297</v>
      </c>
      <c r="G310" s="437" t="s">
        <v>298</v>
      </c>
      <c r="H310" s="437">
        <v>2</v>
      </c>
      <c r="I310" s="492">
        <v>1335.6164383561643</v>
      </c>
      <c r="J310" s="451"/>
      <c r="K310" s="450"/>
      <c r="L310" s="451"/>
      <c r="M310" s="493"/>
      <c r="N310" s="493"/>
      <c r="O310" s="494">
        <f t="shared" ref="O310:Q325" si="194">+O309</f>
        <v>6.5565869200000002E-2</v>
      </c>
      <c r="P310" s="494">
        <f t="shared" si="194"/>
        <v>6.3669465351994248E-2</v>
      </c>
      <c r="Q310" s="450">
        <f t="shared" si="194"/>
        <v>45937</v>
      </c>
      <c r="R310" s="450">
        <v>46533</v>
      </c>
      <c r="S310" s="509" t="s">
        <v>146</v>
      </c>
      <c r="T310" s="510">
        <f>Tabla33[[#This Row],[Cantidad]]*Tabla33[[#This Row],[Cortes]]</f>
        <v>2671.2328767123286</v>
      </c>
      <c r="U310" s="511">
        <f t="shared" si="181"/>
        <v>2443.5642741339989</v>
      </c>
      <c r="V310" s="511">
        <f t="shared" si="182"/>
        <v>2443.1391577756335</v>
      </c>
      <c r="W310" s="497">
        <f>IF(Tabla33[[#This Row],[Fecha de operación]]=$C$1,0,U310-V310)</f>
        <v>0.42511635836535788</v>
      </c>
      <c r="X310" s="512" t="str">
        <f t="shared" si="185"/>
        <v>Vigente</v>
      </c>
      <c r="Y310" s="498" t="s">
        <v>450</v>
      </c>
      <c r="Z310" s="469">
        <f t="shared" si="186"/>
        <v>512</v>
      </c>
      <c r="AA310" s="499">
        <f t="shared" si="193"/>
        <v>2.5050510437655946</v>
      </c>
      <c r="AB310" s="499">
        <f t="shared" si="193"/>
        <v>2.4646517846319136</v>
      </c>
      <c r="AC310" s="469" t="s">
        <v>451</v>
      </c>
      <c r="AD310" s="469" t="s">
        <v>454</v>
      </c>
      <c r="AF310" s="444">
        <f>+IF(Tabla33[[#This Row],[Amortización k | cupón de intereses]]="Amortización de K",Tabla33[[#This Row],[Valor Nominal]],0)</f>
        <v>0</v>
      </c>
      <c r="AG310" s="444">
        <f>+IF(AND(Tabla33[[#This Row],[Amortización k | cupón de intereses]]="Cupón de interés",Tabla33[[#This Row],[Estado]]="Vigente"),Tabla33[[#This Row],[Valor Nominal]],0)</f>
        <v>2671.2328767123286</v>
      </c>
      <c r="AH310" s="444">
        <f>+IF(Tabla33[[#This Row],[Amortización k | cupón de intereses]]="Amortización de K",SUMIFS($AG$7:$AG$418,Tabla33[Código Emisión],Tabla33[[#This Row],[Código Emisión]],Tabla33[Fecha de operación],Tabla33[[#This Row],[Fecha de operación]]),0)-Tabla33[[#This Row],[Accrued]]*Tabla33[[#This Row],[Valor Nominal]]</f>
        <v>0</v>
      </c>
      <c r="AI310" s="444">
        <f>+IF(Tabla33[[#This Row],[Amortización k | cupón de intereses]]="Amortización de K",IF(Tabla33[[#This Row],[Precio Clean]]&gt;1,Tabla33[[#This Row],[Valor Nominal]]*(Tabla33[[#This Row],[Precio Clean]]-1),0),0)</f>
        <v>0</v>
      </c>
      <c r="AJ310" s="444">
        <f>+IF(Tabla33[[#This Row],[Amortización k | cupón de intereses]]="Amortización de K",IF(Tabla33[[#This Row],[Precio Clean]]&lt;1,Tabla33[[#This Row],[Valor Nominal]]*(Tabla33[[#This Row],[Precio Clean]]-1),0),0)</f>
        <v>0</v>
      </c>
    </row>
    <row r="311" spans="1:36">
      <c r="A311" s="502"/>
      <c r="B311" s="437" t="str">
        <f t="shared" ref="B311:C326" si="195">+B310</f>
        <v>Bancop S.A.</v>
      </c>
      <c r="C311" s="437" t="str">
        <f t="shared" si="189"/>
        <v>BCO_6,50%_02102028_AA4088-91_250K</v>
      </c>
      <c r="D311" s="437" t="s">
        <v>453</v>
      </c>
      <c r="E311" s="437" t="str">
        <f t="shared" si="192"/>
        <v>AA-py</v>
      </c>
      <c r="F311" s="437" t="s">
        <v>297</v>
      </c>
      <c r="G311" s="437" t="s">
        <v>298</v>
      </c>
      <c r="H311" s="437">
        <v>2</v>
      </c>
      <c r="I311" s="492">
        <v>1246.5753424657535</v>
      </c>
      <c r="J311" s="451"/>
      <c r="K311" s="450"/>
      <c r="L311" s="451"/>
      <c r="M311" s="493"/>
      <c r="N311" s="493"/>
      <c r="O311" s="494">
        <f t="shared" si="194"/>
        <v>6.5565869200000002E-2</v>
      </c>
      <c r="P311" s="494">
        <f t="shared" si="194"/>
        <v>6.3669465351994248E-2</v>
      </c>
      <c r="Q311" s="450">
        <f t="shared" si="194"/>
        <v>45937</v>
      </c>
      <c r="R311" s="450">
        <v>46503</v>
      </c>
      <c r="S311" s="509" t="s">
        <v>146</v>
      </c>
      <c r="T311" s="510">
        <f>Tabla33[[#This Row],[Cantidad]]*Tabla33[[#This Row],[Cortes]]</f>
        <v>2493.1506849315069</v>
      </c>
      <c r="U311" s="511">
        <f t="shared" si="181"/>
        <v>2292.595405144807</v>
      </c>
      <c r="V311" s="511">
        <f t="shared" si="182"/>
        <v>2292.1965534263741</v>
      </c>
      <c r="W311" s="497">
        <f>IF(Tabla33[[#This Row],[Fecha de operación]]=$C$1,0,U311-V311)</f>
        <v>0.3988517184329794</v>
      </c>
      <c r="X311" s="512" t="str">
        <f t="shared" si="185"/>
        <v>Vigente</v>
      </c>
      <c r="Y311" s="498" t="s">
        <v>450</v>
      </c>
      <c r="Z311" s="469">
        <f t="shared" si="186"/>
        <v>482</v>
      </c>
      <c r="AA311" s="499">
        <f t="shared" ref="AA311:AB326" si="196">+AA310</f>
        <v>2.5050510437655946</v>
      </c>
      <c r="AB311" s="499">
        <f t="shared" si="196"/>
        <v>2.4646517846319136</v>
      </c>
      <c r="AC311" s="469" t="s">
        <v>451</v>
      </c>
      <c r="AD311" s="469" t="s">
        <v>454</v>
      </c>
      <c r="AF311" s="444">
        <f>+IF(Tabla33[[#This Row],[Amortización k | cupón de intereses]]="Amortización de K",Tabla33[[#This Row],[Valor Nominal]],0)</f>
        <v>0</v>
      </c>
      <c r="AG311" s="444">
        <f>+IF(AND(Tabla33[[#This Row],[Amortización k | cupón de intereses]]="Cupón de interés",Tabla33[[#This Row],[Estado]]="Vigente"),Tabla33[[#This Row],[Valor Nominal]],0)</f>
        <v>2493.1506849315069</v>
      </c>
      <c r="AH311" s="444">
        <f>+IF(Tabla33[[#This Row],[Amortización k | cupón de intereses]]="Amortización de K",SUMIFS($AG$7:$AG$418,Tabla33[Código Emisión],Tabla33[[#This Row],[Código Emisión]],Tabla33[Fecha de operación],Tabla33[[#This Row],[Fecha de operación]]),0)-Tabla33[[#This Row],[Accrued]]*Tabla33[[#This Row],[Valor Nominal]]</f>
        <v>0</v>
      </c>
      <c r="AI311" s="444">
        <f>+IF(Tabla33[[#This Row],[Amortización k | cupón de intereses]]="Amortización de K",IF(Tabla33[[#This Row],[Precio Clean]]&gt;1,Tabla33[[#This Row],[Valor Nominal]]*(Tabla33[[#This Row],[Precio Clean]]-1),0),0)</f>
        <v>0</v>
      </c>
      <c r="AJ311" s="444">
        <f>+IF(Tabla33[[#This Row],[Amortización k | cupón de intereses]]="Amortización de K",IF(Tabla33[[#This Row],[Precio Clean]]&lt;1,Tabla33[[#This Row],[Valor Nominal]]*(Tabla33[[#This Row],[Precio Clean]]-1),0),0)</f>
        <v>0</v>
      </c>
    </row>
    <row r="312" spans="1:36">
      <c r="A312" s="502"/>
      <c r="B312" s="437" t="str">
        <f t="shared" si="195"/>
        <v>Bancop S.A.</v>
      </c>
      <c r="C312" s="437" t="str">
        <f t="shared" si="189"/>
        <v>BCO_6,50%_02102028_AA4088-91_250K</v>
      </c>
      <c r="D312" s="437" t="s">
        <v>453</v>
      </c>
      <c r="E312" s="437" t="str">
        <f t="shared" si="192"/>
        <v>AA-py</v>
      </c>
      <c r="F312" s="437" t="s">
        <v>297</v>
      </c>
      <c r="G312" s="437" t="s">
        <v>298</v>
      </c>
      <c r="H312" s="437">
        <v>2</v>
      </c>
      <c r="I312" s="492">
        <v>1424.6575342465753</v>
      </c>
      <c r="J312" s="451"/>
      <c r="K312" s="450"/>
      <c r="L312" s="451"/>
      <c r="M312" s="493"/>
      <c r="N312" s="493"/>
      <c r="O312" s="494">
        <f t="shared" si="194"/>
        <v>6.5565869200000002E-2</v>
      </c>
      <c r="P312" s="494">
        <f t="shared" si="194"/>
        <v>6.3669465351994248E-2</v>
      </c>
      <c r="Q312" s="450">
        <f t="shared" si="194"/>
        <v>45937</v>
      </c>
      <c r="R312" s="450">
        <v>46475</v>
      </c>
      <c r="S312" s="509" t="s">
        <v>146</v>
      </c>
      <c r="T312" s="510">
        <f>Tabla33[[#This Row],[Cantidad]]*Tabla33[[#This Row],[Cortes]]</f>
        <v>2849.3150684931506</v>
      </c>
      <c r="U312" s="511">
        <f t="shared" si="181"/>
        <v>2632.9045423892289</v>
      </c>
      <c r="V312" s="511">
        <f t="shared" si="182"/>
        <v>2632.4464857697108</v>
      </c>
      <c r="W312" s="497">
        <f>IF(Tabla33[[#This Row],[Fecha de operación]]=$C$1,0,U312-V312)</f>
        <v>0.45805661951817456</v>
      </c>
      <c r="X312" s="512" t="str">
        <f t="shared" si="185"/>
        <v>Vigente</v>
      </c>
      <c r="Y312" s="498" t="s">
        <v>450</v>
      </c>
      <c r="Z312" s="469">
        <f t="shared" si="186"/>
        <v>454</v>
      </c>
      <c r="AA312" s="499">
        <f t="shared" si="196"/>
        <v>2.5050510437655946</v>
      </c>
      <c r="AB312" s="499">
        <f t="shared" si="196"/>
        <v>2.4646517846319136</v>
      </c>
      <c r="AC312" s="469" t="s">
        <v>451</v>
      </c>
      <c r="AD312" s="469" t="s">
        <v>454</v>
      </c>
      <c r="AF312" s="444">
        <f>+IF(Tabla33[[#This Row],[Amortización k | cupón de intereses]]="Amortización de K",Tabla33[[#This Row],[Valor Nominal]],0)</f>
        <v>0</v>
      </c>
      <c r="AG312" s="444">
        <f>+IF(AND(Tabla33[[#This Row],[Amortización k | cupón de intereses]]="Cupón de interés",Tabla33[[#This Row],[Estado]]="Vigente"),Tabla33[[#This Row],[Valor Nominal]],0)</f>
        <v>2849.3150684931506</v>
      </c>
      <c r="AH312" s="444">
        <f>+IF(Tabla33[[#This Row],[Amortización k | cupón de intereses]]="Amortización de K",SUMIFS($AG$7:$AG$418,Tabla33[Código Emisión],Tabla33[[#This Row],[Código Emisión]],Tabla33[Fecha de operación],Tabla33[[#This Row],[Fecha de operación]]),0)-Tabla33[[#This Row],[Accrued]]*Tabla33[[#This Row],[Valor Nominal]]</f>
        <v>0</v>
      </c>
      <c r="AI312" s="444">
        <f>+IF(Tabla33[[#This Row],[Amortización k | cupón de intereses]]="Amortización de K",IF(Tabla33[[#This Row],[Precio Clean]]&gt;1,Tabla33[[#This Row],[Valor Nominal]]*(Tabla33[[#This Row],[Precio Clean]]-1),0),0)</f>
        <v>0</v>
      </c>
      <c r="AJ312" s="444">
        <f>+IF(Tabla33[[#This Row],[Amortización k | cupón de intereses]]="Amortización de K",IF(Tabla33[[#This Row],[Precio Clean]]&lt;1,Tabla33[[#This Row],[Valor Nominal]]*(Tabla33[[#This Row],[Precio Clean]]-1),0),0)</f>
        <v>0</v>
      </c>
    </row>
    <row r="313" spans="1:36">
      <c r="A313" s="502"/>
      <c r="B313" s="437" t="str">
        <f t="shared" si="195"/>
        <v>Bancop S.A.</v>
      </c>
      <c r="C313" s="437" t="str">
        <f t="shared" si="189"/>
        <v>BCO_6,50%_02102028_AA4088-91_250K</v>
      </c>
      <c r="D313" s="437" t="s">
        <v>453</v>
      </c>
      <c r="E313" s="437" t="str">
        <f t="shared" si="192"/>
        <v>AA-py</v>
      </c>
      <c r="F313" s="437" t="s">
        <v>297</v>
      </c>
      <c r="G313" s="437" t="s">
        <v>298</v>
      </c>
      <c r="H313" s="437">
        <v>2</v>
      </c>
      <c r="I313" s="492">
        <v>1335.6164383561643</v>
      </c>
      <c r="J313" s="451"/>
      <c r="K313" s="450"/>
      <c r="L313" s="451"/>
      <c r="M313" s="493"/>
      <c r="N313" s="493"/>
      <c r="O313" s="494">
        <f t="shared" si="194"/>
        <v>6.5565869200000002E-2</v>
      </c>
      <c r="P313" s="494">
        <f t="shared" si="194"/>
        <v>6.3669465351994248E-2</v>
      </c>
      <c r="Q313" s="450">
        <f t="shared" si="194"/>
        <v>45937</v>
      </c>
      <c r="R313" s="450">
        <v>46443</v>
      </c>
      <c r="S313" s="509" t="s">
        <v>146</v>
      </c>
      <c r="T313" s="510">
        <f>Tabla33[[#This Row],[Cantidad]]*Tabla33[[#This Row],[Cortes]]</f>
        <v>2671.2328767123286</v>
      </c>
      <c r="U313" s="511">
        <f t="shared" si="181"/>
        <v>2482.1292314650832</v>
      </c>
      <c r="V313" s="511">
        <f t="shared" si="182"/>
        <v>2481.6974058114502</v>
      </c>
      <c r="W313" s="497">
        <f>IF(Tabla33[[#This Row],[Fecha de operación]]=$C$1,0,U313-V313)</f>
        <v>0.43182565363304093</v>
      </c>
      <c r="X313" s="512" t="str">
        <f t="shared" si="185"/>
        <v>Vigente</v>
      </c>
      <c r="Y313" s="498" t="s">
        <v>450</v>
      </c>
      <c r="Z313" s="469">
        <f t="shared" si="186"/>
        <v>422</v>
      </c>
      <c r="AA313" s="499">
        <f t="shared" si="196"/>
        <v>2.5050510437655946</v>
      </c>
      <c r="AB313" s="499">
        <f t="shared" si="196"/>
        <v>2.4646517846319136</v>
      </c>
      <c r="AC313" s="469" t="s">
        <v>451</v>
      </c>
      <c r="AD313" s="469" t="s">
        <v>454</v>
      </c>
      <c r="AF313" s="444">
        <f>+IF(Tabla33[[#This Row],[Amortización k | cupón de intereses]]="Amortización de K",Tabla33[[#This Row],[Valor Nominal]],0)</f>
        <v>0</v>
      </c>
      <c r="AG313" s="444">
        <f>+IF(AND(Tabla33[[#This Row],[Amortización k | cupón de intereses]]="Cupón de interés",Tabla33[[#This Row],[Estado]]="Vigente"),Tabla33[[#This Row],[Valor Nominal]],0)</f>
        <v>2671.2328767123286</v>
      </c>
      <c r="AH313" s="444">
        <f>+IF(Tabla33[[#This Row],[Amortización k | cupón de intereses]]="Amortización de K",SUMIFS($AG$7:$AG$418,Tabla33[Código Emisión],Tabla33[[#This Row],[Código Emisión]],Tabla33[Fecha de operación],Tabla33[[#This Row],[Fecha de operación]]),0)-Tabla33[[#This Row],[Accrued]]*Tabla33[[#This Row],[Valor Nominal]]</f>
        <v>0</v>
      </c>
      <c r="AI313" s="444">
        <f>+IF(Tabla33[[#This Row],[Amortización k | cupón de intereses]]="Amortización de K",IF(Tabla33[[#This Row],[Precio Clean]]&gt;1,Tabla33[[#This Row],[Valor Nominal]]*(Tabla33[[#This Row],[Precio Clean]]-1),0),0)</f>
        <v>0</v>
      </c>
      <c r="AJ313" s="444">
        <f>+IF(Tabla33[[#This Row],[Amortización k | cupón de intereses]]="Amortización de K",IF(Tabla33[[#This Row],[Precio Clean]]&lt;1,Tabla33[[#This Row],[Valor Nominal]]*(Tabla33[[#This Row],[Precio Clean]]-1),0),0)</f>
        <v>0</v>
      </c>
    </row>
    <row r="314" spans="1:36">
      <c r="A314" s="502"/>
      <c r="B314" s="437" t="str">
        <f t="shared" si="195"/>
        <v>Bancop S.A.</v>
      </c>
      <c r="C314" s="437" t="str">
        <f t="shared" si="189"/>
        <v>BCO_6,50%_02102028_AA4088-91_250K</v>
      </c>
      <c r="D314" s="437" t="s">
        <v>453</v>
      </c>
      <c r="E314" s="437" t="str">
        <f t="shared" si="192"/>
        <v>AA-py</v>
      </c>
      <c r="F314" s="437" t="s">
        <v>297</v>
      </c>
      <c r="G314" s="437" t="s">
        <v>298</v>
      </c>
      <c r="H314" s="437">
        <v>2</v>
      </c>
      <c r="I314" s="492">
        <v>1291.0958904109589</v>
      </c>
      <c r="J314" s="451"/>
      <c r="K314" s="450"/>
      <c r="L314" s="451"/>
      <c r="M314" s="493"/>
      <c r="N314" s="493"/>
      <c r="O314" s="494">
        <f t="shared" si="194"/>
        <v>6.5565869200000002E-2</v>
      </c>
      <c r="P314" s="494">
        <f t="shared" si="194"/>
        <v>6.3669465351994248E-2</v>
      </c>
      <c r="Q314" s="450">
        <f t="shared" si="194"/>
        <v>45937</v>
      </c>
      <c r="R314" s="450">
        <v>46413</v>
      </c>
      <c r="S314" s="509" t="s">
        <v>146</v>
      </c>
      <c r="T314" s="510">
        <f>Tabla33[[#This Row],[Cantidad]]*Tabla33[[#This Row],[Cortes]]</f>
        <v>2582.1917808219177</v>
      </c>
      <c r="U314" s="511">
        <f t="shared" si="181"/>
        <v>2411.9483664379445</v>
      </c>
      <c r="V314" s="511">
        <f t="shared" si="182"/>
        <v>2411.5287504217181</v>
      </c>
      <c r="W314" s="497">
        <f>IF(Tabla33[[#This Row],[Fecha de operación]]=$C$1,0,U314-V314)</f>
        <v>0.41961601622642775</v>
      </c>
      <c r="X314" s="512" t="str">
        <f t="shared" si="185"/>
        <v>Vigente</v>
      </c>
      <c r="Y314" s="498" t="s">
        <v>450</v>
      </c>
      <c r="Z314" s="469">
        <f t="shared" si="186"/>
        <v>392</v>
      </c>
      <c r="AA314" s="499">
        <f t="shared" si="196"/>
        <v>2.5050510437655946</v>
      </c>
      <c r="AB314" s="499">
        <f t="shared" si="196"/>
        <v>2.4646517846319136</v>
      </c>
      <c r="AC314" s="469" t="s">
        <v>451</v>
      </c>
      <c r="AD314" s="469" t="s">
        <v>454</v>
      </c>
      <c r="AF314" s="444">
        <f>+IF(Tabla33[[#This Row],[Amortización k | cupón de intereses]]="Amortización de K",Tabla33[[#This Row],[Valor Nominal]],0)</f>
        <v>0</v>
      </c>
      <c r="AG314" s="444">
        <f>+IF(AND(Tabla33[[#This Row],[Amortización k | cupón de intereses]]="Cupón de interés",Tabla33[[#This Row],[Estado]]="Vigente"),Tabla33[[#This Row],[Valor Nominal]],0)</f>
        <v>2582.1917808219177</v>
      </c>
      <c r="AH314" s="444">
        <f>+IF(Tabla33[[#This Row],[Amortización k | cupón de intereses]]="Amortización de K",SUMIFS($AG$7:$AG$418,Tabla33[Código Emisión],Tabla33[[#This Row],[Código Emisión]],Tabla33[Fecha de operación],Tabla33[[#This Row],[Fecha de operación]]),0)-Tabla33[[#This Row],[Accrued]]*Tabla33[[#This Row],[Valor Nominal]]</f>
        <v>0</v>
      </c>
      <c r="AI314" s="444">
        <f>+IF(Tabla33[[#This Row],[Amortización k | cupón de intereses]]="Amortización de K",IF(Tabla33[[#This Row],[Precio Clean]]&gt;1,Tabla33[[#This Row],[Valor Nominal]]*(Tabla33[[#This Row],[Precio Clean]]-1),0),0)</f>
        <v>0</v>
      </c>
      <c r="AJ314" s="444">
        <f>+IF(Tabla33[[#This Row],[Amortización k | cupón de intereses]]="Amortización de K",IF(Tabla33[[#This Row],[Precio Clean]]&lt;1,Tabla33[[#This Row],[Valor Nominal]]*(Tabla33[[#This Row],[Precio Clean]]-1),0),0)</f>
        <v>0</v>
      </c>
    </row>
    <row r="315" spans="1:36">
      <c r="A315" s="502"/>
      <c r="B315" s="437" t="str">
        <f t="shared" si="195"/>
        <v>Bancop S.A.</v>
      </c>
      <c r="C315" s="437" t="str">
        <f t="shared" si="189"/>
        <v>BCO_6,50%_02102028_AA4088-91_250K</v>
      </c>
      <c r="D315" s="437" t="s">
        <v>453</v>
      </c>
      <c r="E315" s="437" t="str">
        <f t="shared" si="192"/>
        <v>AA-py</v>
      </c>
      <c r="F315" s="437" t="s">
        <v>297</v>
      </c>
      <c r="G315" s="437" t="s">
        <v>298</v>
      </c>
      <c r="H315" s="437">
        <v>2</v>
      </c>
      <c r="I315" s="492">
        <v>1380.1369863013699</v>
      </c>
      <c r="J315" s="451"/>
      <c r="K315" s="450"/>
      <c r="L315" s="451"/>
      <c r="M315" s="493"/>
      <c r="N315" s="493"/>
      <c r="O315" s="494">
        <f t="shared" si="194"/>
        <v>6.5565869200000002E-2</v>
      </c>
      <c r="P315" s="494">
        <f t="shared" si="194"/>
        <v>6.3669465351994248E-2</v>
      </c>
      <c r="Q315" s="450">
        <f t="shared" si="194"/>
        <v>45937</v>
      </c>
      <c r="R315" s="450">
        <v>46384</v>
      </c>
      <c r="S315" s="509" t="s">
        <v>146</v>
      </c>
      <c r="T315" s="510">
        <f>Tabla33[[#This Row],[Cantidad]]*Tabla33[[#This Row],[Cortes]]</f>
        <v>2760.2739726027398</v>
      </c>
      <c r="U315" s="511">
        <f t="shared" si="181"/>
        <v>2591.331736738045</v>
      </c>
      <c r="V315" s="511">
        <f t="shared" si="182"/>
        <v>2590.8809127008385</v>
      </c>
      <c r="W315" s="497">
        <f>IF(Tabla33[[#This Row],[Fecha de operación]]=$C$1,0,U315-V315)</f>
        <v>0.45082403720653019</v>
      </c>
      <c r="X315" s="512" t="str">
        <f t="shared" si="185"/>
        <v>Vigente</v>
      </c>
      <c r="Y315" s="498" t="s">
        <v>450</v>
      </c>
      <c r="Z315" s="469">
        <f t="shared" si="186"/>
        <v>363</v>
      </c>
      <c r="AA315" s="499">
        <f t="shared" si="196"/>
        <v>2.5050510437655946</v>
      </c>
      <c r="AB315" s="499">
        <f t="shared" si="196"/>
        <v>2.4646517846319136</v>
      </c>
      <c r="AC315" s="469" t="s">
        <v>451</v>
      </c>
      <c r="AD315" s="469" t="s">
        <v>454</v>
      </c>
      <c r="AF315" s="444">
        <f>+IF(Tabla33[[#This Row],[Amortización k | cupón de intereses]]="Amortización de K",Tabla33[[#This Row],[Valor Nominal]],0)</f>
        <v>0</v>
      </c>
      <c r="AG315" s="444">
        <f>+IF(AND(Tabla33[[#This Row],[Amortización k | cupón de intereses]]="Cupón de interés",Tabla33[[#This Row],[Estado]]="Vigente"),Tabla33[[#This Row],[Valor Nominal]],0)</f>
        <v>2760.2739726027398</v>
      </c>
      <c r="AH315" s="444">
        <f>+IF(Tabla33[[#This Row],[Amortización k | cupón de intereses]]="Amortización de K",SUMIFS($AG$7:$AG$418,Tabla33[Código Emisión],Tabla33[[#This Row],[Código Emisión]],Tabla33[Fecha de operación],Tabla33[[#This Row],[Fecha de operación]]),0)-Tabla33[[#This Row],[Accrued]]*Tabla33[[#This Row],[Valor Nominal]]</f>
        <v>0</v>
      </c>
      <c r="AI315" s="444">
        <f>+IF(Tabla33[[#This Row],[Amortización k | cupón de intereses]]="Amortización de K",IF(Tabla33[[#This Row],[Precio Clean]]&gt;1,Tabla33[[#This Row],[Valor Nominal]]*(Tabla33[[#This Row],[Precio Clean]]-1),0),0)</f>
        <v>0</v>
      </c>
      <c r="AJ315" s="444">
        <f>+IF(Tabla33[[#This Row],[Amortización k | cupón de intereses]]="Amortización de K",IF(Tabla33[[#This Row],[Precio Clean]]&lt;1,Tabla33[[#This Row],[Valor Nominal]]*(Tabla33[[#This Row],[Precio Clean]]-1),0),0)</f>
        <v>0</v>
      </c>
    </row>
    <row r="316" spans="1:36">
      <c r="A316" s="502"/>
      <c r="B316" s="437" t="str">
        <f t="shared" si="195"/>
        <v>Bancop S.A.</v>
      </c>
      <c r="C316" s="437" t="str">
        <f t="shared" si="189"/>
        <v>BCO_6,50%_02102028_AA4088-91_250K</v>
      </c>
      <c r="D316" s="437" t="s">
        <v>453</v>
      </c>
      <c r="E316" s="437" t="str">
        <f t="shared" si="192"/>
        <v>AA-py</v>
      </c>
      <c r="F316" s="437" t="s">
        <v>297</v>
      </c>
      <c r="G316" s="437" t="s">
        <v>298</v>
      </c>
      <c r="H316" s="437">
        <v>2</v>
      </c>
      <c r="I316" s="492">
        <v>1335.6164383561643</v>
      </c>
      <c r="J316" s="451"/>
      <c r="K316" s="450"/>
      <c r="L316" s="451"/>
      <c r="M316" s="493"/>
      <c r="N316" s="493"/>
      <c r="O316" s="494">
        <f t="shared" si="194"/>
        <v>6.5565869200000002E-2</v>
      </c>
      <c r="P316" s="494">
        <f t="shared" si="194"/>
        <v>6.3669465351994248E-2</v>
      </c>
      <c r="Q316" s="450">
        <f t="shared" si="194"/>
        <v>45937</v>
      </c>
      <c r="R316" s="450">
        <v>46353</v>
      </c>
      <c r="S316" s="509" t="s">
        <v>146</v>
      </c>
      <c r="T316" s="510">
        <f>Tabla33[[#This Row],[Cantidad]]*Tabla33[[#This Row],[Cortes]]</f>
        <v>2671.2328767123286</v>
      </c>
      <c r="U316" s="511">
        <f t="shared" si="181"/>
        <v>2521.3028308317762</v>
      </c>
      <c r="V316" s="511">
        <f t="shared" si="182"/>
        <v>2520.8641899950585</v>
      </c>
      <c r="W316" s="497">
        <f>IF(Tabla33[[#This Row],[Fecha de operación]]=$C$1,0,U316-V316)</f>
        <v>0.43864083671769549</v>
      </c>
      <c r="X316" s="512" t="str">
        <f t="shared" si="185"/>
        <v>Vigente</v>
      </c>
      <c r="Y316" s="498" t="s">
        <v>450</v>
      </c>
      <c r="Z316" s="469">
        <f t="shared" si="186"/>
        <v>332</v>
      </c>
      <c r="AA316" s="499">
        <f t="shared" si="196"/>
        <v>2.5050510437655946</v>
      </c>
      <c r="AB316" s="499">
        <f t="shared" si="196"/>
        <v>2.4646517846319136</v>
      </c>
      <c r="AC316" s="469" t="s">
        <v>451</v>
      </c>
      <c r="AD316" s="469" t="s">
        <v>454</v>
      </c>
      <c r="AF316" s="444">
        <f>+IF(Tabla33[[#This Row],[Amortización k | cupón de intereses]]="Amortización de K",Tabla33[[#This Row],[Valor Nominal]],0)</f>
        <v>0</v>
      </c>
      <c r="AG316" s="444">
        <f>+IF(AND(Tabla33[[#This Row],[Amortización k | cupón de intereses]]="Cupón de interés",Tabla33[[#This Row],[Estado]]="Vigente"),Tabla33[[#This Row],[Valor Nominal]],0)</f>
        <v>2671.2328767123286</v>
      </c>
      <c r="AH316" s="444">
        <f>+IF(Tabla33[[#This Row],[Amortización k | cupón de intereses]]="Amortización de K",SUMIFS($AG$7:$AG$418,Tabla33[Código Emisión],Tabla33[[#This Row],[Código Emisión]],Tabla33[Fecha de operación],Tabla33[[#This Row],[Fecha de operación]]),0)-Tabla33[[#This Row],[Accrued]]*Tabla33[[#This Row],[Valor Nominal]]</f>
        <v>0</v>
      </c>
      <c r="AI316" s="444">
        <f>+IF(Tabla33[[#This Row],[Amortización k | cupón de intereses]]="Amortización de K",IF(Tabla33[[#This Row],[Precio Clean]]&gt;1,Tabla33[[#This Row],[Valor Nominal]]*(Tabla33[[#This Row],[Precio Clean]]-1),0),0)</f>
        <v>0</v>
      </c>
      <c r="AJ316" s="444">
        <f>+IF(Tabla33[[#This Row],[Amortización k | cupón de intereses]]="Amortización de K",IF(Tabla33[[#This Row],[Precio Clean]]&lt;1,Tabla33[[#This Row],[Valor Nominal]]*(Tabla33[[#This Row],[Precio Clean]]-1),0),0)</f>
        <v>0</v>
      </c>
    </row>
    <row r="317" spans="1:36">
      <c r="A317" s="502"/>
      <c r="B317" s="437" t="str">
        <f t="shared" si="195"/>
        <v>Bancop S.A.</v>
      </c>
      <c r="C317" s="437" t="str">
        <f t="shared" si="189"/>
        <v>BCO_6,50%_02102028_AA4088-91_250K</v>
      </c>
      <c r="D317" s="437" t="s">
        <v>453</v>
      </c>
      <c r="E317" s="437" t="str">
        <f t="shared" si="192"/>
        <v>AA-py</v>
      </c>
      <c r="F317" s="437" t="s">
        <v>297</v>
      </c>
      <c r="G317" s="437" t="s">
        <v>298</v>
      </c>
      <c r="H317" s="437">
        <v>2</v>
      </c>
      <c r="I317" s="492">
        <v>1335.6164383561643</v>
      </c>
      <c r="J317" s="451"/>
      <c r="K317" s="450"/>
      <c r="L317" s="451"/>
      <c r="M317" s="493"/>
      <c r="N317" s="493"/>
      <c r="O317" s="494">
        <f t="shared" si="194"/>
        <v>6.5565869200000002E-2</v>
      </c>
      <c r="P317" s="494">
        <f t="shared" si="194"/>
        <v>6.3669465351994248E-2</v>
      </c>
      <c r="Q317" s="450">
        <f t="shared" si="194"/>
        <v>45937</v>
      </c>
      <c r="R317" s="450">
        <v>46323</v>
      </c>
      <c r="S317" s="509" t="s">
        <v>146</v>
      </c>
      <c r="T317" s="510">
        <f>Tabla33[[#This Row],[Cantidad]]*Tabla33[[#This Row],[Cortes]]</f>
        <v>2671.2328767123286</v>
      </c>
      <c r="U317" s="511">
        <f t="shared" si="181"/>
        <v>2534.4976069808972</v>
      </c>
      <c r="V317" s="511">
        <f t="shared" si="182"/>
        <v>2534.056670597774</v>
      </c>
      <c r="W317" s="497">
        <f>IF(Tabla33[[#This Row],[Fecha de operación]]=$C$1,0,U317-V317)</f>
        <v>0.44093638312324401</v>
      </c>
      <c r="X317" s="512" t="str">
        <f t="shared" si="185"/>
        <v>Vigente</v>
      </c>
      <c r="Y317" s="498" t="s">
        <v>450</v>
      </c>
      <c r="Z317" s="469">
        <f t="shared" si="186"/>
        <v>302</v>
      </c>
      <c r="AA317" s="499">
        <f t="shared" si="196"/>
        <v>2.5050510437655946</v>
      </c>
      <c r="AB317" s="499">
        <f t="shared" si="196"/>
        <v>2.4646517846319136</v>
      </c>
      <c r="AC317" s="469" t="s">
        <v>451</v>
      </c>
      <c r="AD317" s="469" t="s">
        <v>454</v>
      </c>
      <c r="AF317" s="444">
        <f>+IF(Tabla33[[#This Row],[Amortización k | cupón de intereses]]="Amortización de K",Tabla33[[#This Row],[Valor Nominal]],0)</f>
        <v>0</v>
      </c>
      <c r="AG317" s="444">
        <f>+IF(AND(Tabla33[[#This Row],[Amortización k | cupón de intereses]]="Cupón de interés",Tabla33[[#This Row],[Estado]]="Vigente"),Tabla33[[#This Row],[Valor Nominal]],0)</f>
        <v>2671.2328767123286</v>
      </c>
      <c r="AH317" s="444">
        <f>+IF(Tabla33[[#This Row],[Amortización k | cupón de intereses]]="Amortización de K",SUMIFS($AG$7:$AG$418,Tabla33[Código Emisión],Tabla33[[#This Row],[Código Emisión]],Tabla33[Fecha de operación],Tabla33[[#This Row],[Fecha de operación]]),0)-Tabla33[[#This Row],[Accrued]]*Tabla33[[#This Row],[Valor Nominal]]</f>
        <v>0</v>
      </c>
      <c r="AI317" s="444">
        <f>+IF(Tabla33[[#This Row],[Amortización k | cupón de intereses]]="Amortización de K",IF(Tabla33[[#This Row],[Precio Clean]]&gt;1,Tabla33[[#This Row],[Valor Nominal]]*(Tabla33[[#This Row],[Precio Clean]]-1),0),0)</f>
        <v>0</v>
      </c>
      <c r="AJ317" s="444">
        <f>+IF(Tabla33[[#This Row],[Amortización k | cupón de intereses]]="Amortización de K",IF(Tabla33[[#This Row],[Precio Clean]]&lt;1,Tabla33[[#This Row],[Valor Nominal]]*(Tabla33[[#This Row],[Precio Clean]]-1),0),0)</f>
        <v>0</v>
      </c>
    </row>
    <row r="318" spans="1:36">
      <c r="A318" s="502"/>
      <c r="B318" s="437" t="str">
        <f t="shared" si="195"/>
        <v>Bancop S.A.</v>
      </c>
      <c r="C318" s="437" t="str">
        <f t="shared" si="195"/>
        <v>BCO_6,50%_02102028_AA4088-91_250K</v>
      </c>
      <c r="D318" s="437" t="s">
        <v>453</v>
      </c>
      <c r="E318" s="437" t="str">
        <f t="shared" si="192"/>
        <v>AA-py</v>
      </c>
      <c r="F318" s="437" t="s">
        <v>297</v>
      </c>
      <c r="G318" s="437" t="s">
        <v>298</v>
      </c>
      <c r="H318" s="437">
        <v>2</v>
      </c>
      <c r="I318" s="492">
        <v>1246.5753424657535</v>
      </c>
      <c r="J318" s="451"/>
      <c r="K318" s="450"/>
      <c r="L318" s="451"/>
      <c r="M318" s="493"/>
      <c r="N318" s="493"/>
      <c r="O318" s="494">
        <f t="shared" si="194"/>
        <v>6.5565869200000002E-2</v>
      </c>
      <c r="P318" s="494">
        <f t="shared" si="194"/>
        <v>6.3669465351994248E-2</v>
      </c>
      <c r="Q318" s="450">
        <f t="shared" si="194"/>
        <v>45937</v>
      </c>
      <c r="R318" s="450">
        <v>46293</v>
      </c>
      <c r="S318" s="509" t="s">
        <v>146</v>
      </c>
      <c r="T318" s="510">
        <f>Tabla33[[#This Row],[Cantidad]]*Tabla33[[#This Row],[Cortes]]</f>
        <v>2493.1506849315069</v>
      </c>
      <c r="U318" s="511">
        <f t="shared" si="181"/>
        <v>2377.9106732006003</v>
      </c>
      <c r="V318" s="511">
        <f t="shared" si="182"/>
        <v>2377.4969788539406</v>
      </c>
      <c r="W318" s="497">
        <f>IF(Tabla33[[#This Row],[Fecha de operación]]=$C$1,0,U318-V318)</f>
        <v>0.41369434665966764</v>
      </c>
      <c r="X318" s="512" t="str">
        <f t="shared" si="185"/>
        <v>Vigente</v>
      </c>
      <c r="Y318" s="498" t="s">
        <v>450</v>
      </c>
      <c r="Z318" s="469">
        <f t="shared" si="186"/>
        <v>272</v>
      </c>
      <c r="AA318" s="499">
        <f t="shared" si="196"/>
        <v>2.5050510437655946</v>
      </c>
      <c r="AB318" s="499">
        <f t="shared" si="196"/>
        <v>2.4646517846319136</v>
      </c>
      <c r="AC318" s="469" t="s">
        <v>451</v>
      </c>
      <c r="AD318" s="469" t="s">
        <v>454</v>
      </c>
      <c r="AF318" s="444">
        <f>+IF(Tabla33[[#This Row],[Amortización k | cupón de intereses]]="Amortización de K",Tabla33[[#This Row],[Valor Nominal]],0)</f>
        <v>0</v>
      </c>
      <c r="AG318" s="444">
        <f>+IF(AND(Tabla33[[#This Row],[Amortización k | cupón de intereses]]="Cupón de interés",Tabla33[[#This Row],[Estado]]="Vigente"),Tabla33[[#This Row],[Valor Nominal]],0)</f>
        <v>2493.1506849315069</v>
      </c>
      <c r="AH318" s="444">
        <f>+IF(Tabla33[[#This Row],[Amortización k | cupón de intereses]]="Amortización de K",SUMIFS($AG$7:$AG$418,Tabla33[Código Emisión],Tabla33[[#This Row],[Código Emisión]],Tabla33[Fecha de operación],Tabla33[[#This Row],[Fecha de operación]]),0)-Tabla33[[#This Row],[Accrued]]*Tabla33[[#This Row],[Valor Nominal]]</f>
        <v>0</v>
      </c>
      <c r="AI318" s="444">
        <f>+IF(Tabla33[[#This Row],[Amortización k | cupón de intereses]]="Amortización de K",IF(Tabla33[[#This Row],[Precio Clean]]&gt;1,Tabla33[[#This Row],[Valor Nominal]]*(Tabla33[[#This Row],[Precio Clean]]-1),0),0)</f>
        <v>0</v>
      </c>
      <c r="AJ318" s="444">
        <f>+IF(Tabla33[[#This Row],[Amortización k | cupón de intereses]]="Amortización de K",IF(Tabla33[[#This Row],[Precio Clean]]&lt;1,Tabla33[[#This Row],[Valor Nominal]]*(Tabla33[[#This Row],[Precio Clean]]-1),0),0)</f>
        <v>0</v>
      </c>
    </row>
    <row r="319" spans="1:36">
      <c r="A319" s="502"/>
      <c r="B319" s="437" t="str">
        <f t="shared" si="195"/>
        <v>Bancop S.A.</v>
      </c>
      <c r="C319" s="437" t="str">
        <f t="shared" si="195"/>
        <v>BCO_6,50%_02102028_AA4088-91_250K</v>
      </c>
      <c r="D319" s="437" t="s">
        <v>453</v>
      </c>
      <c r="E319" s="437" t="str">
        <f t="shared" si="192"/>
        <v>AA-py</v>
      </c>
      <c r="F319" s="437" t="s">
        <v>297</v>
      </c>
      <c r="G319" s="437" t="s">
        <v>298</v>
      </c>
      <c r="H319" s="437">
        <v>2</v>
      </c>
      <c r="I319" s="492">
        <v>1424.6575342465753</v>
      </c>
      <c r="J319" s="451"/>
      <c r="K319" s="450"/>
      <c r="L319" s="451"/>
      <c r="M319" s="493"/>
      <c r="N319" s="493"/>
      <c r="O319" s="494">
        <f t="shared" si="194"/>
        <v>6.5565869200000002E-2</v>
      </c>
      <c r="P319" s="494">
        <f t="shared" si="194"/>
        <v>6.3669465351994248E-2</v>
      </c>
      <c r="Q319" s="450">
        <f t="shared" si="194"/>
        <v>45937</v>
      </c>
      <c r="R319" s="450">
        <v>46265</v>
      </c>
      <c r="S319" s="509" t="s">
        <v>146</v>
      </c>
      <c r="T319" s="510">
        <f>Tabla33[[#This Row],[Cantidad]]*Tabla33[[#This Row],[Cortes]]</f>
        <v>2849.3150684931506</v>
      </c>
      <c r="U319" s="511">
        <f t="shared" si="181"/>
        <v>2730.8838702266517</v>
      </c>
      <c r="V319" s="511">
        <f t="shared" si="182"/>
        <v>2730.4087677632879</v>
      </c>
      <c r="W319" s="497">
        <f>IF(Tabla33[[#This Row],[Fecha de operación]]=$C$1,0,U319-V319)</f>
        <v>0.47510246336378259</v>
      </c>
      <c r="X319" s="512" t="str">
        <f t="shared" si="185"/>
        <v>Vigente</v>
      </c>
      <c r="Y319" s="498" t="s">
        <v>450</v>
      </c>
      <c r="Z319" s="469">
        <f t="shared" si="186"/>
        <v>244</v>
      </c>
      <c r="AA319" s="499">
        <f t="shared" si="196"/>
        <v>2.5050510437655946</v>
      </c>
      <c r="AB319" s="499">
        <f t="shared" si="196"/>
        <v>2.4646517846319136</v>
      </c>
      <c r="AC319" s="469" t="s">
        <v>451</v>
      </c>
      <c r="AD319" s="469" t="s">
        <v>454</v>
      </c>
      <c r="AF319" s="444">
        <f>+IF(Tabla33[[#This Row],[Amortización k | cupón de intereses]]="Amortización de K",Tabla33[[#This Row],[Valor Nominal]],0)</f>
        <v>0</v>
      </c>
      <c r="AG319" s="444">
        <f>+IF(AND(Tabla33[[#This Row],[Amortización k | cupón de intereses]]="Cupón de interés",Tabla33[[#This Row],[Estado]]="Vigente"),Tabla33[[#This Row],[Valor Nominal]],0)</f>
        <v>2849.3150684931506</v>
      </c>
      <c r="AH319" s="444">
        <f>+IF(Tabla33[[#This Row],[Amortización k | cupón de intereses]]="Amortización de K",SUMIFS($AG$7:$AG$418,Tabla33[Código Emisión],Tabla33[[#This Row],[Código Emisión]],Tabla33[Fecha de operación],Tabla33[[#This Row],[Fecha de operación]]),0)-Tabla33[[#This Row],[Accrued]]*Tabla33[[#This Row],[Valor Nominal]]</f>
        <v>0</v>
      </c>
      <c r="AI319" s="444">
        <f>+IF(Tabla33[[#This Row],[Amortización k | cupón de intereses]]="Amortización de K",IF(Tabla33[[#This Row],[Precio Clean]]&gt;1,Tabla33[[#This Row],[Valor Nominal]]*(Tabla33[[#This Row],[Precio Clean]]-1),0),0)</f>
        <v>0</v>
      </c>
      <c r="AJ319" s="444">
        <f>+IF(Tabla33[[#This Row],[Amortización k | cupón de intereses]]="Amortización de K",IF(Tabla33[[#This Row],[Precio Clean]]&lt;1,Tabla33[[#This Row],[Valor Nominal]]*(Tabla33[[#This Row],[Precio Clean]]-1),0),0)</f>
        <v>0</v>
      </c>
    </row>
    <row r="320" spans="1:36">
      <c r="A320" s="502"/>
      <c r="B320" s="437" t="str">
        <f t="shared" si="195"/>
        <v>Bancop S.A.</v>
      </c>
      <c r="C320" s="437" t="str">
        <f t="shared" si="195"/>
        <v>BCO_6,50%_02102028_AA4088-91_250K</v>
      </c>
      <c r="D320" s="437" t="s">
        <v>453</v>
      </c>
      <c r="E320" s="437" t="str">
        <f t="shared" si="192"/>
        <v>AA-py</v>
      </c>
      <c r="F320" s="437" t="s">
        <v>297</v>
      </c>
      <c r="G320" s="437" t="s">
        <v>298</v>
      </c>
      <c r="H320" s="437">
        <v>2</v>
      </c>
      <c r="I320" s="492">
        <v>1335.6164383561643</v>
      </c>
      <c r="J320" s="451"/>
      <c r="K320" s="450"/>
      <c r="L320" s="451"/>
      <c r="M320" s="493"/>
      <c r="N320" s="493"/>
      <c r="O320" s="494">
        <f t="shared" si="194"/>
        <v>6.5565869200000002E-2</v>
      </c>
      <c r="P320" s="494">
        <f t="shared" si="194"/>
        <v>6.3669465351994248E-2</v>
      </c>
      <c r="Q320" s="450">
        <f t="shared" si="194"/>
        <v>45937</v>
      </c>
      <c r="R320" s="450">
        <v>46233</v>
      </c>
      <c r="S320" s="509" t="s">
        <v>146</v>
      </c>
      <c r="T320" s="510">
        <f>Tabla33[[#This Row],[Cantidad]]*Tabla33[[#This Row],[Cortes]]</f>
        <v>2671.2328767123286</v>
      </c>
      <c r="U320" s="511">
        <f t="shared" si="181"/>
        <v>2574.497697464948</v>
      </c>
      <c r="V320" s="511">
        <f t="shared" si="182"/>
        <v>2574.0498021108738</v>
      </c>
      <c r="W320" s="497">
        <f>IF(Tabla33[[#This Row],[Fecha de operación]]=$C$1,0,U320-V320)</f>
        <v>0.44789535407426229</v>
      </c>
      <c r="X320" s="512" t="str">
        <f t="shared" si="185"/>
        <v>Vigente</v>
      </c>
      <c r="Y320" s="498" t="s">
        <v>450</v>
      </c>
      <c r="Z320" s="469">
        <f t="shared" si="186"/>
        <v>212</v>
      </c>
      <c r="AA320" s="499">
        <f t="shared" si="196"/>
        <v>2.5050510437655946</v>
      </c>
      <c r="AB320" s="499">
        <f t="shared" si="196"/>
        <v>2.4646517846319136</v>
      </c>
      <c r="AC320" s="469" t="s">
        <v>451</v>
      </c>
      <c r="AD320" s="469" t="s">
        <v>454</v>
      </c>
      <c r="AF320" s="444">
        <f>+IF(Tabla33[[#This Row],[Amortización k | cupón de intereses]]="Amortización de K",Tabla33[[#This Row],[Valor Nominal]],0)</f>
        <v>0</v>
      </c>
      <c r="AG320" s="444">
        <f>+IF(AND(Tabla33[[#This Row],[Amortización k | cupón de intereses]]="Cupón de interés",Tabla33[[#This Row],[Estado]]="Vigente"),Tabla33[[#This Row],[Valor Nominal]],0)</f>
        <v>2671.2328767123286</v>
      </c>
      <c r="AH320" s="444">
        <f>+IF(Tabla33[[#This Row],[Amortización k | cupón de intereses]]="Amortización de K",SUMIFS($AG$7:$AG$418,Tabla33[Código Emisión],Tabla33[[#This Row],[Código Emisión]],Tabla33[Fecha de operación],Tabla33[[#This Row],[Fecha de operación]]),0)-Tabla33[[#This Row],[Accrued]]*Tabla33[[#This Row],[Valor Nominal]]</f>
        <v>0</v>
      </c>
      <c r="AI320" s="444">
        <f>+IF(Tabla33[[#This Row],[Amortización k | cupón de intereses]]="Amortización de K",IF(Tabla33[[#This Row],[Precio Clean]]&gt;1,Tabla33[[#This Row],[Valor Nominal]]*(Tabla33[[#This Row],[Precio Clean]]-1),0),0)</f>
        <v>0</v>
      </c>
      <c r="AJ320" s="444">
        <f>+IF(Tabla33[[#This Row],[Amortización k | cupón de intereses]]="Amortización de K",IF(Tabla33[[#This Row],[Precio Clean]]&lt;1,Tabla33[[#This Row],[Valor Nominal]]*(Tabla33[[#This Row],[Precio Clean]]-1),0),0)</f>
        <v>0</v>
      </c>
    </row>
    <row r="321" spans="1:36">
      <c r="A321" s="502"/>
      <c r="B321" s="437" t="str">
        <f t="shared" si="195"/>
        <v>Bancop S.A.</v>
      </c>
      <c r="C321" s="437" t="str">
        <f t="shared" si="195"/>
        <v>BCO_6,50%_02102028_AA4088-91_250K</v>
      </c>
      <c r="D321" s="437" t="s">
        <v>453</v>
      </c>
      <c r="E321" s="437" t="str">
        <f t="shared" si="192"/>
        <v>AA-py</v>
      </c>
      <c r="F321" s="437" t="s">
        <v>297</v>
      </c>
      <c r="G321" s="437" t="s">
        <v>298</v>
      </c>
      <c r="H321" s="437">
        <v>2</v>
      </c>
      <c r="I321" s="492">
        <v>1291.0958904109589</v>
      </c>
      <c r="J321" s="451"/>
      <c r="K321" s="450"/>
      <c r="L321" s="451"/>
      <c r="M321" s="493"/>
      <c r="N321" s="493"/>
      <c r="O321" s="494">
        <f t="shared" si="194"/>
        <v>6.5565869200000002E-2</v>
      </c>
      <c r="P321" s="494">
        <f t="shared" si="194"/>
        <v>6.3669465351994248E-2</v>
      </c>
      <c r="Q321" s="450">
        <f t="shared" si="194"/>
        <v>45937</v>
      </c>
      <c r="R321" s="450">
        <v>46203</v>
      </c>
      <c r="S321" s="509" t="s">
        <v>146</v>
      </c>
      <c r="T321" s="510">
        <f>Tabla33[[#This Row],[Cantidad]]*Tabla33[[#This Row],[Cortes]]</f>
        <v>2582.1917808219177</v>
      </c>
      <c r="U321" s="511">
        <f t="shared" si="181"/>
        <v>2501.7051638901266</v>
      </c>
      <c r="V321" s="511">
        <f t="shared" si="182"/>
        <v>2501.2699325355702</v>
      </c>
      <c r="W321" s="497">
        <f>IF(Tabla33[[#This Row],[Fecha de operación]]=$C$1,0,U321-V321)</f>
        <v>0.43523135455643569</v>
      </c>
      <c r="X321" s="512" t="str">
        <f t="shared" si="185"/>
        <v>Vigente</v>
      </c>
      <c r="Y321" s="498" t="s">
        <v>450</v>
      </c>
      <c r="Z321" s="469">
        <f t="shared" si="186"/>
        <v>182</v>
      </c>
      <c r="AA321" s="499">
        <f t="shared" si="196"/>
        <v>2.5050510437655946</v>
      </c>
      <c r="AB321" s="499">
        <f t="shared" si="196"/>
        <v>2.4646517846319136</v>
      </c>
      <c r="AC321" s="469" t="s">
        <v>451</v>
      </c>
      <c r="AD321" s="469" t="s">
        <v>454</v>
      </c>
      <c r="AF321" s="444">
        <f>+IF(Tabla33[[#This Row],[Amortización k | cupón de intereses]]="Amortización de K",Tabla33[[#This Row],[Valor Nominal]],0)</f>
        <v>0</v>
      </c>
      <c r="AG321" s="444">
        <f>+IF(AND(Tabla33[[#This Row],[Amortización k | cupón de intereses]]="Cupón de interés",Tabla33[[#This Row],[Estado]]="Vigente"),Tabla33[[#This Row],[Valor Nominal]],0)</f>
        <v>2582.1917808219177</v>
      </c>
      <c r="AH321" s="444">
        <f>+IF(Tabla33[[#This Row],[Amortización k | cupón de intereses]]="Amortización de K",SUMIFS($AG$7:$AG$418,Tabla33[Código Emisión],Tabla33[[#This Row],[Código Emisión]],Tabla33[Fecha de operación],Tabla33[[#This Row],[Fecha de operación]]),0)-Tabla33[[#This Row],[Accrued]]*Tabla33[[#This Row],[Valor Nominal]]</f>
        <v>0</v>
      </c>
      <c r="AI321" s="444">
        <f>+IF(Tabla33[[#This Row],[Amortización k | cupón de intereses]]="Amortización de K",IF(Tabla33[[#This Row],[Precio Clean]]&gt;1,Tabla33[[#This Row],[Valor Nominal]]*(Tabla33[[#This Row],[Precio Clean]]-1),0),0)</f>
        <v>0</v>
      </c>
      <c r="AJ321" s="444">
        <f>+IF(Tabla33[[#This Row],[Amortización k | cupón de intereses]]="Amortización de K",IF(Tabla33[[#This Row],[Precio Clean]]&lt;1,Tabla33[[#This Row],[Valor Nominal]]*(Tabla33[[#This Row],[Precio Clean]]-1),0),0)</f>
        <v>0</v>
      </c>
    </row>
    <row r="322" spans="1:36">
      <c r="A322" s="502"/>
      <c r="B322" s="437" t="str">
        <f t="shared" si="195"/>
        <v>Bancop S.A.</v>
      </c>
      <c r="C322" s="437" t="str">
        <f t="shared" si="195"/>
        <v>BCO_6,50%_02102028_AA4088-91_250K</v>
      </c>
      <c r="D322" s="437" t="s">
        <v>453</v>
      </c>
      <c r="E322" s="437" t="str">
        <f t="shared" si="192"/>
        <v>AA-py</v>
      </c>
      <c r="F322" s="437" t="s">
        <v>297</v>
      </c>
      <c r="G322" s="437" t="s">
        <v>298</v>
      </c>
      <c r="H322" s="437">
        <v>2</v>
      </c>
      <c r="I322" s="492">
        <v>1246.5753424657535</v>
      </c>
      <c r="J322" s="451"/>
      <c r="K322" s="450"/>
      <c r="L322" s="451"/>
      <c r="M322" s="493"/>
      <c r="N322" s="493"/>
      <c r="O322" s="494">
        <f t="shared" si="194"/>
        <v>6.5565869200000002E-2</v>
      </c>
      <c r="P322" s="494">
        <f t="shared" si="194"/>
        <v>6.3669465351994248E-2</v>
      </c>
      <c r="Q322" s="450">
        <f t="shared" si="194"/>
        <v>45937</v>
      </c>
      <c r="R322" s="450">
        <v>46174</v>
      </c>
      <c r="S322" s="509" t="s">
        <v>146</v>
      </c>
      <c r="T322" s="510">
        <f>Tabla33[[#This Row],[Cantidad]]*Tabla33[[#This Row],[Cortes]]</f>
        <v>2493.1506849315069</v>
      </c>
      <c r="U322" s="511">
        <f t="shared" si="181"/>
        <v>2427.6578056948729</v>
      </c>
      <c r="V322" s="511">
        <f t="shared" si="182"/>
        <v>2427.2354566465419</v>
      </c>
      <c r="W322" s="497">
        <f>IF(Tabla33[[#This Row],[Fecha de operación]]=$C$1,0,U322-V322)</f>
        <v>0.42234904833094333</v>
      </c>
      <c r="X322" s="512" t="str">
        <f t="shared" si="185"/>
        <v>Vigente</v>
      </c>
      <c r="Y322" s="498" t="s">
        <v>450</v>
      </c>
      <c r="Z322" s="469">
        <f t="shared" si="186"/>
        <v>153</v>
      </c>
      <c r="AA322" s="499">
        <f t="shared" si="196"/>
        <v>2.5050510437655946</v>
      </c>
      <c r="AB322" s="499">
        <f t="shared" si="196"/>
        <v>2.4646517846319136</v>
      </c>
      <c r="AC322" s="469" t="s">
        <v>451</v>
      </c>
      <c r="AD322" s="469" t="s">
        <v>454</v>
      </c>
      <c r="AF322" s="444">
        <f>+IF(Tabla33[[#This Row],[Amortización k | cupón de intereses]]="Amortización de K",Tabla33[[#This Row],[Valor Nominal]],0)</f>
        <v>0</v>
      </c>
      <c r="AG322" s="444">
        <f>+IF(AND(Tabla33[[#This Row],[Amortización k | cupón de intereses]]="Cupón de interés",Tabla33[[#This Row],[Estado]]="Vigente"),Tabla33[[#This Row],[Valor Nominal]],0)</f>
        <v>2493.1506849315069</v>
      </c>
      <c r="AH322" s="444">
        <f>+IF(Tabla33[[#This Row],[Amortización k | cupón de intereses]]="Amortización de K",SUMIFS($AG$7:$AG$418,Tabla33[Código Emisión],Tabla33[[#This Row],[Código Emisión]],Tabla33[Fecha de operación],Tabla33[[#This Row],[Fecha de operación]]),0)-Tabla33[[#This Row],[Accrued]]*Tabla33[[#This Row],[Valor Nominal]]</f>
        <v>0</v>
      </c>
      <c r="AI322" s="444">
        <f>+IF(Tabla33[[#This Row],[Amortización k | cupón de intereses]]="Amortización de K",IF(Tabla33[[#This Row],[Precio Clean]]&gt;1,Tabla33[[#This Row],[Valor Nominal]]*(Tabla33[[#This Row],[Precio Clean]]-1),0),0)</f>
        <v>0</v>
      </c>
      <c r="AJ322" s="444">
        <f>+IF(Tabla33[[#This Row],[Amortización k | cupón de intereses]]="Amortización de K",IF(Tabla33[[#This Row],[Precio Clean]]&lt;1,Tabla33[[#This Row],[Valor Nominal]]*(Tabla33[[#This Row],[Precio Clean]]-1),0),0)</f>
        <v>0</v>
      </c>
    </row>
    <row r="323" spans="1:36">
      <c r="A323" s="502"/>
      <c r="B323" s="437" t="str">
        <f t="shared" si="195"/>
        <v>Bancop S.A.</v>
      </c>
      <c r="C323" s="437" t="str">
        <f t="shared" si="195"/>
        <v>BCO_6,50%_02102028_AA4088-91_250K</v>
      </c>
      <c r="D323" s="437" t="s">
        <v>453</v>
      </c>
      <c r="E323" s="437" t="str">
        <f t="shared" si="192"/>
        <v>AA-py</v>
      </c>
      <c r="F323" s="437" t="s">
        <v>297</v>
      </c>
      <c r="G323" s="437" t="s">
        <v>298</v>
      </c>
      <c r="H323" s="437">
        <v>2</v>
      </c>
      <c r="I323" s="492">
        <v>1469.1780821917807</v>
      </c>
      <c r="J323" s="451"/>
      <c r="K323" s="450"/>
      <c r="L323" s="451"/>
      <c r="M323" s="493"/>
      <c r="N323" s="493"/>
      <c r="O323" s="494">
        <f t="shared" si="194"/>
        <v>6.5565869200000002E-2</v>
      </c>
      <c r="P323" s="494">
        <f t="shared" si="194"/>
        <v>6.3669465351994248E-2</v>
      </c>
      <c r="Q323" s="450">
        <f t="shared" si="194"/>
        <v>45937</v>
      </c>
      <c r="R323" s="450">
        <v>46146</v>
      </c>
      <c r="S323" s="509" t="s">
        <v>146</v>
      </c>
      <c r="T323" s="510">
        <f>Tabla33[[#This Row],[Cantidad]]*Tabla33[[#This Row],[Cortes]]</f>
        <v>2938.3561643835615</v>
      </c>
      <c r="U323" s="511">
        <f t="shared" si="181"/>
        <v>2875.1408670662295</v>
      </c>
      <c r="V323" s="511">
        <f t="shared" si="182"/>
        <v>2874.6406676533747</v>
      </c>
      <c r="W323" s="497">
        <f>IF(Tabla33[[#This Row],[Fecha de operación]]=$C$1,0,U323-V323)</f>
        <v>0.50019941285472669</v>
      </c>
      <c r="X323" s="512" t="str">
        <f t="shared" si="185"/>
        <v>Vigente</v>
      </c>
      <c r="Y323" s="498" t="s">
        <v>450</v>
      </c>
      <c r="Z323" s="469">
        <f t="shared" si="186"/>
        <v>125</v>
      </c>
      <c r="AA323" s="499">
        <f t="shared" si="196"/>
        <v>2.5050510437655946</v>
      </c>
      <c r="AB323" s="499">
        <f t="shared" si="196"/>
        <v>2.4646517846319136</v>
      </c>
      <c r="AC323" s="469" t="s">
        <v>451</v>
      </c>
      <c r="AD323" s="469" t="s">
        <v>454</v>
      </c>
      <c r="AF323" s="444">
        <f>+IF(Tabla33[[#This Row],[Amortización k | cupón de intereses]]="Amortización de K",Tabla33[[#This Row],[Valor Nominal]],0)</f>
        <v>0</v>
      </c>
      <c r="AG323" s="444">
        <f>+IF(AND(Tabla33[[#This Row],[Amortización k | cupón de intereses]]="Cupón de interés",Tabla33[[#This Row],[Estado]]="Vigente"),Tabla33[[#This Row],[Valor Nominal]],0)</f>
        <v>2938.3561643835615</v>
      </c>
      <c r="AH323" s="444">
        <f>+IF(Tabla33[[#This Row],[Amortización k | cupón de intereses]]="Amortización de K",SUMIFS($AG$7:$AG$418,Tabla33[Código Emisión],Tabla33[[#This Row],[Código Emisión]],Tabla33[Fecha de operación],Tabla33[[#This Row],[Fecha de operación]]),0)-Tabla33[[#This Row],[Accrued]]*Tabla33[[#This Row],[Valor Nominal]]</f>
        <v>0</v>
      </c>
      <c r="AI323" s="444">
        <f>+IF(Tabla33[[#This Row],[Amortización k | cupón de intereses]]="Amortización de K",IF(Tabla33[[#This Row],[Precio Clean]]&gt;1,Tabla33[[#This Row],[Valor Nominal]]*(Tabla33[[#This Row],[Precio Clean]]-1),0),0)</f>
        <v>0</v>
      </c>
      <c r="AJ323" s="444">
        <f>+IF(Tabla33[[#This Row],[Amortización k | cupón de intereses]]="Amortización de K",IF(Tabla33[[#This Row],[Precio Clean]]&lt;1,Tabla33[[#This Row],[Valor Nominal]]*(Tabla33[[#This Row],[Precio Clean]]-1),0),0)</f>
        <v>0</v>
      </c>
    </row>
    <row r="324" spans="1:36">
      <c r="A324" s="502"/>
      <c r="B324" s="437" t="str">
        <f t="shared" si="195"/>
        <v>Bancop S.A.</v>
      </c>
      <c r="C324" s="437" t="str">
        <f t="shared" si="195"/>
        <v>BCO_6,50%_02102028_AA4088-91_250K</v>
      </c>
      <c r="D324" s="437" t="s">
        <v>453</v>
      </c>
      <c r="E324" s="437" t="str">
        <f t="shared" si="192"/>
        <v>AA-py</v>
      </c>
      <c r="F324" s="437" t="s">
        <v>297</v>
      </c>
      <c r="G324" s="437" t="s">
        <v>298</v>
      </c>
      <c r="H324" s="437">
        <v>2</v>
      </c>
      <c r="I324" s="492">
        <v>1335.6164383561643</v>
      </c>
      <c r="J324" s="451"/>
      <c r="K324" s="450"/>
      <c r="L324" s="451"/>
      <c r="M324" s="493"/>
      <c r="N324" s="493"/>
      <c r="O324" s="494">
        <f t="shared" si="194"/>
        <v>6.5565869200000002E-2</v>
      </c>
      <c r="P324" s="494">
        <f t="shared" si="194"/>
        <v>6.3669465351994248E-2</v>
      </c>
      <c r="Q324" s="450">
        <f t="shared" si="194"/>
        <v>45937</v>
      </c>
      <c r="R324" s="450">
        <v>46113</v>
      </c>
      <c r="S324" s="509" t="s">
        <v>146</v>
      </c>
      <c r="T324" s="510">
        <f>Tabla33[[#This Row],[Cantidad]]*Tabla33[[#This Row],[Cortes]]</f>
        <v>2671.2328767123286</v>
      </c>
      <c r="U324" s="511">
        <f t="shared" si="181"/>
        <v>2628.8148782452017</v>
      </c>
      <c r="V324" s="511">
        <f t="shared" si="182"/>
        <v>2628.3575331204243</v>
      </c>
      <c r="W324" s="497">
        <f>IF(Tabla33[[#This Row],[Fecha de operación]]=$C$1,0,U324-V324)</f>
        <v>0.45734512477747558</v>
      </c>
      <c r="X324" s="512" t="str">
        <f t="shared" si="185"/>
        <v>Vigente</v>
      </c>
      <c r="Y324" s="498" t="s">
        <v>450</v>
      </c>
      <c r="Z324" s="469">
        <f t="shared" si="186"/>
        <v>92</v>
      </c>
      <c r="AA324" s="499">
        <f t="shared" si="196"/>
        <v>2.5050510437655946</v>
      </c>
      <c r="AB324" s="499">
        <f t="shared" si="196"/>
        <v>2.4646517846319136</v>
      </c>
      <c r="AC324" s="469" t="s">
        <v>451</v>
      </c>
      <c r="AD324" s="469" t="s">
        <v>454</v>
      </c>
      <c r="AF324" s="444">
        <f>+IF(Tabla33[[#This Row],[Amortización k | cupón de intereses]]="Amortización de K",Tabla33[[#This Row],[Valor Nominal]],0)</f>
        <v>0</v>
      </c>
      <c r="AG324" s="444">
        <f>+IF(AND(Tabla33[[#This Row],[Amortización k | cupón de intereses]]="Cupón de interés",Tabla33[[#This Row],[Estado]]="Vigente"),Tabla33[[#This Row],[Valor Nominal]],0)</f>
        <v>2671.2328767123286</v>
      </c>
      <c r="AH324" s="444">
        <f>+IF(Tabla33[[#This Row],[Amortización k | cupón de intereses]]="Amortización de K",SUMIFS($AG$7:$AG$418,Tabla33[Código Emisión],Tabla33[[#This Row],[Código Emisión]],Tabla33[Fecha de operación],Tabla33[[#This Row],[Fecha de operación]]),0)-Tabla33[[#This Row],[Accrued]]*Tabla33[[#This Row],[Valor Nominal]]</f>
        <v>0</v>
      </c>
      <c r="AI324" s="444">
        <f>+IF(Tabla33[[#This Row],[Amortización k | cupón de intereses]]="Amortización de K",IF(Tabla33[[#This Row],[Precio Clean]]&gt;1,Tabla33[[#This Row],[Valor Nominal]]*(Tabla33[[#This Row],[Precio Clean]]-1),0),0)</f>
        <v>0</v>
      </c>
      <c r="AJ324" s="444">
        <f>+IF(Tabla33[[#This Row],[Amortización k | cupón de intereses]]="Amortización de K",IF(Tabla33[[#This Row],[Precio Clean]]&lt;1,Tabla33[[#This Row],[Valor Nominal]]*(Tabla33[[#This Row],[Precio Clean]]-1),0),0)</f>
        <v>0</v>
      </c>
    </row>
    <row r="325" spans="1:36">
      <c r="A325" s="502"/>
      <c r="B325" s="437" t="str">
        <f t="shared" si="195"/>
        <v>Bancop S.A.</v>
      </c>
      <c r="C325" s="437" t="str">
        <f t="shared" si="195"/>
        <v>BCO_6,50%_02102028_AA4088-91_250K</v>
      </c>
      <c r="D325" s="437" t="s">
        <v>453</v>
      </c>
      <c r="E325" s="437" t="str">
        <f t="shared" si="192"/>
        <v>AA-py</v>
      </c>
      <c r="F325" s="437" t="s">
        <v>297</v>
      </c>
      <c r="G325" s="437" t="s">
        <v>298</v>
      </c>
      <c r="H325" s="437">
        <v>2</v>
      </c>
      <c r="I325" s="492">
        <v>1246.5753424657535</v>
      </c>
      <c r="J325" s="451"/>
      <c r="K325" s="450"/>
      <c r="L325" s="451"/>
      <c r="M325" s="493"/>
      <c r="N325" s="493"/>
      <c r="O325" s="494">
        <f t="shared" si="194"/>
        <v>6.5565869200000002E-2</v>
      </c>
      <c r="P325" s="494">
        <f t="shared" si="194"/>
        <v>6.3669465351994248E-2</v>
      </c>
      <c r="Q325" s="450">
        <f t="shared" si="194"/>
        <v>45937</v>
      </c>
      <c r="R325" s="450">
        <v>46083</v>
      </c>
      <c r="S325" s="509" t="s">
        <v>146</v>
      </c>
      <c r="T325" s="510">
        <f>Tabla33[[#This Row],[Cantidad]]*Tabla33[[#This Row],[Cortes]]</f>
        <v>2493.1506849315069</v>
      </c>
      <c r="U325" s="511">
        <f t="shared" si="181"/>
        <v>2466.4008123858994</v>
      </c>
      <c r="V325" s="511">
        <f t="shared" si="182"/>
        <v>2465.9717230663637</v>
      </c>
      <c r="W325" s="497">
        <f>IF(Tabla33[[#This Row],[Fecha de operación]]=$C$1,0,U325-V325)</f>
        <v>0.42908931953570573</v>
      </c>
      <c r="X325" s="512" t="str">
        <f t="shared" si="185"/>
        <v>Vigente</v>
      </c>
      <c r="Y325" s="498" t="s">
        <v>450</v>
      </c>
      <c r="Z325" s="469">
        <f t="shared" si="186"/>
        <v>62</v>
      </c>
      <c r="AA325" s="499">
        <f t="shared" si="196"/>
        <v>2.5050510437655946</v>
      </c>
      <c r="AB325" s="499">
        <f t="shared" si="196"/>
        <v>2.4646517846319136</v>
      </c>
      <c r="AC325" s="469" t="s">
        <v>451</v>
      </c>
      <c r="AD325" s="469" t="s">
        <v>454</v>
      </c>
      <c r="AF325" s="444">
        <f>+IF(Tabla33[[#This Row],[Amortización k | cupón de intereses]]="Amortización de K",Tabla33[[#This Row],[Valor Nominal]],0)</f>
        <v>0</v>
      </c>
      <c r="AG325" s="444">
        <f>+IF(AND(Tabla33[[#This Row],[Amortización k | cupón de intereses]]="Cupón de interés",Tabla33[[#This Row],[Estado]]="Vigente"),Tabla33[[#This Row],[Valor Nominal]],0)</f>
        <v>2493.1506849315069</v>
      </c>
      <c r="AH325" s="444">
        <f>+IF(Tabla33[[#This Row],[Amortización k | cupón de intereses]]="Amortización de K",SUMIFS($AG$7:$AG$418,Tabla33[Código Emisión],Tabla33[[#This Row],[Código Emisión]],Tabla33[Fecha de operación],Tabla33[[#This Row],[Fecha de operación]]),0)-Tabla33[[#This Row],[Accrued]]*Tabla33[[#This Row],[Valor Nominal]]</f>
        <v>0</v>
      </c>
      <c r="AI325" s="444">
        <f>+IF(Tabla33[[#This Row],[Amortización k | cupón de intereses]]="Amortización de K",IF(Tabla33[[#This Row],[Precio Clean]]&gt;1,Tabla33[[#This Row],[Valor Nominal]]*(Tabla33[[#This Row],[Precio Clean]]-1),0),0)</f>
        <v>0</v>
      </c>
      <c r="AJ325" s="444">
        <f>+IF(Tabla33[[#This Row],[Amortización k | cupón de intereses]]="Amortización de K",IF(Tabla33[[#This Row],[Precio Clean]]&lt;1,Tabla33[[#This Row],[Valor Nominal]]*(Tabla33[[#This Row],[Precio Clean]]-1),0),0)</f>
        <v>0</v>
      </c>
    </row>
    <row r="326" spans="1:36">
      <c r="A326" s="502"/>
      <c r="B326" s="437" t="str">
        <f t="shared" si="195"/>
        <v>Bancop S.A.</v>
      </c>
      <c r="C326" s="437" t="str">
        <f t="shared" si="195"/>
        <v>BCO_6,50%_02102028_AA4088-91_250K</v>
      </c>
      <c r="D326" s="437" t="s">
        <v>453</v>
      </c>
      <c r="E326" s="437" t="str">
        <f t="shared" si="192"/>
        <v>AA-py</v>
      </c>
      <c r="F326" s="437" t="s">
        <v>297</v>
      </c>
      <c r="G326" s="437" t="s">
        <v>298</v>
      </c>
      <c r="H326" s="437">
        <v>2</v>
      </c>
      <c r="I326" s="492">
        <v>1380.1369863013699</v>
      </c>
      <c r="J326" s="451"/>
      <c r="K326" s="450"/>
      <c r="L326" s="451"/>
      <c r="M326" s="493"/>
      <c r="N326" s="493"/>
      <c r="O326" s="494">
        <f t="shared" ref="O326:Q329" si="197">+O325</f>
        <v>6.5565869200000002E-2</v>
      </c>
      <c r="P326" s="494">
        <f t="shared" si="197"/>
        <v>6.3669465351994248E-2</v>
      </c>
      <c r="Q326" s="450">
        <f t="shared" si="197"/>
        <v>45937</v>
      </c>
      <c r="R326" s="450">
        <v>46055</v>
      </c>
      <c r="S326" s="509" t="s">
        <v>146</v>
      </c>
      <c r="T326" s="510">
        <f>Tabla33[[#This Row],[Cantidad]]*Tabla33[[#This Row],[Cortes]]</f>
        <v>2760.2739726027398</v>
      </c>
      <c r="U326" s="511">
        <f t="shared" si="181"/>
        <v>2743.9934249713879</v>
      </c>
      <c r="V326" s="511">
        <f t="shared" si="182"/>
        <v>2743.5160417879165</v>
      </c>
      <c r="W326" s="497">
        <f>IF(Tabla33[[#This Row],[Fecha de operación]]=$C$1,0,U326-V326)</f>
        <v>0.47738318347137465</v>
      </c>
      <c r="X326" s="512" t="str">
        <f t="shared" si="185"/>
        <v>Vigente</v>
      </c>
      <c r="Y326" s="498" t="s">
        <v>450</v>
      </c>
      <c r="Z326" s="469">
        <f t="shared" si="186"/>
        <v>34</v>
      </c>
      <c r="AA326" s="499">
        <f t="shared" si="196"/>
        <v>2.5050510437655946</v>
      </c>
      <c r="AB326" s="499">
        <f t="shared" si="196"/>
        <v>2.4646517846319136</v>
      </c>
      <c r="AC326" s="469" t="s">
        <v>451</v>
      </c>
      <c r="AD326" s="469" t="s">
        <v>454</v>
      </c>
      <c r="AF326" s="444">
        <f>+IF(Tabla33[[#This Row],[Amortización k | cupón de intereses]]="Amortización de K",Tabla33[[#This Row],[Valor Nominal]],0)</f>
        <v>0</v>
      </c>
      <c r="AG326" s="444">
        <f>+IF(AND(Tabla33[[#This Row],[Amortización k | cupón de intereses]]="Cupón de interés",Tabla33[[#This Row],[Estado]]="Vigente"),Tabla33[[#This Row],[Valor Nominal]],0)</f>
        <v>2760.2739726027398</v>
      </c>
      <c r="AH326" s="444">
        <f>+IF(Tabla33[[#This Row],[Amortización k | cupón de intereses]]="Amortización de K",SUMIFS($AG$7:$AG$418,Tabla33[Código Emisión],Tabla33[[#This Row],[Código Emisión]],Tabla33[Fecha de operación],Tabla33[[#This Row],[Fecha de operación]]),0)-Tabla33[[#This Row],[Accrued]]*Tabla33[[#This Row],[Valor Nominal]]</f>
        <v>0</v>
      </c>
      <c r="AI326" s="444">
        <f>+IF(Tabla33[[#This Row],[Amortización k | cupón de intereses]]="Amortización de K",IF(Tabla33[[#This Row],[Precio Clean]]&gt;1,Tabla33[[#This Row],[Valor Nominal]]*(Tabla33[[#This Row],[Precio Clean]]-1),0),0)</f>
        <v>0</v>
      </c>
      <c r="AJ326" s="444">
        <f>+IF(Tabla33[[#This Row],[Amortización k | cupón de intereses]]="Amortización de K",IF(Tabla33[[#This Row],[Precio Clean]]&lt;1,Tabla33[[#This Row],[Valor Nominal]]*(Tabla33[[#This Row],[Precio Clean]]-1),0),0)</f>
        <v>0</v>
      </c>
    </row>
    <row r="327" spans="1:36">
      <c r="A327" s="502"/>
      <c r="B327" s="437" t="str">
        <f t="shared" ref="B327:C329" si="198">+B326</f>
        <v>Bancop S.A.</v>
      </c>
      <c r="C327" s="437" t="str">
        <f t="shared" si="198"/>
        <v>BCO_6,50%_02102028_AA4088-91_250K</v>
      </c>
      <c r="D327" s="437" t="s">
        <v>453</v>
      </c>
      <c r="E327" s="437" t="str">
        <f t="shared" si="192"/>
        <v>AA-py</v>
      </c>
      <c r="F327" s="437" t="s">
        <v>297</v>
      </c>
      <c r="G327" s="437" t="s">
        <v>298</v>
      </c>
      <c r="H327" s="437">
        <v>2</v>
      </c>
      <c r="I327" s="492">
        <v>1380.1369863013699</v>
      </c>
      <c r="J327" s="451"/>
      <c r="K327" s="450"/>
      <c r="L327" s="451"/>
      <c r="M327" s="493"/>
      <c r="N327" s="493"/>
      <c r="O327" s="494">
        <f t="shared" si="197"/>
        <v>6.5565869200000002E-2</v>
      </c>
      <c r="P327" s="494">
        <f t="shared" si="197"/>
        <v>6.3669465351994248E-2</v>
      </c>
      <c r="Q327" s="450">
        <f t="shared" si="197"/>
        <v>45937</v>
      </c>
      <c r="R327" s="450">
        <v>46024</v>
      </c>
      <c r="S327" s="509" t="s">
        <v>146</v>
      </c>
      <c r="T327" s="510">
        <f>Tabla33[[#This Row],[Cantidad]]*Tabla33[[#This Row],[Cortes]]</f>
        <v>2760.2739726027398</v>
      </c>
      <c r="U327" s="511">
        <f t="shared" si="181"/>
        <v>2758.8335765025608</v>
      </c>
      <c r="V327" s="511">
        <f t="shared" si="182"/>
        <v>2758.3536115203442</v>
      </c>
      <c r="W327" s="497">
        <f>IF(Tabla33[[#This Row],[Fecha de operación]]=$C$1,0,U327-V327)</f>
        <v>0.47996498221664297</v>
      </c>
      <c r="X327" s="512" t="str">
        <f t="shared" si="185"/>
        <v>Vigente</v>
      </c>
      <c r="Y327" s="498" t="s">
        <v>450</v>
      </c>
      <c r="Z327" s="469">
        <f t="shared" si="186"/>
        <v>3</v>
      </c>
      <c r="AA327" s="499">
        <f t="shared" ref="AA327:AB329" si="199">+AA326</f>
        <v>2.5050510437655946</v>
      </c>
      <c r="AB327" s="499">
        <f t="shared" si="199"/>
        <v>2.4646517846319136</v>
      </c>
      <c r="AC327" s="469" t="s">
        <v>451</v>
      </c>
      <c r="AD327" s="469" t="s">
        <v>454</v>
      </c>
      <c r="AF327" s="444">
        <f>+IF(Tabla33[[#This Row],[Amortización k | cupón de intereses]]="Amortización de K",Tabla33[[#This Row],[Valor Nominal]],0)</f>
        <v>0</v>
      </c>
      <c r="AG327" s="444">
        <f>+IF(AND(Tabla33[[#This Row],[Amortización k | cupón de intereses]]="Cupón de interés",Tabla33[[#This Row],[Estado]]="Vigente"),Tabla33[[#This Row],[Valor Nominal]],0)</f>
        <v>2760.2739726027398</v>
      </c>
      <c r="AH327" s="444">
        <f>+IF(Tabla33[[#This Row],[Amortización k | cupón de intereses]]="Amortización de K",SUMIFS($AG$7:$AG$418,Tabla33[Código Emisión],Tabla33[[#This Row],[Código Emisión]],Tabla33[Fecha de operación],Tabla33[[#This Row],[Fecha de operación]]),0)-Tabla33[[#This Row],[Accrued]]*Tabla33[[#This Row],[Valor Nominal]]</f>
        <v>0</v>
      </c>
      <c r="AI327" s="444">
        <f>+IF(Tabla33[[#This Row],[Amortización k | cupón de intereses]]="Amortización de K",IF(Tabla33[[#This Row],[Precio Clean]]&gt;1,Tabla33[[#This Row],[Valor Nominal]]*(Tabla33[[#This Row],[Precio Clean]]-1),0),0)</f>
        <v>0</v>
      </c>
      <c r="AJ327" s="444">
        <f>+IF(Tabla33[[#This Row],[Amortización k | cupón de intereses]]="Amortización de K",IF(Tabla33[[#This Row],[Precio Clean]]&lt;1,Tabla33[[#This Row],[Valor Nominal]]*(Tabla33[[#This Row],[Precio Clean]]-1),0),0)</f>
        <v>0</v>
      </c>
    </row>
    <row r="328" spans="1:36">
      <c r="A328" s="502"/>
      <c r="B328" s="437" t="str">
        <f t="shared" si="198"/>
        <v>Bancop S.A.</v>
      </c>
      <c r="C328" s="437" t="str">
        <f t="shared" si="198"/>
        <v>BCO_6,50%_02102028_AA4088-91_250K</v>
      </c>
      <c r="D328" s="437" t="s">
        <v>453</v>
      </c>
      <c r="E328" s="437" t="str">
        <f t="shared" si="192"/>
        <v>AA-py</v>
      </c>
      <c r="F328" s="437" t="s">
        <v>297</v>
      </c>
      <c r="G328" s="437" t="s">
        <v>298</v>
      </c>
      <c r="H328" s="437">
        <v>2</v>
      </c>
      <c r="I328" s="492">
        <v>1291.0958904109589</v>
      </c>
      <c r="J328" s="451"/>
      <c r="K328" s="450"/>
      <c r="L328" s="451"/>
      <c r="M328" s="493"/>
      <c r="N328" s="493"/>
      <c r="O328" s="494">
        <f t="shared" si="197"/>
        <v>6.5565869200000002E-2</v>
      </c>
      <c r="P328" s="494">
        <f t="shared" si="197"/>
        <v>6.3669465351994248E-2</v>
      </c>
      <c r="Q328" s="450">
        <f t="shared" si="197"/>
        <v>45937</v>
      </c>
      <c r="R328" s="450">
        <v>45993</v>
      </c>
      <c r="S328" s="509" t="s">
        <v>146</v>
      </c>
      <c r="T328" s="510">
        <f>Tabla33[[#This Row],[Cantidad]]*Tabla33[[#This Row],[Cortes]]</f>
        <v>2582.1917808219177</v>
      </c>
      <c r="U328" s="511" t="b">
        <f t="shared" si="181"/>
        <v>0</v>
      </c>
      <c r="V328" s="511" t="b">
        <f t="shared" si="182"/>
        <v>0</v>
      </c>
      <c r="W328" s="497">
        <f>IF(Tabla33[[#This Row],[Fecha de operación]]=$C$1,0,U328-V328)</f>
        <v>0</v>
      </c>
      <c r="X328" s="512" t="str">
        <f t="shared" si="185"/>
        <v>Vencido</v>
      </c>
      <c r="Y328" s="498" t="s">
        <v>450</v>
      </c>
      <c r="Z328" s="469">
        <f t="shared" si="186"/>
        <v>-28</v>
      </c>
      <c r="AA328" s="499">
        <f t="shared" si="199"/>
        <v>2.5050510437655946</v>
      </c>
      <c r="AB328" s="499">
        <f t="shared" si="199"/>
        <v>2.4646517846319136</v>
      </c>
      <c r="AC328" s="469" t="s">
        <v>451</v>
      </c>
      <c r="AD328" s="469" t="s">
        <v>454</v>
      </c>
      <c r="AF328" s="444">
        <f>+IF(Tabla33[[#This Row],[Amortización k | cupón de intereses]]="Amortización de K",Tabla33[[#This Row],[Valor Nominal]],0)</f>
        <v>0</v>
      </c>
      <c r="AG328" s="444">
        <f>+IF(AND(Tabla33[[#This Row],[Amortización k | cupón de intereses]]="Cupón de interés",Tabla33[[#This Row],[Estado]]="Vigente"),Tabla33[[#This Row],[Valor Nominal]],0)</f>
        <v>0</v>
      </c>
      <c r="AH328" s="444">
        <f>+IF(Tabla33[[#This Row],[Amortización k | cupón de intereses]]="Amortización de K",SUMIFS($AG$7:$AG$418,Tabla33[Código Emisión],Tabla33[[#This Row],[Código Emisión]],Tabla33[Fecha de operación],Tabla33[[#This Row],[Fecha de operación]]),0)-Tabla33[[#This Row],[Accrued]]*Tabla33[[#This Row],[Valor Nominal]]</f>
        <v>0</v>
      </c>
      <c r="AI328" s="444">
        <f>+IF(Tabla33[[#This Row],[Amortización k | cupón de intereses]]="Amortización de K",IF(Tabla33[[#This Row],[Precio Clean]]&gt;1,Tabla33[[#This Row],[Valor Nominal]]*(Tabla33[[#This Row],[Precio Clean]]-1),0),0)</f>
        <v>0</v>
      </c>
      <c r="AJ328" s="444">
        <f>+IF(Tabla33[[#This Row],[Amortización k | cupón de intereses]]="Amortización de K",IF(Tabla33[[#This Row],[Precio Clean]]&lt;1,Tabla33[[#This Row],[Valor Nominal]]*(Tabla33[[#This Row],[Precio Clean]]-1),0),0)</f>
        <v>0</v>
      </c>
    </row>
    <row r="329" spans="1:36">
      <c r="A329" s="502"/>
      <c r="B329" s="437" t="str">
        <f t="shared" si="198"/>
        <v>Bancop S.A.</v>
      </c>
      <c r="C329" s="437" t="str">
        <f t="shared" si="198"/>
        <v>BCO_6,50%_02102028_AA4088-91_250K</v>
      </c>
      <c r="D329" s="437" t="s">
        <v>453</v>
      </c>
      <c r="E329" s="437" t="str">
        <f t="shared" si="192"/>
        <v>AA-py</v>
      </c>
      <c r="F329" s="437" t="s">
        <v>297</v>
      </c>
      <c r="G329" s="437" t="s">
        <v>298</v>
      </c>
      <c r="H329" s="437">
        <v>2</v>
      </c>
      <c r="I329" s="492">
        <v>1380.1369863013699</v>
      </c>
      <c r="J329" s="451"/>
      <c r="K329" s="450"/>
      <c r="L329" s="451"/>
      <c r="M329" s="493"/>
      <c r="N329" s="493"/>
      <c r="O329" s="494">
        <f t="shared" si="197"/>
        <v>6.5565869200000002E-2</v>
      </c>
      <c r="P329" s="494">
        <f t="shared" si="197"/>
        <v>6.3669465351994248E-2</v>
      </c>
      <c r="Q329" s="450">
        <f t="shared" si="197"/>
        <v>45937</v>
      </c>
      <c r="R329" s="450">
        <v>45964</v>
      </c>
      <c r="S329" s="509" t="s">
        <v>146</v>
      </c>
      <c r="T329" s="510">
        <f>Tabla33[[#This Row],[Cantidad]]*Tabla33[[#This Row],[Cortes]]</f>
        <v>2760.2739726027398</v>
      </c>
      <c r="U329" s="511" t="b">
        <f t="shared" si="181"/>
        <v>0</v>
      </c>
      <c r="V329" s="511" t="b">
        <f t="shared" si="182"/>
        <v>0</v>
      </c>
      <c r="W329" s="497">
        <f>IF(Tabla33[[#This Row],[Fecha de operación]]=$C$1,0,U329-V329)</f>
        <v>0</v>
      </c>
      <c r="X329" s="512" t="str">
        <f t="shared" si="185"/>
        <v>Vencido</v>
      </c>
      <c r="Y329" s="498" t="s">
        <v>450</v>
      </c>
      <c r="Z329" s="469">
        <f t="shared" si="186"/>
        <v>-57</v>
      </c>
      <c r="AA329" s="499">
        <f t="shared" si="199"/>
        <v>2.5050510437655946</v>
      </c>
      <c r="AB329" s="499">
        <f t="shared" si="199"/>
        <v>2.4646517846319136</v>
      </c>
      <c r="AC329" s="469" t="s">
        <v>451</v>
      </c>
      <c r="AD329" s="469" t="s">
        <v>454</v>
      </c>
      <c r="AF329" s="444">
        <f>+IF(Tabla33[[#This Row],[Amortización k | cupón de intereses]]="Amortización de K",Tabla33[[#This Row],[Valor Nominal]],0)</f>
        <v>0</v>
      </c>
      <c r="AG329" s="444">
        <f>+IF(AND(Tabla33[[#This Row],[Amortización k | cupón de intereses]]="Cupón de interés",Tabla33[[#This Row],[Estado]]="Vigente"),Tabla33[[#This Row],[Valor Nominal]],0)</f>
        <v>0</v>
      </c>
      <c r="AH329" s="444">
        <f>+IF(Tabla33[[#This Row],[Amortización k | cupón de intereses]]="Amortización de K",SUMIFS($AG$7:$AG$418,Tabla33[Código Emisión],Tabla33[[#This Row],[Código Emisión]],Tabla33[Fecha de operación],Tabla33[[#This Row],[Fecha de operación]]),0)-Tabla33[[#This Row],[Accrued]]*Tabla33[[#This Row],[Valor Nominal]]</f>
        <v>0</v>
      </c>
      <c r="AI329" s="444">
        <f>+IF(Tabla33[[#This Row],[Amortización k | cupón de intereses]]="Amortización de K",IF(Tabla33[[#This Row],[Precio Clean]]&gt;1,Tabla33[[#This Row],[Valor Nominal]]*(Tabla33[[#This Row],[Precio Clean]]-1),0),0)</f>
        <v>0</v>
      </c>
      <c r="AJ329" s="444">
        <f>+IF(Tabla33[[#This Row],[Amortización k | cupón de intereses]]="Amortización de K",IF(Tabla33[[#This Row],[Precio Clean]]&lt;1,Tabla33[[#This Row],[Valor Nominal]]*(Tabla33[[#This Row],[Precio Clean]]-1),0),0)</f>
        <v>0</v>
      </c>
    </row>
    <row r="330" spans="1:36" ht="15">
      <c r="A330" s="500">
        <f>+A293+1</f>
        <v>30</v>
      </c>
      <c r="B330" s="475" t="s">
        <v>485</v>
      </c>
      <c r="C330" s="475" t="s">
        <v>486</v>
      </c>
      <c r="D330" s="475" t="s">
        <v>453</v>
      </c>
      <c r="E330" s="475" t="s">
        <v>487</v>
      </c>
      <c r="F330" s="475" t="s">
        <v>297</v>
      </c>
      <c r="G330" s="475" t="s">
        <v>298</v>
      </c>
      <c r="H330" s="475">
        <v>1</v>
      </c>
      <c r="I330" s="477">
        <v>200000</v>
      </c>
      <c r="J330" s="478">
        <v>6.4500000000000002E-2</v>
      </c>
      <c r="K330" s="479">
        <f>_xlfn.MAXIFS(R:R,C:C,C330,AD:AD,"Cupón de interés",X:X,"Vencido")</f>
        <v>45919</v>
      </c>
      <c r="L330" s="478">
        <f>+Tabla33[[#This Row],[Tasa de Interés]]*($U$5-Tabla33[[#This Row],[Last coupon]])/365</f>
        <v>1.8024657534246577E-2</v>
      </c>
      <c r="M330" s="480">
        <f>+Tabla33[[#This Row],[Precio Dirty]]-Tabla33[[#This Row],[Accrued]]</f>
        <v>1.0015574830113378</v>
      </c>
      <c r="N330" s="481">
        <f>SUMIFS(U:U,C:C,C330,Q:Q,Q330)/SUMIFS(T:T,C:C,C330,Q:Q,Q330,AD:AD,"Amortización de K")</f>
        <v>1.0195821405455845</v>
      </c>
      <c r="O330" s="478">
        <v>6.4459112286567685E-2</v>
      </c>
      <c r="P330" s="478">
        <v>6.3452555584031511E-2</v>
      </c>
      <c r="Q330" s="484">
        <v>45944</v>
      </c>
      <c r="R330" s="450">
        <v>46650</v>
      </c>
      <c r="S330" s="504" t="s">
        <v>146</v>
      </c>
      <c r="T330" s="505">
        <f>Tabla33[[#This Row],[Cantidad]]*Tabla33[[#This Row],[Cortes]]</f>
        <v>200000</v>
      </c>
      <c r="U330" s="506">
        <f t="shared" si="181"/>
        <v>179588.67731243724</v>
      </c>
      <c r="V330" s="506">
        <f t="shared" si="182"/>
        <v>179557.94479444542</v>
      </c>
      <c r="W330" s="487">
        <f>IF(Tabla33[[#This Row],[Fecha de operación]]=$C$1,0,U330-V330)</f>
        <v>30.732517991826171</v>
      </c>
      <c r="X330" s="507" t="str">
        <f t="shared" si="185"/>
        <v>Vigente</v>
      </c>
      <c r="Y330" s="488" t="s">
        <v>450</v>
      </c>
      <c r="Z330" s="488">
        <f t="shared" si="186"/>
        <v>629</v>
      </c>
      <c r="AA330" s="477">
        <f>IF(Y330="Mensual",DURATION($C$1,$C$1+Z330*12,J330/12,O330/12,1)/12,DURATION($C$1,R330,J330,O330,IF(Y330="Cupón cero",1,IF(Y330="Al vencimiento",1,IF(Y330="Anual",1,IF(Y330="Semestral",2,IF(Y330="Trimestral",4,"")))))))</f>
        <v>1.6410815571225703</v>
      </c>
      <c r="AB330" s="477">
        <f>IF(Y330="Mensual",MDURATION($C$1,$C$1+Z330*12,J330/12,O330/12,1)/12,MDURATION($C$1,R330,J330,O330,IF(Y330="Cupón cero",1,IF(Y330="Al vencimiento",1,IF(Y330="Anual",1,IF(Y330="Semestral",2,IF(Y330="Trimestral",4,"")))))))</f>
        <v>1.615055299399321</v>
      </c>
      <c r="AC330" s="488" t="s">
        <v>451</v>
      </c>
      <c r="AD330" s="488" t="s">
        <v>452</v>
      </c>
      <c r="AF330" s="444">
        <f>+IF(Tabla33[[#This Row],[Amortización k | cupón de intereses]]="Amortización de K",Tabla33[[#This Row],[Valor Nominal]],0)</f>
        <v>200000</v>
      </c>
      <c r="AG330" s="444">
        <f>+IF(AND(Tabla33[[#This Row],[Amortización k | cupón de intereses]]="Cupón de interés",Tabla33[[#This Row],[Estado]]="Vigente"),Tabla33[[#This Row],[Valor Nominal]],0)</f>
        <v>0</v>
      </c>
      <c r="AH330" s="444">
        <f>+IF(Tabla33[[#This Row],[Amortización k | cupón de intereses]]="Amortización de K",SUMIFS($AG$7:$AG$418,Tabla33[Código Emisión],Tabla33[[#This Row],[Código Emisión]],Tabla33[Fecha de operación],Tabla33[[#This Row],[Fecha de operación]]),0)-Tabla33[[#This Row],[Accrued]]*Tabla33[[#This Row],[Valor Nominal]]</f>
        <v>22230.388493150684</v>
      </c>
      <c r="AI330" s="444">
        <f>+IF(Tabla33[[#This Row],[Amortización k | cupón de intereses]]="Amortización de K",IF(Tabla33[[#This Row],[Precio Clean]]&gt;1,Tabla33[[#This Row],[Valor Nominal]]*(Tabla33[[#This Row],[Precio Clean]]-1),0),0)</f>
        <v>311.49660226756913</v>
      </c>
      <c r="AJ330" s="444">
        <f>+IF(Tabla33[[#This Row],[Amortización k | cupón de intereses]]="Amortización de K",IF(Tabla33[[#This Row],[Precio Clean]]&lt;1,Tabla33[[#This Row],[Valor Nominal]]*(Tabla33[[#This Row],[Precio Clean]]-1),0),0)</f>
        <v>0</v>
      </c>
    </row>
    <row r="331" spans="1:36">
      <c r="A331" s="502"/>
      <c r="B331" s="437" t="s">
        <v>485</v>
      </c>
      <c r="C331" s="437" t="str">
        <f>+C330</f>
        <v>BNF_6,45%_200927_BB1790-1794_200K</v>
      </c>
      <c r="D331" s="437" t="s">
        <v>453</v>
      </c>
      <c r="E331" s="437" t="str">
        <f>+E330</f>
        <v>AA+py</v>
      </c>
      <c r="F331" s="437" t="s">
        <v>297</v>
      </c>
      <c r="G331" s="437" t="s">
        <v>298</v>
      </c>
      <c r="H331" s="437">
        <f>+H330</f>
        <v>1</v>
      </c>
      <c r="I331" s="445">
        <v>6538.35</v>
      </c>
      <c r="J331" s="462"/>
      <c r="K331" s="450"/>
      <c r="L331" s="462"/>
      <c r="M331" s="493"/>
      <c r="N331" s="493"/>
      <c r="O331" s="462">
        <f t="shared" ref="O331:Q334" si="200">+O330</f>
        <v>6.4459112286567685E-2</v>
      </c>
      <c r="P331" s="462">
        <f t="shared" si="200"/>
        <v>6.3452555584031511E-2</v>
      </c>
      <c r="Q331" s="450">
        <f t="shared" si="200"/>
        <v>45944</v>
      </c>
      <c r="R331" s="450">
        <v>46650</v>
      </c>
      <c r="S331" s="509" t="s">
        <v>146</v>
      </c>
      <c r="T331" s="510">
        <f>Tabla33[[#This Row],[Cantidad]]*Tabla33[[#This Row],[Cortes]]</f>
        <v>6538.35</v>
      </c>
      <c r="U331" s="511">
        <f t="shared" si="181"/>
        <v>5871.0681415288709</v>
      </c>
      <c r="V331" s="511">
        <f t="shared" si="182"/>
        <v>5870.0634417338115</v>
      </c>
      <c r="W331" s="497">
        <f>IF(Tabla33[[#This Row],[Fecha de operación]]=$C$1,0,U331-V331)</f>
        <v>1.0046997950594232</v>
      </c>
      <c r="X331" s="512" t="str">
        <f t="shared" si="185"/>
        <v>Vigente</v>
      </c>
      <c r="Y331" s="449" t="s">
        <v>450</v>
      </c>
      <c r="Z331" s="449">
        <f t="shared" si="186"/>
        <v>629</v>
      </c>
      <c r="AA331" s="445">
        <f t="shared" ref="AA331:AB334" si="201">+AA330</f>
        <v>1.6410815571225703</v>
      </c>
      <c r="AB331" s="445">
        <f t="shared" si="201"/>
        <v>1.615055299399321</v>
      </c>
      <c r="AC331" s="449" t="s">
        <v>451</v>
      </c>
      <c r="AD331" s="449" t="s">
        <v>454</v>
      </c>
      <c r="AF331" s="444">
        <f>+IF(Tabla33[[#This Row],[Amortización k | cupón de intereses]]="Amortización de K",Tabla33[[#This Row],[Valor Nominal]],0)</f>
        <v>0</v>
      </c>
      <c r="AG331" s="444">
        <f>+IF(AND(Tabla33[[#This Row],[Amortización k | cupón de intereses]]="Cupón de interés",Tabla33[[#This Row],[Estado]]="Vigente"),Tabla33[[#This Row],[Valor Nominal]],0)</f>
        <v>6538.35</v>
      </c>
      <c r="AH331" s="444">
        <f>+IF(Tabla33[[#This Row],[Amortización k | cupón de intereses]]="Amortización de K",SUMIFS($AG$7:$AG$418,Tabla33[Código Emisión],Tabla33[[#This Row],[Código Emisión]],Tabla33[Fecha de operación],Tabla33[[#This Row],[Fecha de operación]]),0)-Tabla33[[#This Row],[Accrued]]*Tabla33[[#This Row],[Valor Nominal]]</f>
        <v>0</v>
      </c>
      <c r="AI331" s="444">
        <f>+IF(Tabla33[[#This Row],[Amortización k | cupón de intereses]]="Amortización de K",IF(Tabla33[[#This Row],[Precio Clean]]&gt;1,Tabla33[[#This Row],[Valor Nominal]]*(Tabla33[[#This Row],[Precio Clean]]-1),0),0)</f>
        <v>0</v>
      </c>
      <c r="AJ331" s="444">
        <f>+IF(Tabla33[[#This Row],[Amortización k | cupón de intereses]]="Amortización de K",IF(Tabla33[[#This Row],[Precio Clean]]&lt;1,Tabla33[[#This Row],[Valor Nominal]]*(Tabla33[[#This Row],[Precio Clean]]-1),0),0)</f>
        <v>0</v>
      </c>
    </row>
    <row r="332" spans="1:36">
      <c r="A332" s="502"/>
      <c r="B332" s="437" t="s">
        <v>485</v>
      </c>
      <c r="C332" s="437" t="str">
        <f>+C331</f>
        <v>BNF_6,45%_200927_BB1790-1794_200K</v>
      </c>
      <c r="D332" s="437" t="s">
        <v>453</v>
      </c>
      <c r="E332" s="437" t="str">
        <f>+E331</f>
        <v>AA+py</v>
      </c>
      <c r="F332" s="437" t="s">
        <v>297</v>
      </c>
      <c r="G332" s="437" t="s">
        <v>298</v>
      </c>
      <c r="H332" s="437">
        <f>+H331</f>
        <v>1</v>
      </c>
      <c r="I332" s="445">
        <v>6326.3</v>
      </c>
      <c r="J332" s="462"/>
      <c r="K332" s="450"/>
      <c r="L332" s="462"/>
      <c r="M332" s="493"/>
      <c r="N332" s="493"/>
      <c r="O332" s="462">
        <f t="shared" si="200"/>
        <v>6.4459112286567685E-2</v>
      </c>
      <c r="P332" s="462">
        <f t="shared" si="200"/>
        <v>6.3452555584031511E-2</v>
      </c>
      <c r="Q332" s="450">
        <f t="shared" si="200"/>
        <v>45944</v>
      </c>
      <c r="R332" s="450">
        <v>46465</v>
      </c>
      <c r="S332" s="509" t="s">
        <v>146</v>
      </c>
      <c r="T332" s="510">
        <f>Tabla33[[#This Row],[Cantidad]]*Tabla33[[#This Row],[Cortes]]</f>
        <v>6326.3</v>
      </c>
      <c r="U332" s="511">
        <f t="shared" si="181"/>
        <v>5863.3935639247584</v>
      </c>
      <c r="V332" s="511">
        <f t="shared" si="182"/>
        <v>5862.3901774591241</v>
      </c>
      <c r="W332" s="497">
        <f>IF(Tabla33[[#This Row],[Fecha de operación]]=$C$1,0,U332-V332)</f>
        <v>1.0033864656343212</v>
      </c>
      <c r="X332" s="512" t="str">
        <f t="shared" si="185"/>
        <v>Vigente</v>
      </c>
      <c r="Y332" s="449" t="s">
        <v>450</v>
      </c>
      <c r="Z332" s="449">
        <f t="shared" si="186"/>
        <v>444</v>
      </c>
      <c r="AA332" s="445">
        <f t="shared" si="201"/>
        <v>1.6410815571225703</v>
      </c>
      <c r="AB332" s="445">
        <f t="shared" si="201"/>
        <v>1.615055299399321</v>
      </c>
      <c r="AC332" s="449" t="s">
        <v>451</v>
      </c>
      <c r="AD332" s="449" t="s">
        <v>454</v>
      </c>
      <c r="AF332" s="444">
        <f>+IF(Tabla33[[#This Row],[Amortización k | cupón de intereses]]="Amortización de K",Tabla33[[#This Row],[Valor Nominal]],0)</f>
        <v>0</v>
      </c>
      <c r="AG332" s="444">
        <f>+IF(AND(Tabla33[[#This Row],[Amortización k | cupón de intereses]]="Cupón de interés",Tabla33[[#This Row],[Estado]]="Vigente"),Tabla33[[#This Row],[Valor Nominal]],0)</f>
        <v>6326.3</v>
      </c>
      <c r="AH332" s="444">
        <f>+IF(Tabla33[[#This Row],[Amortización k | cupón de intereses]]="Amortización de K",SUMIFS($AG$7:$AG$418,Tabla33[Código Emisión],Tabla33[[#This Row],[Código Emisión]],Tabla33[Fecha de operación],Tabla33[[#This Row],[Fecha de operación]]),0)-Tabla33[[#This Row],[Accrued]]*Tabla33[[#This Row],[Valor Nominal]]</f>
        <v>0</v>
      </c>
      <c r="AI332" s="444">
        <f>+IF(Tabla33[[#This Row],[Amortización k | cupón de intereses]]="Amortización de K",IF(Tabla33[[#This Row],[Precio Clean]]&gt;1,Tabla33[[#This Row],[Valor Nominal]]*(Tabla33[[#This Row],[Precio Clean]]-1),0),0)</f>
        <v>0</v>
      </c>
      <c r="AJ332" s="444">
        <f>+IF(Tabla33[[#This Row],[Amortización k | cupón de intereses]]="Amortización de K",IF(Tabla33[[#This Row],[Precio Clean]]&lt;1,Tabla33[[#This Row],[Valor Nominal]]*(Tabla33[[#This Row],[Precio Clean]]-1),0),0)</f>
        <v>0</v>
      </c>
    </row>
    <row r="333" spans="1:36">
      <c r="A333" s="502"/>
      <c r="B333" s="437" t="s">
        <v>485</v>
      </c>
      <c r="C333" s="437" t="str">
        <f>+C332</f>
        <v>BNF_6,45%_200927_BB1790-1794_200K</v>
      </c>
      <c r="D333" s="437" t="s">
        <v>453</v>
      </c>
      <c r="E333" s="437" t="str">
        <f>+E332</f>
        <v>AA+py</v>
      </c>
      <c r="F333" s="437" t="s">
        <v>297</v>
      </c>
      <c r="G333" s="437" t="s">
        <v>298</v>
      </c>
      <c r="H333" s="437">
        <f>+H332</f>
        <v>1</v>
      </c>
      <c r="I333" s="445">
        <v>6573.69</v>
      </c>
      <c r="J333" s="462"/>
      <c r="K333" s="450"/>
      <c r="L333" s="462"/>
      <c r="M333" s="493"/>
      <c r="N333" s="493"/>
      <c r="O333" s="462">
        <f t="shared" si="200"/>
        <v>6.4459112286567685E-2</v>
      </c>
      <c r="P333" s="462">
        <f t="shared" si="200"/>
        <v>6.3452555584031511E-2</v>
      </c>
      <c r="Q333" s="450">
        <f t="shared" si="200"/>
        <v>45944</v>
      </c>
      <c r="R333" s="450">
        <v>46286</v>
      </c>
      <c r="S333" s="509" t="s">
        <v>146</v>
      </c>
      <c r="T333" s="510">
        <f>Tabla33[[#This Row],[Cantidad]]*Tabla33[[#This Row],[Cortes]]</f>
        <v>6573.69</v>
      </c>
      <c r="U333" s="511">
        <f t="shared" si="181"/>
        <v>6282.2155606486722</v>
      </c>
      <c r="V333" s="511">
        <f t="shared" si="182"/>
        <v>6281.1405023229718</v>
      </c>
      <c r="W333" s="497">
        <f>IF(Tabla33[[#This Row],[Fecha de operación]]=$C$1,0,U333-V333)</f>
        <v>1.0750583257004109</v>
      </c>
      <c r="X333" s="512" t="str">
        <f t="shared" si="185"/>
        <v>Vigente</v>
      </c>
      <c r="Y333" s="449" t="s">
        <v>450</v>
      </c>
      <c r="Z333" s="449">
        <f t="shared" si="186"/>
        <v>265</v>
      </c>
      <c r="AA333" s="445">
        <f t="shared" si="201"/>
        <v>1.6410815571225703</v>
      </c>
      <c r="AB333" s="445">
        <f t="shared" si="201"/>
        <v>1.615055299399321</v>
      </c>
      <c r="AC333" s="449" t="s">
        <v>451</v>
      </c>
      <c r="AD333" s="449" t="s">
        <v>454</v>
      </c>
      <c r="AF333" s="444">
        <f>+IF(Tabla33[[#This Row],[Amortización k | cupón de intereses]]="Amortización de K",Tabla33[[#This Row],[Valor Nominal]],0)</f>
        <v>0</v>
      </c>
      <c r="AG333" s="444">
        <f>+IF(AND(Tabla33[[#This Row],[Amortización k | cupón de intereses]]="Cupón de interés",Tabla33[[#This Row],[Estado]]="Vigente"),Tabla33[[#This Row],[Valor Nominal]],0)</f>
        <v>6573.69</v>
      </c>
      <c r="AH333" s="444">
        <f>+IF(Tabla33[[#This Row],[Amortización k | cupón de intereses]]="Amortización de K",SUMIFS($AG$7:$AG$418,Tabla33[Código Emisión],Tabla33[[#This Row],[Código Emisión]],Tabla33[Fecha de operación],Tabla33[[#This Row],[Fecha de operación]]),0)-Tabla33[[#This Row],[Accrued]]*Tabla33[[#This Row],[Valor Nominal]]</f>
        <v>0</v>
      </c>
      <c r="AI333" s="444">
        <f>+IF(Tabla33[[#This Row],[Amortización k | cupón de intereses]]="Amortización de K",IF(Tabla33[[#This Row],[Precio Clean]]&gt;1,Tabla33[[#This Row],[Valor Nominal]]*(Tabla33[[#This Row],[Precio Clean]]-1),0),0)</f>
        <v>0</v>
      </c>
      <c r="AJ333" s="444">
        <f>+IF(Tabla33[[#This Row],[Amortización k | cupón de intereses]]="Amortización de K",IF(Tabla33[[#This Row],[Precio Clean]]&lt;1,Tabla33[[#This Row],[Valor Nominal]]*(Tabla33[[#This Row],[Precio Clean]]-1),0),0)</f>
        <v>0</v>
      </c>
    </row>
    <row r="334" spans="1:36">
      <c r="A334" s="502"/>
      <c r="B334" s="437" t="s">
        <v>485</v>
      </c>
      <c r="C334" s="437" t="str">
        <f>+C333</f>
        <v>BNF_6,45%_200927_BB1790-1794_200K</v>
      </c>
      <c r="D334" s="437" t="s">
        <v>453</v>
      </c>
      <c r="E334" s="437" t="str">
        <f>+E333</f>
        <v>AA+py</v>
      </c>
      <c r="F334" s="437" t="s">
        <v>297</v>
      </c>
      <c r="G334" s="437" t="s">
        <v>298</v>
      </c>
      <c r="H334" s="437">
        <f>+H333</f>
        <v>1</v>
      </c>
      <c r="I334" s="445">
        <v>6396.98</v>
      </c>
      <c r="J334" s="462"/>
      <c r="K334" s="450"/>
      <c r="L334" s="462"/>
      <c r="M334" s="493"/>
      <c r="N334" s="493"/>
      <c r="O334" s="462">
        <f t="shared" si="200"/>
        <v>6.4459112286567685E-2</v>
      </c>
      <c r="P334" s="462">
        <f t="shared" si="200"/>
        <v>6.3452555584031511E-2</v>
      </c>
      <c r="Q334" s="450">
        <f t="shared" si="200"/>
        <v>45944</v>
      </c>
      <c r="R334" s="450">
        <v>46100</v>
      </c>
      <c r="S334" s="509" t="s">
        <v>146</v>
      </c>
      <c r="T334" s="510">
        <f>Tabla33[[#This Row],[Cantidad]]*Tabla33[[#This Row],[Cortes]]</f>
        <v>6396.98</v>
      </c>
      <c r="U334" s="511">
        <f t="shared" si="181"/>
        <v>6311.0735305773196</v>
      </c>
      <c r="V334" s="511">
        <f t="shared" si="182"/>
        <v>6309.9935338663417</v>
      </c>
      <c r="W334" s="497">
        <f>IF(Tabla33[[#This Row],[Fecha de operación]]=$C$1,0,U334-V334)</f>
        <v>1.0799967109778663</v>
      </c>
      <c r="X334" s="512" t="str">
        <f t="shared" si="185"/>
        <v>Vigente</v>
      </c>
      <c r="Y334" s="449" t="s">
        <v>450</v>
      </c>
      <c r="Z334" s="449">
        <f t="shared" si="186"/>
        <v>79</v>
      </c>
      <c r="AA334" s="445">
        <f t="shared" si="201"/>
        <v>1.6410815571225703</v>
      </c>
      <c r="AB334" s="445">
        <f t="shared" si="201"/>
        <v>1.615055299399321</v>
      </c>
      <c r="AC334" s="449" t="s">
        <v>451</v>
      </c>
      <c r="AD334" s="449" t="s">
        <v>454</v>
      </c>
      <c r="AF334" s="444">
        <f>+IF(Tabla33[[#This Row],[Amortización k | cupón de intereses]]="Amortización de K",Tabla33[[#This Row],[Valor Nominal]],0)</f>
        <v>0</v>
      </c>
      <c r="AG334" s="444">
        <f>+IF(AND(Tabla33[[#This Row],[Amortización k | cupón de intereses]]="Cupón de interés",Tabla33[[#This Row],[Estado]]="Vigente"),Tabla33[[#This Row],[Valor Nominal]],0)</f>
        <v>6396.98</v>
      </c>
      <c r="AH334" s="444">
        <f>+IF(Tabla33[[#This Row],[Amortización k | cupón de intereses]]="Amortización de K",SUMIFS($AG$7:$AG$418,Tabla33[Código Emisión],Tabla33[[#This Row],[Código Emisión]],Tabla33[Fecha de operación],Tabla33[[#This Row],[Fecha de operación]]),0)-Tabla33[[#This Row],[Accrued]]*Tabla33[[#This Row],[Valor Nominal]]</f>
        <v>0</v>
      </c>
      <c r="AI334" s="444">
        <f>+IF(Tabla33[[#This Row],[Amortización k | cupón de intereses]]="Amortización de K",IF(Tabla33[[#This Row],[Precio Clean]]&gt;1,Tabla33[[#This Row],[Valor Nominal]]*(Tabla33[[#This Row],[Precio Clean]]-1),0),0)</f>
        <v>0</v>
      </c>
      <c r="AJ334" s="444">
        <f>+IF(Tabla33[[#This Row],[Amortización k | cupón de intereses]]="Amortización de K",IF(Tabla33[[#This Row],[Precio Clean]]&lt;1,Tabla33[[#This Row],[Valor Nominal]]*(Tabla33[[#This Row],[Precio Clean]]-1),0),0)</f>
        <v>0</v>
      </c>
    </row>
    <row r="335" spans="1:36" ht="15">
      <c r="A335" s="500">
        <f>+A330+1</f>
        <v>31</v>
      </c>
      <c r="B335" s="475" t="s">
        <v>485</v>
      </c>
      <c r="C335" s="475" t="s">
        <v>486</v>
      </c>
      <c r="D335" s="475" t="s">
        <v>453</v>
      </c>
      <c r="E335" s="475" t="s">
        <v>487</v>
      </c>
      <c r="F335" s="475" t="s">
        <v>297</v>
      </c>
      <c r="G335" s="475" t="s">
        <v>298</v>
      </c>
      <c r="H335" s="475">
        <v>1</v>
      </c>
      <c r="I335" s="477">
        <v>200000</v>
      </c>
      <c r="J335" s="478">
        <v>6.4500000000000002E-2</v>
      </c>
      <c r="K335" s="479">
        <f>_xlfn.MAXIFS(R:R,C:C,C335,AD:AD,"Cupón de interés",X:X,"Vencido")</f>
        <v>45919</v>
      </c>
      <c r="L335" s="478">
        <f>+Tabla33[[#This Row],[Tasa de Interés]]*($U$5-Tabla33[[#This Row],[Last coupon]])/365</f>
        <v>1.8024657534246577E-2</v>
      </c>
      <c r="M335" s="480">
        <f>+Tabla33[[#This Row],[Precio Dirty]]-Tabla33[[#This Row],[Accrued]]</f>
        <v>1.0015574550702757</v>
      </c>
      <c r="N335" s="481">
        <f>SUMIFS(U:U,C:C,C335,Q:Q,Q335)/SUMIFS(T:T,C:C,C335,Q:Q,Q335,AD:AD,"Amortización de K")</f>
        <v>1.0195821126045224</v>
      </c>
      <c r="O335" s="478">
        <v>6.4459130167961107E-2</v>
      </c>
      <c r="P335" s="478">
        <v>6.3452572915560168E-2</v>
      </c>
      <c r="Q335" s="484">
        <v>45945</v>
      </c>
      <c r="R335" s="450">
        <v>46650</v>
      </c>
      <c r="S335" s="504" t="s">
        <v>146</v>
      </c>
      <c r="T335" s="505">
        <f>Tabla33[[#This Row],[Cantidad]]*Tabla33[[#This Row],[Cortes]]</f>
        <v>200000</v>
      </c>
      <c r="U335" s="506">
        <f t="shared" si="181"/>
        <v>179588.67211356558</v>
      </c>
      <c r="V335" s="506">
        <f t="shared" si="182"/>
        <v>179557.93958819952</v>
      </c>
      <c r="W335" s="487">
        <f>IF(Tabla33[[#This Row],[Fecha de operación]]=$C$1,0,U335-V335)</f>
        <v>30.732525366067421</v>
      </c>
      <c r="X335" s="507" t="str">
        <f t="shared" si="185"/>
        <v>Vigente</v>
      </c>
      <c r="Y335" s="488" t="s">
        <v>450</v>
      </c>
      <c r="Z335" s="488">
        <f t="shared" si="186"/>
        <v>629</v>
      </c>
      <c r="AA335" s="477">
        <f>IF(Y335="Mensual",DURATION($C$1,$C$1+Z335*12,J335/12,O335/12,1)/12,DURATION($C$1,R335,J335,O335,IF(Y335="Cupón cero",1,IF(Y335="Al vencimiento",1,IF(Y335="Anual",1,IF(Y335="Semestral",2,IF(Y335="Trimestral",4,"")))))))</f>
        <v>1.6410815556789484</v>
      </c>
      <c r="AB335" s="477">
        <f>IF(Y335="Mensual",MDURATION($C$1,$C$1+Z335*12,J335/12,O335/12,1)/12,MDURATION($C$1,R335,J335,O335,IF(Y335="Cupón cero",1,IF(Y335="Al vencimiento",1,IF(Y335="Anual",1,IF(Y335="Semestral",2,IF(Y335="Trimestral",4,"")))))))</f>
        <v>1.6150552908732354</v>
      </c>
      <c r="AC335" s="488" t="s">
        <v>451</v>
      </c>
      <c r="AD335" s="488" t="s">
        <v>452</v>
      </c>
      <c r="AF335" s="444">
        <f>+IF(Tabla33[[#This Row],[Amortización k | cupón de intereses]]="Amortización de K",Tabla33[[#This Row],[Valor Nominal]],0)</f>
        <v>200000</v>
      </c>
      <c r="AG335" s="444">
        <f>+IF(AND(Tabla33[[#This Row],[Amortización k | cupón de intereses]]="Cupón de interés",Tabla33[[#This Row],[Estado]]="Vigente"),Tabla33[[#This Row],[Valor Nominal]],0)</f>
        <v>0</v>
      </c>
      <c r="AH335" s="444">
        <f>+IF(Tabla33[[#This Row],[Amortización k | cupón de intereses]]="Amortización de K",SUMIFS($AG$7:$AG$418,Tabla33[Código Emisión],Tabla33[[#This Row],[Código Emisión]],Tabla33[Fecha de operación],Tabla33[[#This Row],[Fecha de operación]]),0)-Tabla33[[#This Row],[Accrued]]*Tabla33[[#This Row],[Valor Nominal]]</f>
        <v>22230.388493150684</v>
      </c>
      <c r="AI335" s="444">
        <f>+IF(Tabla33[[#This Row],[Amortización k | cupón de intereses]]="Amortización de K",IF(Tabla33[[#This Row],[Precio Clean]]&gt;1,Tabla33[[#This Row],[Valor Nominal]]*(Tabla33[[#This Row],[Precio Clean]]-1),0),0)</f>
        <v>311.49101405514301</v>
      </c>
      <c r="AJ335" s="444">
        <f>+IF(Tabla33[[#This Row],[Amortización k | cupón de intereses]]="Amortización de K",IF(Tabla33[[#This Row],[Precio Clean]]&lt;1,Tabla33[[#This Row],[Valor Nominal]]*(Tabla33[[#This Row],[Precio Clean]]-1),0),0)</f>
        <v>0</v>
      </c>
    </row>
    <row r="336" spans="1:36">
      <c r="A336" s="502"/>
      <c r="B336" s="437" t="s">
        <v>485</v>
      </c>
      <c r="C336" s="437" t="str">
        <f>+C335</f>
        <v>BNF_6,45%_200927_BB1790-1794_200K</v>
      </c>
      <c r="D336" s="437" t="s">
        <v>453</v>
      </c>
      <c r="E336" s="437" t="str">
        <f>+E335</f>
        <v>AA+py</v>
      </c>
      <c r="F336" s="437" t="s">
        <v>297</v>
      </c>
      <c r="G336" s="437" t="s">
        <v>298</v>
      </c>
      <c r="H336" s="437">
        <f>+H335</f>
        <v>1</v>
      </c>
      <c r="I336" s="445">
        <v>6538.35</v>
      </c>
      <c r="J336" s="462"/>
      <c r="K336" s="450"/>
      <c r="L336" s="462"/>
      <c r="M336" s="493"/>
      <c r="N336" s="493"/>
      <c r="O336" s="462">
        <f t="shared" ref="O336:Q339" si="202">+O335</f>
        <v>6.4459130167961107E-2</v>
      </c>
      <c r="P336" s="462">
        <f t="shared" si="202"/>
        <v>6.3452572915560168E-2</v>
      </c>
      <c r="Q336" s="450">
        <f t="shared" si="202"/>
        <v>45945</v>
      </c>
      <c r="R336" s="450">
        <v>46650</v>
      </c>
      <c r="S336" s="509" t="s">
        <v>146</v>
      </c>
      <c r="T336" s="510">
        <f>Tabla33[[#This Row],[Cantidad]]*Tabla33[[#This Row],[Cortes]]</f>
        <v>6538.35</v>
      </c>
      <c r="U336" s="511">
        <f t="shared" si="181"/>
        <v>5871.0679715686574</v>
      </c>
      <c r="V336" s="511">
        <f t="shared" si="182"/>
        <v>5870.0632715325219</v>
      </c>
      <c r="W336" s="497">
        <f>IF(Tabla33[[#This Row],[Fecha de operación]]=$C$1,0,U336-V336)</f>
        <v>1.0047000361355458</v>
      </c>
      <c r="X336" s="512" t="str">
        <f t="shared" si="185"/>
        <v>Vigente</v>
      </c>
      <c r="Y336" s="449" t="s">
        <v>450</v>
      </c>
      <c r="Z336" s="449">
        <f t="shared" si="186"/>
        <v>629</v>
      </c>
      <c r="AA336" s="445">
        <f t="shared" ref="AA336:AB339" si="203">+AA335</f>
        <v>1.6410815556789484</v>
      </c>
      <c r="AB336" s="445">
        <f t="shared" si="203"/>
        <v>1.6150552908732354</v>
      </c>
      <c r="AC336" s="449" t="s">
        <v>451</v>
      </c>
      <c r="AD336" s="449" t="s">
        <v>454</v>
      </c>
      <c r="AF336" s="444">
        <f>+IF(Tabla33[[#This Row],[Amortización k | cupón de intereses]]="Amortización de K",Tabla33[[#This Row],[Valor Nominal]],0)</f>
        <v>0</v>
      </c>
      <c r="AG336" s="444">
        <f>+IF(AND(Tabla33[[#This Row],[Amortización k | cupón de intereses]]="Cupón de interés",Tabla33[[#This Row],[Estado]]="Vigente"),Tabla33[[#This Row],[Valor Nominal]],0)</f>
        <v>6538.35</v>
      </c>
      <c r="AH336" s="444">
        <f>+IF(Tabla33[[#This Row],[Amortización k | cupón de intereses]]="Amortización de K",SUMIFS($AG$7:$AG$418,Tabla33[Código Emisión],Tabla33[[#This Row],[Código Emisión]],Tabla33[Fecha de operación],Tabla33[[#This Row],[Fecha de operación]]),0)-Tabla33[[#This Row],[Accrued]]*Tabla33[[#This Row],[Valor Nominal]]</f>
        <v>0</v>
      </c>
      <c r="AI336" s="444">
        <f>+IF(Tabla33[[#This Row],[Amortización k | cupón de intereses]]="Amortización de K",IF(Tabla33[[#This Row],[Precio Clean]]&gt;1,Tabla33[[#This Row],[Valor Nominal]]*(Tabla33[[#This Row],[Precio Clean]]-1),0),0)</f>
        <v>0</v>
      </c>
      <c r="AJ336" s="444">
        <f>+IF(Tabla33[[#This Row],[Amortización k | cupón de intereses]]="Amortización de K",IF(Tabla33[[#This Row],[Precio Clean]]&lt;1,Tabla33[[#This Row],[Valor Nominal]]*(Tabla33[[#This Row],[Precio Clean]]-1),0),0)</f>
        <v>0</v>
      </c>
    </row>
    <row r="337" spans="1:36">
      <c r="A337" s="502"/>
      <c r="B337" s="437" t="s">
        <v>485</v>
      </c>
      <c r="C337" s="437" t="str">
        <f>+C336</f>
        <v>BNF_6,45%_200927_BB1790-1794_200K</v>
      </c>
      <c r="D337" s="437" t="s">
        <v>453</v>
      </c>
      <c r="E337" s="437" t="str">
        <f>+E336</f>
        <v>AA+py</v>
      </c>
      <c r="F337" s="437" t="s">
        <v>297</v>
      </c>
      <c r="G337" s="437" t="s">
        <v>298</v>
      </c>
      <c r="H337" s="437">
        <f>+H336</f>
        <v>1</v>
      </c>
      <c r="I337" s="445">
        <v>6326.3</v>
      </c>
      <c r="J337" s="462"/>
      <c r="K337" s="450"/>
      <c r="L337" s="462"/>
      <c r="M337" s="493"/>
      <c r="N337" s="493"/>
      <c r="O337" s="462">
        <f t="shared" si="202"/>
        <v>6.4459130167961107E-2</v>
      </c>
      <c r="P337" s="462">
        <f t="shared" si="202"/>
        <v>6.3452572915560168E-2</v>
      </c>
      <c r="Q337" s="450">
        <f t="shared" si="202"/>
        <v>45945</v>
      </c>
      <c r="R337" s="450">
        <v>46465</v>
      </c>
      <c r="S337" s="509" t="s">
        <v>146</v>
      </c>
      <c r="T337" s="510">
        <f>Tabla33[[#This Row],[Cantidad]]*Tabla33[[#This Row],[Cortes]]</f>
        <v>6326.3</v>
      </c>
      <c r="U337" s="511">
        <f t="shared" si="181"/>
        <v>5863.3934441096681</v>
      </c>
      <c r="V337" s="511">
        <f t="shared" si="182"/>
        <v>5862.3900573947303</v>
      </c>
      <c r="W337" s="497">
        <f>IF(Tabla33[[#This Row],[Fecha de operación]]=$C$1,0,U337-V337)</f>
        <v>1.0033867149377329</v>
      </c>
      <c r="X337" s="512" t="str">
        <f t="shared" si="185"/>
        <v>Vigente</v>
      </c>
      <c r="Y337" s="449" t="s">
        <v>450</v>
      </c>
      <c r="Z337" s="449">
        <f t="shared" si="186"/>
        <v>444</v>
      </c>
      <c r="AA337" s="445">
        <f t="shared" si="203"/>
        <v>1.6410815556789484</v>
      </c>
      <c r="AB337" s="445">
        <f t="shared" si="203"/>
        <v>1.6150552908732354</v>
      </c>
      <c r="AC337" s="449" t="s">
        <v>451</v>
      </c>
      <c r="AD337" s="449" t="s">
        <v>454</v>
      </c>
      <c r="AF337" s="444">
        <f>+IF(Tabla33[[#This Row],[Amortización k | cupón de intereses]]="Amortización de K",Tabla33[[#This Row],[Valor Nominal]],0)</f>
        <v>0</v>
      </c>
      <c r="AG337" s="444">
        <f>+IF(AND(Tabla33[[#This Row],[Amortización k | cupón de intereses]]="Cupón de interés",Tabla33[[#This Row],[Estado]]="Vigente"),Tabla33[[#This Row],[Valor Nominal]],0)</f>
        <v>6326.3</v>
      </c>
      <c r="AH337" s="444">
        <f>+IF(Tabla33[[#This Row],[Amortización k | cupón de intereses]]="Amortización de K",SUMIFS($AG$7:$AG$418,Tabla33[Código Emisión],Tabla33[[#This Row],[Código Emisión]],Tabla33[Fecha de operación],Tabla33[[#This Row],[Fecha de operación]]),0)-Tabla33[[#This Row],[Accrued]]*Tabla33[[#This Row],[Valor Nominal]]</f>
        <v>0</v>
      </c>
      <c r="AI337" s="444">
        <f>+IF(Tabla33[[#This Row],[Amortización k | cupón de intereses]]="Amortización de K",IF(Tabla33[[#This Row],[Precio Clean]]&gt;1,Tabla33[[#This Row],[Valor Nominal]]*(Tabla33[[#This Row],[Precio Clean]]-1),0),0)</f>
        <v>0</v>
      </c>
      <c r="AJ337" s="444">
        <f>+IF(Tabla33[[#This Row],[Amortización k | cupón de intereses]]="Amortización de K",IF(Tabla33[[#This Row],[Precio Clean]]&lt;1,Tabla33[[#This Row],[Valor Nominal]]*(Tabla33[[#This Row],[Precio Clean]]-1),0),0)</f>
        <v>0</v>
      </c>
    </row>
    <row r="338" spans="1:36">
      <c r="A338" s="502"/>
      <c r="B338" s="437" t="s">
        <v>485</v>
      </c>
      <c r="C338" s="437" t="str">
        <f>+C337</f>
        <v>BNF_6,45%_200927_BB1790-1794_200K</v>
      </c>
      <c r="D338" s="437" t="s">
        <v>453</v>
      </c>
      <c r="E338" s="437" t="str">
        <f>+E337</f>
        <v>AA+py</v>
      </c>
      <c r="F338" s="437" t="s">
        <v>297</v>
      </c>
      <c r="G338" s="437" t="s">
        <v>298</v>
      </c>
      <c r="H338" s="437">
        <f>+H337</f>
        <v>1</v>
      </c>
      <c r="I338" s="445">
        <v>6573.69</v>
      </c>
      <c r="J338" s="462"/>
      <c r="K338" s="450"/>
      <c r="L338" s="462"/>
      <c r="M338" s="493"/>
      <c r="N338" s="493"/>
      <c r="O338" s="462">
        <f t="shared" si="202"/>
        <v>6.4459130167961107E-2</v>
      </c>
      <c r="P338" s="462">
        <f t="shared" si="202"/>
        <v>6.3452572915560168E-2</v>
      </c>
      <c r="Q338" s="450">
        <f t="shared" si="202"/>
        <v>45945</v>
      </c>
      <c r="R338" s="450">
        <v>46286</v>
      </c>
      <c r="S338" s="509" t="s">
        <v>146</v>
      </c>
      <c r="T338" s="510">
        <f>Tabla33[[#This Row],[Cantidad]]*Tabla33[[#This Row],[Cortes]]</f>
        <v>6573.69</v>
      </c>
      <c r="U338" s="511">
        <f t="shared" si="181"/>
        <v>6282.215484029367</v>
      </c>
      <c r="V338" s="511">
        <f t="shared" si="182"/>
        <v>6281.1404254276977</v>
      </c>
      <c r="W338" s="497">
        <f>IF(Tabla33[[#This Row],[Fecha de operación]]=$C$1,0,U338-V338)</f>
        <v>1.0750586016692978</v>
      </c>
      <c r="X338" s="512" t="str">
        <f t="shared" si="185"/>
        <v>Vigente</v>
      </c>
      <c r="Y338" s="449" t="s">
        <v>450</v>
      </c>
      <c r="Z338" s="449">
        <f t="shared" si="186"/>
        <v>265</v>
      </c>
      <c r="AA338" s="445">
        <f t="shared" si="203"/>
        <v>1.6410815556789484</v>
      </c>
      <c r="AB338" s="445">
        <f t="shared" si="203"/>
        <v>1.6150552908732354</v>
      </c>
      <c r="AC338" s="449" t="s">
        <v>451</v>
      </c>
      <c r="AD338" s="449" t="s">
        <v>454</v>
      </c>
      <c r="AF338" s="444">
        <f>+IF(Tabla33[[#This Row],[Amortización k | cupón de intereses]]="Amortización de K",Tabla33[[#This Row],[Valor Nominal]],0)</f>
        <v>0</v>
      </c>
      <c r="AG338" s="444">
        <f>+IF(AND(Tabla33[[#This Row],[Amortización k | cupón de intereses]]="Cupón de interés",Tabla33[[#This Row],[Estado]]="Vigente"),Tabla33[[#This Row],[Valor Nominal]],0)</f>
        <v>6573.69</v>
      </c>
      <c r="AH338" s="444">
        <f>+IF(Tabla33[[#This Row],[Amortización k | cupón de intereses]]="Amortización de K",SUMIFS($AG$7:$AG$418,Tabla33[Código Emisión],Tabla33[[#This Row],[Código Emisión]],Tabla33[Fecha de operación],Tabla33[[#This Row],[Fecha de operación]]),0)-Tabla33[[#This Row],[Accrued]]*Tabla33[[#This Row],[Valor Nominal]]</f>
        <v>0</v>
      </c>
      <c r="AI338" s="444">
        <f>+IF(Tabla33[[#This Row],[Amortización k | cupón de intereses]]="Amortización de K",IF(Tabla33[[#This Row],[Precio Clean]]&gt;1,Tabla33[[#This Row],[Valor Nominal]]*(Tabla33[[#This Row],[Precio Clean]]-1),0),0)</f>
        <v>0</v>
      </c>
      <c r="AJ338" s="444">
        <f>+IF(Tabla33[[#This Row],[Amortización k | cupón de intereses]]="Amortización de K",IF(Tabla33[[#This Row],[Precio Clean]]&lt;1,Tabla33[[#This Row],[Valor Nominal]]*(Tabla33[[#This Row],[Precio Clean]]-1),0),0)</f>
        <v>0</v>
      </c>
    </row>
    <row r="339" spans="1:36">
      <c r="A339" s="502"/>
      <c r="B339" s="437" t="s">
        <v>485</v>
      </c>
      <c r="C339" s="437" t="str">
        <f>+C338</f>
        <v>BNF_6,45%_200927_BB1790-1794_200K</v>
      </c>
      <c r="D339" s="437" t="s">
        <v>453</v>
      </c>
      <c r="E339" s="437" t="str">
        <f>+E338</f>
        <v>AA+py</v>
      </c>
      <c r="F339" s="437" t="s">
        <v>297</v>
      </c>
      <c r="G339" s="437" t="s">
        <v>298</v>
      </c>
      <c r="H339" s="437">
        <f>+H338</f>
        <v>1</v>
      </c>
      <c r="I339" s="445">
        <v>6396.98</v>
      </c>
      <c r="J339" s="462"/>
      <c r="K339" s="450"/>
      <c r="L339" s="462"/>
      <c r="M339" s="493"/>
      <c r="N339" s="493"/>
      <c r="O339" s="462">
        <f t="shared" si="202"/>
        <v>6.4459130167961107E-2</v>
      </c>
      <c r="P339" s="462">
        <f t="shared" si="202"/>
        <v>6.3452572915560168E-2</v>
      </c>
      <c r="Q339" s="450">
        <f t="shared" si="202"/>
        <v>45945</v>
      </c>
      <c r="R339" s="450">
        <v>46100</v>
      </c>
      <c r="S339" s="509" t="s">
        <v>146</v>
      </c>
      <c r="T339" s="510">
        <f>Tabla33[[#This Row],[Cantidad]]*Tabla33[[#This Row],[Cortes]]</f>
        <v>6396.98</v>
      </c>
      <c r="U339" s="511">
        <f t="shared" si="181"/>
        <v>6311.0735076311685</v>
      </c>
      <c r="V339" s="511">
        <f t="shared" si="182"/>
        <v>6309.9935106337107</v>
      </c>
      <c r="W339" s="497">
        <f>IF(Tabla33[[#This Row],[Fecha de operación]]=$C$1,0,U339-V339)</f>
        <v>1.0799969974577834</v>
      </c>
      <c r="X339" s="512" t="str">
        <f t="shared" si="185"/>
        <v>Vigente</v>
      </c>
      <c r="Y339" s="449" t="s">
        <v>450</v>
      </c>
      <c r="Z339" s="449">
        <f t="shared" si="186"/>
        <v>79</v>
      </c>
      <c r="AA339" s="445">
        <f t="shared" si="203"/>
        <v>1.6410815556789484</v>
      </c>
      <c r="AB339" s="445">
        <f t="shared" si="203"/>
        <v>1.6150552908732354</v>
      </c>
      <c r="AC339" s="449" t="s">
        <v>451</v>
      </c>
      <c r="AD339" s="449" t="s">
        <v>454</v>
      </c>
      <c r="AF339" s="444">
        <f>+IF(Tabla33[[#This Row],[Amortización k | cupón de intereses]]="Amortización de K",Tabla33[[#This Row],[Valor Nominal]],0)</f>
        <v>0</v>
      </c>
      <c r="AG339" s="444">
        <f>+IF(AND(Tabla33[[#This Row],[Amortización k | cupón de intereses]]="Cupón de interés",Tabla33[[#This Row],[Estado]]="Vigente"),Tabla33[[#This Row],[Valor Nominal]],0)</f>
        <v>6396.98</v>
      </c>
      <c r="AH339" s="444">
        <f>+IF(Tabla33[[#This Row],[Amortización k | cupón de intereses]]="Amortización de K",SUMIFS($AG$7:$AG$418,Tabla33[Código Emisión],Tabla33[[#This Row],[Código Emisión]],Tabla33[Fecha de operación],Tabla33[[#This Row],[Fecha de operación]]),0)-Tabla33[[#This Row],[Accrued]]*Tabla33[[#This Row],[Valor Nominal]]</f>
        <v>0</v>
      </c>
      <c r="AI339" s="444">
        <f>+IF(Tabla33[[#This Row],[Amortización k | cupón de intereses]]="Amortización de K",IF(Tabla33[[#This Row],[Precio Clean]]&gt;1,Tabla33[[#This Row],[Valor Nominal]]*(Tabla33[[#This Row],[Precio Clean]]-1),0),0)</f>
        <v>0</v>
      </c>
      <c r="AJ339" s="444">
        <f>+IF(Tabla33[[#This Row],[Amortización k | cupón de intereses]]="Amortización de K",IF(Tabla33[[#This Row],[Precio Clean]]&lt;1,Tabla33[[#This Row],[Valor Nominal]]*(Tabla33[[#This Row],[Precio Clean]]-1),0),0)</f>
        <v>0</v>
      </c>
    </row>
    <row r="340" spans="1:36" ht="15">
      <c r="A340" s="500">
        <f>+A335+1</f>
        <v>32</v>
      </c>
      <c r="B340" s="475" t="s">
        <v>485</v>
      </c>
      <c r="C340" s="475" t="s">
        <v>565</v>
      </c>
      <c r="D340" s="475" t="s">
        <v>453</v>
      </c>
      <c r="E340" s="475" t="s">
        <v>487</v>
      </c>
      <c r="F340" s="475" t="s">
        <v>297</v>
      </c>
      <c r="G340" s="475" t="s">
        <v>298</v>
      </c>
      <c r="H340" s="475">
        <v>1</v>
      </c>
      <c r="I340" s="477">
        <v>100000</v>
      </c>
      <c r="J340" s="478">
        <v>6.25E-2</v>
      </c>
      <c r="K340" s="479">
        <f>_xlfn.MAXIFS(R:R,C:C,C340,AD:AD,"Cupón de interés",X:X,"Vencido")</f>
        <v>45987</v>
      </c>
      <c r="L340" s="478">
        <f>+Tabla33[[#This Row],[Tasa de Interés]]*($U$5-Tabla33[[#This Row],[Last coupon]])/365</f>
        <v>5.8219178082191785E-3</v>
      </c>
      <c r="M340" s="480">
        <f>+Tabla33[[#This Row],[Precio Dirty]]-Tabla33[[#This Row],[Accrued]]</f>
        <v>1.0023294312296833</v>
      </c>
      <c r="N340" s="481">
        <f>SUMIFS(U:U,C:C,C340,Q:Q,Q340)/SUMIFS(T:T,C:C,C340,Q:Q,Q340,AD:AD,"Amortización de K")</f>
        <v>1.0081513490379026</v>
      </c>
      <c r="O340" s="478">
        <v>6.2404689192771909E-2</v>
      </c>
      <c r="P340" s="478">
        <v>6.0995292457546313E-2</v>
      </c>
      <c r="Q340" s="484">
        <v>45945</v>
      </c>
      <c r="R340" s="450">
        <v>46626</v>
      </c>
      <c r="S340" s="504" t="s">
        <v>146</v>
      </c>
      <c r="T340" s="505">
        <f>Tabla33[[#This Row],[Cantidad]]*Tabla33[[#This Row],[Cortes]]</f>
        <v>100000</v>
      </c>
      <c r="U340" s="506">
        <f t="shared" si="181"/>
        <v>90453.100851103896</v>
      </c>
      <c r="V340" s="506">
        <f t="shared" si="182"/>
        <v>90438.100531646123</v>
      </c>
      <c r="W340" s="487">
        <f>IF(Tabla33[[#This Row],[Fecha de operación]]=$C$1,0,U340-V340)</f>
        <v>15.000319457773003</v>
      </c>
      <c r="X340" s="507" t="str">
        <f t="shared" si="185"/>
        <v>Vigente</v>
      </c>
      <c r="Y340" s="488" t="s">
        <v>450</v>
      </c>
      <c r="Z340" s="488">
        <f t="shared" si="186"/>
        <v>605</v>
      </c>
      <c r="AA340" s="477">
        <f>IF(Y340="Mensual",DURATION($C$1,$C$1+Z340*12,J340/12,O340/12,1)/12,DURATION($C$1,R340,J340,O340,IF(Y340="Cupón cero",1,IF(Y340="Al vencimiento",1,IF(Y340="Anual",1,IF(Y340="Semestral",2,IF(Y340="Trimestral",4,"")))))))</f>
        <v>1.5796110247437891</v>
      </c>
      <c r="AB340" s="477">
        <f>IF(Y340="Mensual",MDURATION($C$1,$C$1+Z340*12,J340/12,O340/12,1)/12,MDURATION($C$1,R340,J340,O340,IF(Y340="Cupón cero",1,IF(Y340="Al vencimiento",1,IF(Y340="Anual",1,IF(Y340="Semestral",2,IF(Y340="Trimestral",4,"")))))))</f>
        <v>1.5553458068281905</v>
      </c>
      <c r="AC340" s="488" t="s">
        <v>451</v>
      </c>
      <c r="AD340" s="488" t="s">
        <v>452</v>
      </c>
      <c r="AF340" s="444">
        <f>+IF(Tabla33[[#This Row],[Amortización k | cupón de intereses]]="Amortización de K",Tabla33[[#This Row],[Valor Nominal]],0)</f>
        <v>100000</v>
      </c>
      <c r="AG340" s="444">
        <f>+IF(AND(Tabla33[[#This Row],[Amortización k | cupón de intereses]]="Cupón de interés",Tabla33[[#This Row],[Estado]]="Vigente"),Tabla33[[#This Row],[Valor Nominal]],0)</f>
        <v>0</v>
      </c>
      <c r="AH340" s="444">
        <f>+IF(Tabla33[[#This Row],[Amortización k | cupón de intereses]]="Amortización de K",SUMIFS($AG$7:$AG$418,Tabla33[Código Emisión],Tabla33[[#This Row],[Código Emisión]],Tabla33[Fecha de operación],Tabla33[[#This Row],[Fecha de operación]]),0)-Tabla33[[#This Row],[Accrued]]*Tabla33[[#This Row],[Valor Nominal]]</f>
        <v>10359.589041095891</v>
      </c>
      <c r="AI340" s="444">
        <f>+IF(Tabla33[[#This Row],[Amortización k | cupón de intereses]]="Amortización de K",IF(Tabla33[[#This Row],[Precio Clean]]&gt;1,Tabla33[[#This Row],[Valor Nominal]]*(Tabla33[[#This Row],[Precio Clean]]-1),0),0)</f>
        <v>232.94312296833209</v>
      </c>
      <c r="AJ340" s="444">
        <f>+IF(Tabla33[[#This Row],[Amortización k | cupón de intereses]]="Amortización de K",IF(Tabla33[[#This Row],[Precio Clean]]&lt;1,Tabla33[[#This Row],[Valor Nominal]]*(Tabla33[[#This Row],[Precio Clean]]-1),0),0)</f>
        <v>0</v>
      </c>
    </row>
    <row r="341" spans="1:36">
      <c r="A341" s="502"/>
      <c r="B341" s="437" t="s">
        <v>485</v>
      </c>
      <c r="C341" s="437" t="str">
        <f>+C340</f>
        <v>BNF_6,25%_27082027_BB2416-22_100K</v>
      </c>
      <c r="D341" s="437" t="s">
        <v>453</v>
      </c>
      <c r="E341" s="437" t="str">
        <f>+E340</f>
        <v>AA+py</v>
      </c>
      <c r="F341" s="437" t="s">
        <v>297</v>
      </c>
      <c r="G341" s="437" t="s">
        <v>298</v>
      </c>
      <c r="H341" s="437">
        <f>+H340</f>
        <v>1</v>
      </c>
      <c r="I341" s="445">
        <v>17.123287671232877</v>
      </c>
      <c r="J341" s="462"/>
      <c r="K341" s="450"/>
      <c r="L341" s="462"/>
      <c r="M341" s="493"/>
      <c r="N341" s="493"/>
      <c r="O341" s="462">
        <f t="shared" ref="O341:Q349" si="204">+O340</f>
        <v>6.2404689192771909E-2</v>
      </c>
      <c r="P341" s="462">
        <f t="shared" si="204"/>
        <v>6.0995292457546313E-2</v>
      </c>
      <c r="Q341" s="450">
        <f t="shared" si="204"/>
        <v>45945</v>
      </c>
      <c r="R341" s="450">
        <v>46626</v>
      </c>
      <c r="S341" s="509" t="s">
        <v>146</v>
      </c>
      <c r="T341" s="510">
        <f>Tabla33[[#This Row],[Cantidad]]*Tabla33[[#This Row],[Cortes]]</f>
        <v>17.123287671232877</v>
      </c>
      <c r="U341" s="511">
        <f t="shared" si="181"/>
        <v>15.488544666284914</v>
      </c>
      <c r="V341" s="511">
        <f t="shared" si="182"/>
        <v>15.485976118432557</v>
      </c>
      <c r="W341" s="497">
        <f>IF(Tabla33[[#This Row],[Fecha de operación]]=$C$1,0,U341-V341)</f>
        <v>2.5685478523573835E-3</v>
      </c>
      <c r="X341" s="512" t="str">
        <f t="shared" si="185"/>
        <v>Vigente</v>
      </c>
      <c r="Y341" s="449" t="s">
        <v>450</v>
      </c>
      <c r="Z341" s="449">
        <f t="shared" si="186"/>
        <v>605</v>
      </c>
      <c r="AA341" s="445">
        <f t="shared" ref="AA341:AB349" si="205">+AA340</f>
        <v>1.5796110247437891</v>
      </c>
      <c r="AB341" s="445">
        <f t="shared" si="205"/>
        <v>1.5553458068281905</v>
      </c>
      <c r="AC341" s="449" t="s">
        <v>451</v>
      </c>
      <c r="AD341" s="449" t="s">
        <v>454</v>
      </c>
      <c r="AF341" s="444">
        <f>+IF(Tabla33[[#This Row],[Amortización k | cupón de intereses]]="Amortización de K",Tabla33[[#This Row],[Valor Nominal]],0)</f>
        <v>0</v>
      </c>
      <c r="AG341" s="444">
        <f>+IF(AND(Tabla33[[#This Row],[Amortización k | cupón de intereses]]="Cupón de interés",Tabla33[[#This Row],[Estado]]="Vigente"),Tabla33[[#This Row],[Valor Nominal]],0)</f>
        <v>17.123287671232877</v>
      </c>
      <c r="AH341" s="444">
        <f>+IF(Tabla33[[#This Row],[Amortización k | cupón de intereses]]="Amortización de K",SUMIFS($AG$7:$AG$418,Tabla33[Código Emisión],Tabla33[[#This Row],[Código Emisión]],Tabla33[Fecha de operación],Tabla33[[#This Row],[Fecha de operación]]),0)-Tabla33[[#This Row],[Accrued]]*Tabla33[[#This Row],[Valor Nominal]]</f>
        <v>0</v>
      </c>
      <c r="AI341" s="444">
        <f>+IF(Tabla33[[#This Row],[Amortización k | cupón de intereses]]="Amortización de K",IF(Tabla33[[#This Row],[Precio Clean]]&gt;1,Tabla33[[#This Row],[Valor Nominal]]*(Tabla33[[#This Row],[Precio Clean]]-1),0),0)</f>
        <v>0</v>
      </c>
      <c r="AJ341" s="444">
        <f>+IF(Tabla33[[#This Row],[Amortización k | cupón de intereses]]="Amortización de K",IF(Tabla33[[#This Row],[Precio Clean]]&lt;1,Tabla33[[#This Row],[Valor Nominal]]*(Tabla33[[#This Row],[Precio Clean]]-1),0),0)</f>
        <v>0</v>
      </c>
    </row>
    <row r="342" spans="1:36">
      <c r="A342" s="502"/>
      <c r="B342" s="437" t="s">
        <v>485</v>
      </c>
      <c r="C342" s="437" t="str">
        <f>+C341</f>
        <v>BNF_6,25%_27082027_BB2416-22_100K</v>
      </c>
      <c r="D342" s="437" t="s">
        <v>453</v>
      </c>
      <c r="E342" s="437" t="str">
        <f>+E341</f>
        <v>AA+py</v>
      </c>
      <c r="F342" s="437" t="s">
        <v>297</v>
      </c>
      <c r="G342" s="437" t="s">
        <v>298</v>
      </c>
      <c r="H342" s="437">
        <f>+H341</f>
        <v>1</v>
      </c>
      <c r="I342" s="445">
        <v>1575.3424657534247</v>
      </c>
      <c r="J342" s="462"/>
      <c r="K342" s="450"/>
      <c r="L342" s="462"/>
      <c r="M342" s="493"/>
      <c r="N342" s="493"/>
      <c r="O342" s="462">
        <f t="shared" si="204"/>
        <v>6.2404689192771909E-2</v>
      </c>
      <c r="P342" s="462">
        <f t="shared" si="204"/>
        <v>6.0995292457546313E-2</v>
      </c>
      <c r="Q342" s="450">
        <f t="shared" si="204"/>
        <v>45945</v>
      </c>
      <c r="R342" s="450">
        <v>46625</v>
      </c>
      <c r="S342" s="509" t="s">
        <v>146</v>
      </c>
      <c r="T342" s="510">
        <f>Tabla33[[#This Row],[Cantidad]]*Tabla33[[#This Row],[Cortes]]</f>
        <v>1575.3424657534247</v>
      </c>
      <c r="U342" s="511">
        <f t="shared" si="181"/>
        <v>1425.1824548950781</v>
      </c>
      <c r="V342" s="511">
        <f t="shared" si="182"/>
        <v>1424.9461092982121</v>
      </c>
      <c r="W342" s="497">
        <f>IF(Tabla33[[#This Row],[Fecha de operación]]=$C$1,0,U342-V342)</f>
        <v>0.23634559686593093</v>
      </c>
      <c r="X342" s="512" t="str">
        <f t="shared" si="185"/>
        <v>Vigente</v>
      </c>
      <c r="Y342" s="449" t="s">
        <v>450</v>
      </c>
      <c r="Z342" s="449">
        <f t="shared" si="186"/>
        <v>604</v>
      </c>
      <c r="AA342" s="445">
        <f t="shared" si="205"/>
        <v>1.5796110247437891</v>
      </c>
      <c r="AB342" s="445">
        <f t="shared" si="205"/>
        <v>1.5553458068281905</v>
      </c>
      <c r="AC342" s="449" t="s">
        <v>451</v>
      </c>
      <c r="AD342" s="449" t="s">
        <v>454</v>
      </c>
      <c r="AF342" s="444">
        <f>+IF(Tabla33[[#This Row],[Amortización k | cupón de intereses]]="Amortización de K",Tabla33[[#This Row],[Valor Nominal]],0)</f>
        <v>0</v>
      </c>
      <c r="AG342" s="444">
        <f>+IF(AND(Tabla33[[#This Row],[Amortización k | cupón de intereses]]="Cupón de interés",Tabla33[[#This Row],[Estado]]="Vigente"),Tabla33[[#This Row],[Valor Nominal]],0)</f>
        <v>1575.3424657534247</v>
      </c>
      <c r="AH342" s="444">
        <f>+IF(Tabla33[[#This Row],[Amortización k | cupón de intereses]]="Amortización de K",SUMIFS($AG$7:$AG$418,Tabla33[Código Emisión],Tabla33[[#This Row],[Código Emisión]],Tabla33[Fecha de operación],Tabla33[[#This Row],[Fecha de operación]]),0)-Tabla33[[#This Row],[Accrued]]*Tabla33[[#This Row],[Valor Nominal]]</f>
        <v>0</v>
      </c>
      <c r="AI342" s="444">
        <f>+IF(Tabla33[[#This Row],[Amortización k | cupón de intereses]]="Amortización de K",IF(Tabla33[[#This Row],[Precio Clean]]&gt;1,Tabla33[[#This Row],[Valor Nominal]]*(Tabla33[[#This Row],[Precio Clean]]-1),0),0)</f>
        <v>0</v>
      </c>
      <c r="AJ342" s="444">
        <f>+IF(Tabla33[[#This Row],[Amortización k | cupón de intereses]]="Amortización de K",IF(Tabla33[[#This Row],[Precio Clean]]&lt;1,Tabla33[[#This Row],[Valor Nominal]]*(Tabla33[[#This Row],[Precio Clean]]-1),0),0)</f>
        <v>0</v>
      </c>
    </row>
    <row r="343" spans="1:36">
      <c r="A343" s="502"/>
      <c r="B343" s="437" t="s">
        <v>485</v>
      </c>
      <c r="C343" s="437" t="str">
        <f>+C342</f>
        <v>BNF_6,25%_27082027_BB2416-22_100K</v>
      </c>
      <c r="D343" s="437" t="s">
        <v>453</v>
      </c>
      <c r="E343" s="437" t="str">
        <f>+E342</f>
        <v>AA+py</v>
      </c>
      <c r="F343" s="437" t="s">
        <v>297</v>
      </c>
      <c r="G343" s="437" t="s">
        <v>298</v>
      </c>
      <c r="H343" s="437">
        <f>+H342</f>
        <v>1</v>
      </c>
      <c r="I343" s="445">
        <v>1523.972602739726</v>
      </c>
      <c r="J343" s="462"/>
      <c r="K343" s="450"/>
      <c r="L343" s="462"/>
      <c r="M343" s="493"/>
      <c r="N343" s="493"/>
      <c r="O343" s="462">
        <f t="shared" si="204"/>
        <v>6.2404689192771909E-2</v>
      </c>
      <c r="P343" s="462">
        <f t="shared" si="204"/>
        <v>6.0995292457546313E-2</v>
      </c>
      <c r="Q343" s="450">
        <f t="shared" si="204"/>
        <v>45945</v>
      </c>
      <c r="R343" s="450">
        <v>46533</v>
      </c>
      <c r="S343" s="509" t="s">
        <v>146</v>
      </c>
      <c r="T343" s="510">
        <f>Tabla33[[#This Row],[Cantidad]]*Tabla33[[#This Row],[Cortes]]</f>
        <v>1523.972602739726</v>
      </c>
      <c r="U343" s="511">
        <f t="shared" si="181"/>
        <v>1399.9069245051248</v>
      </c>
      <c r="V343" s="511">
        <f t="shared" si="182"/>
        <v>1399.674770484078</v>
      </c>
      <c r="W343" s="497">
        <f>IF(Tabla33[[#This Row],[Fecha de operación]]=$C$1,0,U343-V343)</f>
        <v>0.2321540210468811</v>
      </c>
      <c r="X343" s="512" t="str">
        <f t="shared" si="185"/>
        <v>Vigente</v>
      </c>
      <c r="Y343" s="449" t="s">
        <v>450</v>
      </c>
      <c r="Z343" s="449">
        <f t="shared" si="186"/>
        <v>512</v>
      </c>
      <c r="AA343" s="445">
        <f t="shared" si="205"/>
        <v>1.5796110247437891</v>
      </c>
      <c r="AB343" s="445">
        <f t="shared" si="205"/>
        <v>1.5553458068281905</v>
      </c>
      <c r="AC343" s="449" t="s">
        <v>451</v>
      </c>
      <c r="AD343" s="449" t="s">
        <v>454</v>
      </c>
      <c r="AF343" s="444">
        <f>+IF(Tabla33[[#This Row],[Amortización k | cupón de intereses]]="Amortización de K",Tabla33[[#This Row],[Valor Nominal]],0)</f>
        <v>0</v>
      </c>
      <c r="AG343" s="444">
        <f>+IF(AND(Tabla33[[#This Row],[Amortización k | cupón de intereses]]="Cupón de interés",Tabla33[[#This Row],[Estado]]="Vigente"),Tabla33[[#This Row],[Valor Nominal]],0)</f>
        <v>1523.972602739726</v>
      </c>
      <c r="AH343" s="444">
        <f>+IF(Tabla33[[#This Row],[Amortización k | cupón de intereses]]="Amortización de K",SUMIFS($AG$7:$AG$418,Tabla33[Código Emisión],Tabla33[[#This Row],[Código Emisión]],Tabla33[Fecha de operación],Tabla33[[#This Row],[Fecha de operación]]),0)-Tabla33[[#This Row],[Accrued]]*Tabla33[[#This Row],[Valor Nominal]]</f>
        <v>0</v>
      </c>
      <c r="AI343" s="444">
        <f>+IF(Tabla33[[#This Row],[Amortización k | cupón de intereses]]="Amortización de K",IF(Tabla33[[#This Row],[Precio Clean]]&gt;1,Tabla33[[#This Row],[Valor Nominal]]*(Tabla33[[#This Row],[Precio Clean]]-1),0),0)</f>
        <v>0</v>
      </c>
      <c r="AJ343" s="444">
        <f>+IF(Tabla33[[#This Row],[Amortización k | cupón de intereses]]="Amortización de K",IF(Tabla33[[#This Row],[Precio Clean]]&lt;1,Tabla33[[#This Row],[Valor Nominal]]*(Tabla33[[#This Row],[Precio Clean]]-1),0),0)</f>
        <v>0</v>
      </c>
    </row>
    <row r="344" spans="1:36">
      <c r="A344" s="502"/>
      <c r="B344" s="437" t="s">
        <v>485</v>
      </c>
      <c r="C344" s="437" t="str">
        <f>+C343</f>
        <v>BNF_6,25%_27082027_BB2416-22_100K</v>
      </c>
      <c r="D344" s="437" t="s">
        <v>453</v>
      </c>
      <c r="E344" s="437" t="str">
        <f>+E343</f>
        <v>AA+py</v>
      </c>
      <c r="F344" s="437" t="s">
        <v>297</v>
      </c>
      <c r="G344" s="437" t="s">
        <v>298</v>
      </c>
      <c r="H344" s="437">
        <f>+H343</f>
        <v>1</v>
      </c>
      <c r="I344" s="445">
        <v>1575.3424657534247</v>
      </c>
      <c r="J344" s="462"/>
      <c r="K344" s="450"/>
      <c r="L344" s="462"/>
      <c r="M344" s="493"/>
      <c r="N344" s="493"/>
      <c r="O344" s="462">
        <f t="shared" si="204"/>
        <v>6.2404689192771909E-2</v>
      </c>
      <c r="P344" s="462">
        <f t="shared" si="204"/>
        <v>6.0995292457546313E-2</v>
      </c>
      <c r="Q344" s="450">
        <f t="shared" si="204"/>
        <v>45945</v>
      </c>
      <c r="R344" s="450">
        <v>46444</v>
      </c>
      <c r="S344" s="509" t="s">
        <v>146</v>
      </c>
      <c r="T344" s="510">
        <f>Tabla33[[#This Row],[Cantidad]]*Tabla33[[#This Row],[Cortes]]</f>
        <v>1575.3424657534247</v>
      </c>
      <c r="U344" s="511">
        <f t="shared" si="181"/>
        <v>1468.6131603987701</v>
      </c>
      <c r="V344" s="511">
        <f t="shared" si="182"/>
        <v>1468.369612456703</v>
      </c>
      <c r="W344" s="497">
        <f>IF(Tabla33[[#This Row],[Fecha de operación]]=$C$1,0,U344-V344)</f>
        <v>0.24354794206715269</v>
      </c>
      <c r="X344" s="512" t="str">
        <f t="shared" si="185"/>
        <v>Vigente</v>
      </c>
      <c r="Y344" s="449" t="s">
        <v>450</v>
      </c>
      <c r="Z344" s="449">
        <f t="shared" si="186"/>
        <v>423</v>
      </c>
      <c r="AA344" s="445">
        <f t="shared" si="205"/>
        <v>1.5796110247437891</v>
      </c>
      <c r="AB344" s="445">
        <f t="shared" si="205"/>
        <v>1.5553458068281905</v>
      </c>
      <c r="AC344" s="449" t="s">
        <v>451</v>
      </c>
      <c r="AD344" s="449" t="s">
        <v>454</v>
      </c>
      <c r="AF344" s="444">
        <f>+IF(Tabla33[[#This Row],[Amortización k | cupón de intereses]]="Amortización de K",Tabla33[[#This Row],[Valor Nominal]],0)</f>
        <v>0</v>
      </c>
      <c r="AG344" s="444">
        <f>+IF(AND(Tabla33[[#This Row],[Amortización k | cupón de intereses]]="Cupón de interés",Tabla33[[#This Row],[Estado]]="Vigente"),Tabla33[[#This Row],[Valor Nominal]],0)</f>
        <v>1575.3424657534247</v>
      </c>
      <c r="AH344" s="444">
        <f>+IF(Tabla33[[#This Row],[Amortización k | cupón de intereses]]="Amortización de K",SUMIFS($AG$7:$AG$418,Tabla33[Código Emisión],Tabla33[[#This Row],[Código Emisión]],Tabla33[Fecha de operación],Tabla33[[#This Row],[Fecha de operación]]),0)-Tabla33[[#This Row],[Accrued]]*Tabla33[[#This Row],[Valor Nominal]]</f>
        <v>0</v>
      </c>
      <c r="AI344" s="444">
        <f>+IF(Tabla33[[#This Row],[Amortización k | cupón de intereses]]="Amortización de K",IF(Tabla33[[#This Row],[Precio Clean]]&gt;1,Tabla33[[#This Row],[Valor Nominal]]*(Tabla33[[#This Row],[Precio Clean]]-1),0),0)</f>
        <v>0</v>
      </c>
      <c r="AJ344" s="444">
        <f>+IF(Tabla33[[#This Row],[Amortización k | cupón de intereses]]="Amortización de K",IF(Tabla33[[#This Row],[Precio Clean]]&lt;1,Tabla33[[#This Row],[Valor Nominal]]*(Tabla33[[#This Row],[Precio Clean]]-1),0),0)</f>
        <v>0</v>
      </c>
    </row>
    <row r="345" spans="1:36">
      <c r="A345" s="502"/>
      <c r="B345" s="437" t="s">
        <v>485</v>
      </c>
      <c r="C345" s="437" t="str">
        <f t="shared" ref="C345:C349" si="206">+C344</f>
        <v>BNF_6,25%_27082027_BB2416-22_100K</v>
      </c>
      <c r="D345" s="437" t="s">
        <v>453</v>
      </c>
      <c r="E345" s="437" t="str">
        <f t="shared" ref="E345:E349" si="207">+E344</f>
        <v>AA+py</v>
      </c>
      <c r="F345" s="437" t="s">
        <v>297</v>
      </c>
      <c r="G345" s="437" t="s">
        <v>298</v>
      </c>
      <c r="H345" s="437">
        <f t="shared" ref="H345:H349" si="208">+H344</f>
        <v>1</v>
      </c>
      <c r="I345" s="445">
        <v>1575.3424657534247</v>
      </c>
      <c r="J345" s="462"/>
      <c r="K345" s="450"/>
      <c r="L345" s="462"/>
      <c r="M345" s="493"/>
      <c r="N345" s="493"/>
      <c r="O345" s="462">
        <f t="shared" si="204"/>
        <v>6.2404689192771909E-2</v>
      </c>
      <c r="P345" s="462">
        <f t="shared" si="204"/>
        <v>6.0995292457546313E-2</v>
      </c>
      <c r="Q345" s="450">
        <f t="shared" si="204"/>
        <v>45945</v>
      </c>
      <c r="R345" s="450">
        <v>46352</v>
      </c>
      <c r="S345" s="509" t="s">
        <v>146</v>
      </c>
      <c r="T345" s="510">
        <f>Tabla33[[#This Row],[Cantidad]]*Tabla33[[#This Row],[Cortes]]</f>
        <v>1575.3424657534247</v>
      </c>
      <c r="U345" s="511">
        <f t="shared" si="181"/>
        <v>1491.193255939766</v>
      </c>
      <c r="V345" s="511">
        <f t="shared" si="182"/>
        <v>1490.9459634201964</v>
      </c>
      <c r="W345" s="497">
        <f>IF(Tabla33[[#This Row],[Fecha de operación]]=$C$1,0,U345-V345)</f>
        <v>0.24729251956955522</v>
      </c>
      <c r="X345" s="512" t="str">
        <f t="shared" si="185"/>
        <v>Vigente</v>
      </c>
      <c r="Y345" s="449" t="s">
        <v>450</v>
      </c>
      <c r="Z345" s="449">
        <f t="shared" si="186"/>
        <v>331</v>
      </c>
      <c r="AA345" s="445">
        <f t="shared" si="205"/>
        <v>1.5796110247437891</v>
      </c>
      <c r="AB345" s="445">
        <f t="shared" si="205"/>
        <v>1.5553458068281905</v>
      </c>
      <c r="AC345" s="449" t="s">
        <v>451</v>
      </c>
      <c r="AD345" s="449" t="s">
        <v>454</v>
      </c>
      <c r="AF345" s="444">
        <f>+IF(Tabla33[[#This Row],[Amortización k | cupón de intereses]]="Amortización de K",Tabla33[[#This Row],[Valor Nominal]],0)</f>
        <v>0</v>
      </c>
      <c r="AG345" s="444">
        <f>+IF(AND(Tabla33[[#This Row],[Amortización k | cupón de intereses]]="Cupón de interés",Tabla33[[#This Row],[Estado]]="Vigente"),Tabla33[[#This Row],[Valor Nominal]],0)</f>
        <v>1575.3424657534247</v>
      </c>
      <c r="AH345" s="444">
        <f>+IF(Tabla33[[#This Row],[Amortización k | cupón de intereses]]="Amortización de K",SUMIFS($AG$7:$AG$418,Tabla33[Código Emisión],Tabla33[[#This Row],[Código Emisión]],Tabla33[Fecha de operación],Tabla33[[#This Row],[Fecha de operación]]),0)-Tabla33[[#This Row],[Accrued]]*Tabla33[[#This Row],[Valor Nominal]]</f>
        <v>0</v>
      </c>
      <c r="AI345" s="444">
        <f>+IF(Tabla33[[#This Row],[Amortización k | cupón de intereses]]="Amortización de K",IF(Tabla33[[#This Row],[Precio Clean]]&gt;1,Tabla33[[#This Row],[Valor Nominal]]*(Tabla33[[#This Row],[Precio Clean]]-1),0),0)</f>
        <v>0</v>
      </c>
      <c r="AJ345" s="444">
        <f>+IF(Tabla33[[#This Row],[Amortización k | cupón de intereses]]="Amortización de K",IF(Tabla33[[#This Row],[Precio Clean]]&lt;1,Tabla33[[#This Row],[Valor Nominal]]*(Tabla33[[#This Row],[Precio Clean]]-1),0),0)</f>
        <v>0</v>
      </c>
    </row>
    <row r="346" spans="1:36">
      <c r="A346" s="502"/>
      <c r="B346" s="437" t="s">
        <v>485</v>
      </c>
      <c r="C346" s="437" t="str">
        <f t="shared" si="206"/>
        <v>BNF_6,25%_27082027_BB2416-22_100K</v>
      </c>
      <c r="D346" s="437" t="s">
        <v>453</v>
      </c>
      <c r="E346" s="437" t="str">
        <f t="shared" si="207"/>
        <v>AA+py</v>
      </c>
      <c r="F346" s="437" t="s">
        <v>297</v>
      </c>
      <c r="G346" s="437" t="s">
        <v>298</v>
      </c>
      <c r="H346" s="437">
        <f t="shared" si="208"/>
        <v>1</v>
      </c>
      <c r="I346" s="445">
        <v>1575.3424657534247</v>
      </c>
      <c r="J346" s="462"/>
      <c r="K346" s="450"/>
      <c r="L346" s="462"/>
      <c r="M346" s="493"/>
      <c r="N346" s="493"/>
      <c r="O346" s="462">
        <f t="shared" si="204"/>
        <v>6.2404689192771909E-2</v>
      </c>
      <c r="P346" s="462">
        <f t="shared" si="204"/>
        <v>6.0995292457546313E-2</v>
      </c>
      <c r="Q346" s="450">
        <f t="shared" si="204"/>
        <v>45945</v>
      </c>
      <c r="R346" s="450">
        <v>46260</v>
      </c>
      <c r="S346" s="509" t="s">
        <v>146</v>
      </c>
      <c r="T346" s="510">
        <f>Tabla33[[#This Row],[Cantidad]]*Tabla33[[#This Row],[Cortes]]</f>
        <v>1575.3424657534247</v>
      </c>
      <c r="U346" s="511">
        <f t="shared" ref="U346:U400" si="209">IF(X346="VIgente",(T346/(1+O346)^((R346-$U$5)/365)))</f>
        <v>1514.1205230357971</v>
      </c>
      <c r="V346" s="511">
        <f t="shared" ref="V346:V400" si="210">IF(X346="VIgente",(T346/(1+O346)^((R346-$V$5)/365)))</f>
        <v>1513.8694283654168</v>
      </c>
      <c r="W346" s="497">
        <f>IF(Tabla33[[#This Row],[Fecha de operación]]=$C$1,0,U346-V346)</f>
        <v>0.25109467038032562</v>
      </c>
      <c r="X346" s="512" t="str">
        <f t="shared" si="185"/>
        <v>Vigente</v>
      </c>
      <c r="Y346" s="449" t="s">
        <v>450</v>
      </c>
      <c r="Z346" s="449">
        <f t="shared" si="186"/>
        <v>239</v>
      </c>
      <c r="AA346" s="445">
        <f t="shared" si="205"/>
        <v>1.5796110247437891</v>
      </c>
      <c r="AB346" s="445">
        <f t="shared" si="205"/>
        <v>1.5553458068281905</v>
      </c>
      <c r="AC346" s="449" t="s">
        <v>451</v>
      </c>
      <c r="AD346" s="449" t="s">
        <v>454</v>
      </c>
      <c r="AF346" s="444">
        <f>+IF(Tabla33[[#This Row],[Amortización k | cupón de intereses]]="Amortización de K",Tabla33[[#This Row],[Valor Nominal]],0)</f>
        <v>0</v>
      </c>
      <c r="AG346" s="444">
        <f>+IF(AND(Tabla33[[#This Row],[Amortización k | cupón de intereses]]="Cupón de interés",Tabla33[[#This Row],[Estado]]="Vigente"),Tabla33[[#This Row],[Valor Nominal]],0)</f>
        <v>1575.3424657534247</v>
      </c>
      <c r="AH346" s="444">
        <f>+IF(Tabla33[[#This Row],[Amortización k | cupón de intereses]]="Amortización de K",SUMIFS($AG$7:$AG$418,Tabla33[Código Emisión],Tabla33[[#This Row],[Código Emisión]],Tabla33[Fecha de operación],Tabla33[[#This Row],[Fecha de operación]]),0)-Tabla33[[#This Row],[Accrued]]*Tabla33[[#This Row],[Valor Nominal]]</f>
        <v>0</v>
      </c>
      <c r="AI346" s="444">
        <f>+IF(Tabla33[[#This Row],[Amortización k | cupón de intereses]]="Amortización de K",IF(Tabla33[[#This Row],[Precio Clean]]&gt;1,Tabla33[[#This Row],[Valor Nominal]]*(Tabla33[[#This Row],[Precio Clean]]-1),0),0)</f>
        <v>0</v>
      </c>
      <c r="AJ346" s="444">
        <f>+IF(Tabla33[[#This Row],[Amortización k | cupón de intereses]]="Amortización de K",IF(Tabla33[[#This Row],[Precio Clean]]&lt;1,Tabla33[[#This Row],[Valor Nominal]]*(Tabla33[[#This Row],[Precio Clean]]-1),0),0)</f>
        <v>0</v>
      </c>
    </row>
    <row r="347" spans="1:36">
      <c r="A347" s="502"/>
      <c r="B347" s="437" t="s">
        <v>485</v>
      </c>
      <c r="C347" s="437" t="str">
        <f t="shared" si="206"/>
        <v>BNF_6,25%_27082027_BB2416-22_100K</v>
      </c>
      <c r="D347" s="437" t="s">
        <v>453</v>
      </c>
      <c r="E347" s="437" t="str">
        <f t="shared" si="207"/>
        <v>AA+py</v>
      </c>
      <c r="F347" s="437" t="s">
        <v>297</v>
      </c>
      <c r="G347" s="437" t="s">
        <v>298</v>
      </c>
      <c r="H347" s="437">
        <f t="shared" si="208"/>
        <v>1</v>
      </c>
      <c r="I347" s="445">
        <v>1523.972602739726</v>
      </c>
      <c r="J347" s="462"/>
      <c r="K347" s="450"/>
      <c r="L347" s="462"/>
      <c r="M347" s="493"/>
      <c r="N347" s="493"/>
      <c r="O347" s="462">
        <f t="shared" si="204"/>
        <v>6.2404689192771909E-2</v>
      </c>
      <c r="P347" s="462">
        <f t="shared" si="204"/>
        <v>6.0995292457546313E-2</v>
      </c>
      <c r="Q347" s="450">
        <f t="shared" si="204"/>
        <v>45945</v>
      </c>
      <c r="R347" s="450">
        <v>46168</v>
      </c>
      <c r="S347" s="509" t="s">
        <v>146</v>
      </c>
      <c r="T347" s="510">
        <f>Tabla33[[#This Row],[Cantidad]]*Tabla33[[#This Row],[Cortes]]</f>
        <v>1523.972602739726</v>
      </c>
      <c r="U347" s="511">
        <f t="shared" si="209"/>
        <v>1487.2676810276762</v>
      </c>
      <c r="V347" s="511">
        <f t="shared" si="210"/>
        <v>1487.0210395071012</v>
      </c>
      <c r="W347" s="497">
        <f>IF(Tabla33[[#This Row],[Fecha de operación]]=$C$1,0,U347-V347)</f>
        <v>0.24664152057493993</v>
      </c>
      <c r="X347" s="512" t="str">
        <f t="shared" si="185"/>
        <v>Vigente</v>
      </c>
      <c r="Y347" s="449" t="s">
        <v>450</v>
      </c>
      <c r="Z347" s="449">
        <f t="shared" si="186"/>
        <v>147</v>
      </c>
      <c r="AA347" s="445">
        <f t="shared" si="205"/>
        <v>1.5796110247437891</v>
      </c>
      <c r="AB347" s="445">
        <f t="shared" si="205"/>
        <v>1.5553458068281905</v>
      </c>
      <c r="AC347" s="449" t="s">
        <v>451</v>
      </c>
      <c r="AD347" s="449" t="s">
        <v>454</v>
      </c>
      <c r="AF347" s="444">
        <f>+IF(Tabla33[[#This Row],[Amortización k | cupón de intereses]]="Amortización de K",Tabla33[[#This Row],[Valor Nominal]],0)</f>
        <v>0</v>
      </c>
      <c r="AG347" s="444">
        <f>+IF(AND(Tabla33[[#This Row],[Amortización k | cupón de intereses]]="Cupón de interés",Tabla33[[#This Row],[Estado]]="Vigente"),Tabla33[[#This Row],[Valor Nominal]],0)</f>
        <v>1523.972602739726</v>
      </c>
      <c r="AH347" s="444">
        <f>+IF(Tabla33[[#This Row],[Amortización k | cupón de intereses]]="Amortización de K",SUMIFS($AG$7:$AG$418,Tabla33[Código Emisión],Tabla33[[#This Row],[Código Emisión]],Tabla33[Fecha de operación],Tabla33[[#This Row],[Fecha de operación]]),0)-Tabla33[[#This Row],[Accrued]]*Tabla33[[#This Row],[Valor Nominal]]</f>
        <v>0</v>
      </c>
      <c r="AI347" s="444">
        <f>+IF(Tabla33[[#This Row],[Amortización k | cupón de intereses]]="Amortización de K",IF(Tabla33[[#This Row],[Precio Clean]]&gt;1,Tabla33[[#This Row],[Valor Nominal]]*(Tabla33[[#This Row],[Precio Clean]]-1),0),0)</f>
        <v>0</v>
      </c>
      <c r="AJ347" s="444">
        <f>+IF(Tabla33[[#This Row],[Amortización k | cupón de intereses]]="Amortización de K",IF(Tabla33[[#This Row],[Precio Clean]]&lt;1,Tabla33[[#This Row],[Valor Nominal]]*(Tabla33[[#This Row],[Precio Clean]]-1),0),0)</f>
        <v>0</v>
      </c>
    </row>
    <row r="348" spans="1:36">
      <c r="A348" s="502"/>
      <c r="B348" s="437" t="s">
        <v>485</v>
      </c>
      <c r="C348" s="437" t="str">
        <f t="shared" si="206"/>
        <v>BNF_6,25%_27082027_BB2416-22_100K</v>
      </c>
      <c r="D348" s="437" t="s">
        <v>453</v>
      </c>
      <c r="E348" s="437" t="str">
        <f t="shared" si="207"/>
        <v>AA+py</v>
      </c>
      <c r="F348" s="437" t="s">
        <v>297</v>
      </c>
      <c r="G348" s="437" t="s">
        <v>298</v>
      </c>
      <c r="H348" s="437">
        <f t="shared" si="208"/>
        <v>1</v>
      </c>
      <c r="I348" s="445">
        <v>1575.3424657534247</v>
      </c>
      <c r="J348" s="462"/>
      <c r="K348" s="450"/>
      <c r="L348" s="462"/>
      <c r="M348" s="493"/>
      <c r="N348" s="493"/>
      <c r="O348" s="462">
        <f t="shared" si="204"/>
        <v>6.2404689192771909E-2</v>
      </c>
      <c r="P348" s="462">
        <f t="shared" si="204"/>
        <v>6.0995292457546313E-2</v>
      </c>
      <c r="Q348" s="450">
        <f t="shared" si="204"/>
        <v>45945</v>
      </c>
      <c r="R348" s="450">
        <v>46079</v>
      </c>
      <c r="S348" s="509" t="s">
        <v>146</v>
      </c>
      <c r="T348" s="510">
        <f>Tabla33[[#This Row],[Cantidad]]*Tabla33[[#This Row],[Cortes]]</f>
        <v>1575.3424657534247</v>
      </c>
      <c r="U348" s="511">
        <f t="shared" si="209"/>
        <v>1560.2615082178697</v>
      </c>
      <c r="V348" s="511">
        <f t="shared" si="210"/>
        <v>1560.0027617421745</v>
      </c>
      <c r="W348" s="497">
        <f>IF(Tabla33[[#This Row],[Fecha de operación]]=$C$1,0,U348-V348)</f>
        <v>0.25874647569526132</v>
      </c>
      <c r="X348" s="512" t="str">
        <f t="shared" si="185"/>
        <v>Vigente</v>
      </c>
      <c r="Y348" s="449" t="s">
        <v>450</v>
      </c>
      <c r="Z348" s="449">
        <f t="shared" si="186"/>
        <v>58</v>
      </c>
      <c r="AA348" s="445">
        <f t="shared" si="205"/>
        <v>1.5796110247437891</v>
      </c>
      <c r="AB348" s="445">
        <f t="shared" si="205"/>
        <v>1.5553458068281905</v>
      </c>
      <c r="AC348" s="449" t="s">
        <v>451</v>
      </c>
      <c r="AD348" s="449" t="s">
        <v>454</v>
      </c>
      <c r="AF348" s="444">
        <f>+IF(Tabla33[[#This Row],[Amortización k | cupón de intereses]]="Amortización de K",Tabla33[[#This Row],[Valor Nominal]],0)</f>
        <v>0</v>
      </c>
      <c r="AG348" s="444">
        <f>+IF(AND(Tabla33[[#This Row],[Amortización k | cupón de intereses]]="Cupón de interés",Tabla33[[#This Row],[Estado]]="Vigente"),Tabla33[[#This Row],[Valor Nominal]],0)</f>
        <v>1575.3424657534247</v>
      </c>
      <c r="AH348" s="444">
        <f>+IF(Tabla33[[#This Row],[Amortización k | cupón de intereses]]="Amortización de K",SUMIFS($AG$7:$AG$418,Tabla33[Código Emisión],Tabla33[[#This Row],[Código Emisión]],Tabla33[Fecha de operación],Tabla33[[#This Row],[Fecha de operación]]),0)-Tabla33[[#This Row],[Accrued]]*Tabla33[[#This Row],[Valor Nominal]]</f>
        <v>0</v>
      </c>
      <c r="AI348" s="444">
        <f>+IF(Tabla33[[#This Row],[Amortización k | cupón de intereses]]="Amortización de K",IF(Tabla33[[#This Row],[Precio Clean]]&gt;1,Tabla33[[#This Row],[Valor Nominal]]*(Tabla33[[#This Row],[Precio Clean]]-1),0),0)</f>
        <v>0</v>
      </c>
      <c r="AJ348" s="444">
        <f>+IF(Tabla33[[#This Row],[Amortización k | cupón de intereses]]="Amortización de K",IF(Tabla33[[#This Row],[Precio Clean]]&lt;1,Tabla33[[#This Row],[Valor Nominal]]*(Tabla33[[#This Row],[Precio Clean]]-1),0),0)</f>
        <v>0</v>
      </c>
    </row>
    <row r="349" spans="1:36">
      <c r="A349" s="502"/>
      <c r="B349" s="437" t="s">
        <v>485</v>
      </c>
      <c r="C349" s="437" t="str">
        <f t="shared" si="206"/>
        <v>BNF_6,25%_27082027_BB2416-22_100K</v>
      </c>
      <c r="D349" s="437" t="s">
        <v>453</v>
      </c>
      <c r="E349" s="437" t="str">
        <f t="shared" si="207"/>
        <v>AA+py</v>
      </c>
      <c r="F349" s="437" t="s">
        <v>297</v>
      </c>
      <c r="G349" s="437" t="s">
        <v>298</v>
      </c>
      <c r="H349" s="437">
        <f t="shared" si="208"/>
        <v>1</v>
      </c>
      <c r="I349" s="445">
        <v>1575.3424657534247</v>
      </c>
      <c r="J349" s="462"/>
      <c r="K349" s="450"/>
      <c r="L349" s="462"/>
      <c r="M349" s="493"/>
      <c r="N349" s="493"/>
      <c r="O349" s="462">
        <f t="shared" si="204"/>
        <v>6.2404689192771909E-2</v>
      </c>
      <c r="P349" s="462">
        <f t="shared" si="204"/>
        <v>6.0995292457546313E-2</v>
      </c>
      <c r="Q349" s="450">
        <f t="shared" si="204"/>
        <v>45945</v>
      </c>
      <c r="R349" s="450">
        <v>45987</v>
      </c>
      <c r="S349" s="509" t="s">
        <v>146</v>
      </c>
      <c r="T349" s="510">
        <f>Tabla33[[#This Row],[Cantidad]]*Tabla33[[#This Row],[Cortes]]</f>
        <v>1575.3424657534247</v>
      </c>
      <c r="U349" s="511" t="b">
        <f t="shared" si="209"/>
        <v>0</v>
      </c>
      <c r="V349" s="511" t="b">
        <f t="shared" si="210"/>
        <v>0</v>
      </c>
      <c r="W349" s="497">
        <f>IF(Tabla33[[#This Row],[Fecha de operación]]=$C$1,0,U349-V349)</f>
        <v>0</v>
      </c>
      <c r="X349" s="512" t="str">
        <f t="shared" si="185"/>
        <v>Vencido</v>
      </c>
      <c r="Y349" s="449" t="s">
        <v>450</v>
      </c>
      <c r="Z349" s="449">
        <f t="shared" si="186"/>
        <v>-34</v>
      </c>
      <c r="AA349" s="445">
        <f t="shared" si="205"/>
        <v>1.5796110247437891</v>
      </c>
      <c r="AB349" s="445">
        <f t="shared" si="205"/>
        <v>1.5553458068281905</v>
      </c>
      <c r="AC349" s="449" t="s">
        <v>451</v>
      </c>
      <c r="AD349" s="449" t="s">
        <v>454</v>
      </c>
      <c r="AF349" s="444">
        <f>+IF(Tabla33[[#This Row],[Amortización k | cupón de intereses]]="Amortización de K",Tabla33[[#This Row],[Valor Nominal]],0)</f>
        <v>0</v>
      </c>
      <c r="AG349" s="444">
        <f>+IF(AND(Tabla33[[#This Row],[Amortización k | cupón de intereses]]="Cupón de interés",Tabla33[[#This Row],[Estado]]="Vigente"),Tabla33[[#This Row],[Valor Nominal]],0)</f>
        <v>0</v>
      </c>
      <c r="AH349" s="444">
        <f>+IF(Tabla33[[#This Row],[Amortización k | cupón de intereses]]="Amortización de K",SUMIFS($AG$7:$AG$418,Tabla33[Código Emisión],Tabla33[[#This Row],[Código Emisión]],Tabla33[Fecha de operación],Tabla33[[#This Row],[Fecha de operación]]),0)-Tabla33[[#This Row],[Accrued]]*Tabla33[[#This Row],[Valor Nominal]]</f>
        <v>0</v>
      </c>
      <c r="AI349" s="444">
        <f>+IF(Tabla33[[#This Row],[Amortización k | cupón de intereses]]="Amortización de K",IF(Tabla33[[#This Row],[Precio Clean]]&gt;1,Tabla33[[#This Row],[Valor Nominal]]*(Tabla33[[#This Row],[Precio Clean]]-1),0),0)</f>
        <v>0</v>
      </c>
      <c r="AJ349" s="444">
        <f>+IF(Tabla33[[#This Row],[Amortización k | cupón de intereses]]="Amortización de K",IF(Tabla33[[#This Row],[Precio Clean]]&lt;1,Tabla33[[#This Row],[Valor Nominal]]*(Tabla33[[#This Row],[Precio Clean]]-1),0),0)</f>
        <v>0</v>
      </c>
    </row>
    <row r="350" spans="1:36" ht="15">
      <c r="A350" s="500">
        <f>+A340+1</f>
        <v>33</v>
      </c>
      <c r="B350" s="475" t="s">
        <v>522</v>
      </c>
      <c r="C350" s="475" t="s">
        <v>566</v>
      </c>
      <c r="D350" s="475" t="s">
        <v>453</v>
      </c>
      <c r="E350" s="475" t="s">
        <v>523</v>
      </c>
      <c r="F350" s="475" t="s">
        <v>297</v>
      </c>
      <c r="G350" s="475" t="s">
        <v>298</v>
      </c>
      <c r="H350" s="475">
        <v>4</v>
      </c>
      <c r="I350" s="477">
        <v>25000</v>
      </c>
      <c r="J350" s="478">
        <v>6.8500000000000005E-2</v>
      </c>
      <c r="K350" s="479">
        <f>_xlfn.MAXIFS(R:R,C:C,C350,AD:AD,"Cupón de interés",X:X,"Vencido")</f>
        <v>46020</v>
      </c>
      <c r="L350" s="478">
        <f>+Tabla33[[#This Row],[Tasa de Interés]]*($U$5-Tabla33[[#This Row],[Last coupon]])/365</f>
        <v>1.8767123287671234E-4</v>
      </c>
      <c r="M350" s="480">
        <f>+Tabla33[[#This Row],[Precio Dirty]]-Tabla33[[#This Row],[Accrued]]</f>
        <v>1.0074366018781054</v>
      </c>
      <c r="N350" s="481">
        <f>SUMIFS(U:U,C:C,C350,Q:Q,Q350)/SUMIFS(T:T,C:C,C350,Q:Q,Q350,AD:AD,"Amortización de K")</f>
        <v>1.0076242731109821</v>
      </c>
      <c r="O350" s="482">
        <v>6.5548399090766915E-2</v>
      </c>
      <c r="P350" s="482">
        <f>+NOMINAL(Tabla33[[#This Row],[YTM]],4)</f>
        <v>6.3996137911160211E-2</v>
      </c>
      <c r="Q350" s="484">
        <v>45953</v>
      </c>
      <c r="R350" s="450">
        <v>46664</v>
      </c>
      <c r="S350" s="504" t="s">
        <v>146</v>
      </c>
      <c r="T350" s="510">
        <f>Tabla33[[#This Row],[Cantidad]]*Tabla33[[#This Row],[Cortes]]</f>
        <v>100000</v>
      </c>
      <c r="U350" s="511">
        <f t="shared" si="209"/>
        <v>89418.190237962583</v>
      </c>
      <c r="V350" s="511">
        <f t="shared" si="210"/>
        <v>89402.637824283054</v>
      </c>
      <c r="W350" s="497">
        <f>IF(Tabla33[[#This Row],[Fecha de operación]]=$C$1,0,U350-V350)</f>
        <v>15.552413679528399</v>
      </c>
      <c r="X350" s="507" t="str">
        <f t="shared" si="185"/>
        <v>Vigente</v>
      </c>
      <c r="Y350" s="489" t="s">
        <v>450</v>
      </c>
      <c r="Z350" s="488">
        <f t="shared" si="186"/>
        <v>643</v>
      </c>
      <c r="AA350" s="508">
        <f>IF(Y350="Mensual",DURATION($C$1,$C$1+Z350*12,J350/12,O350/12,1)/12,DURATION($C$1,R350,J350,O350,IF(Y350="Cupón cero",1,IF(Y350="Al vencimiento",1,IF(Y350="Anual",1,IF(Y350="Semestral",2,IF(Y350="Trimestral",4,"")))))))</f>
        <v>1.6475200048483349</v>
      </c>
      <c r="AB350" s="508">
        <f>IF(Y350="Mensual",MDURATION($C$1,$C$1+Z350*12,J350/12,O350/12,1)/12,MDURATION($C$1,R350,J350,O350,IF(Y350="Cupón cero",1,IF(Y350="Al vencimiento",1,IF(Y350="Anual",1,IF(Y350="Semestral",2,IF(Y350="Trimestral",4,"")))))))</f>
        <v>1.6209572172027682</v>
      </c>
      <c r="AC350" s="488" t="s">
        <v>451</v>
      </c>
      <c r="AD350" s="488" t="s">
        <v>452</v>
      </c>
      <c r="AF350" s="444">
        <f>+IF(Tabla33[[#This Row],[Amortización k | cupón de intereses]]="Amortización de K",Tabla33[[#This Row],[Valor Nominal]],0)</f>
        <v>100000</v>
      </c>
      <c r="AG350" s="444">
        <f>+IF(AND(Tabla33[[#This Row],[Amortización k | cupón de intereses]]="Cupón de interés",Tabla33[[#This Row],[Estado]]="Vigente"),Tabla33[[#This Row],[Valor Nominal]],0)</f>
        <v>0</v>
      </c>
      <c r="AH350" s="444">
        <f>+IF(Tabla33[[#This Row],[Amortización k | cupón de intereses]]="Amortización de K",SUMIFS($AG$7:$AG$418,Tabla33[Código Emisión],Tabla33[[#This Row],[Código Emisión]],Tabla33[Fecha de operación],Tabla33[[#This Row],[Fecha de operación]]),0)-Tabla33[[#This Row],[Accrued]]*Tabla33[[#This Row],[Valor Nominal]]</f>
        <v>12067.27287671233</v>
      </c>
      <c r="AI350" s="444">
        <f>+IF(Tabla33[[#This Row],[Amortización k | cupón de intereses]]="Amortización de K",IF(Tabla33[[#This Row],[Precio Clean]]&gt;1,Tabla33[[#This Row],[Valor Nominal]]*(Tabla33[[#This Row],[Precio Clean]]-1),0),0)</f>
        <v>743.66018781053538</v>
      </c>
      <c r="AJ350" s="444">
        <f>+IF(Tabla33[[#This Row],[Amortización k | cupón de intereses]]="Amortización de K",IF(Tabla33[[#This Row],[Precio Clean]]&lt;1,Tabla33[[#This Row],[Valor Nominal]]*(Tabla33[[#This Row],[Precio Clean]]-1),0),0)</f>
        <v>0</v>
      </c>
    </row>
    <row r="351" spans="1:36">
      <c r="A351" s="502"/>
      <c r="B351" s="437" t="str">
        <f>+B350</f>
        <v>Zeta Banco SAECA</v>
      </c>
      <c r="C351" s="437" t="str">
        <f>+C350</f>
        <v>ZETA_6,85%_04102027_AB0701-52_25K</v>
      </c>
      <c r="D351" s="437" t="s">
        <v>453</v>
      </c>
      <c r="E351" s="437" t="str">
        <f>+E350</f>
        <v>A+py</v>
      </c>
      <c r="F351" s="437" t="s">
        <v>297</v>
      </c>
      <c r="G351" s="437" t="s">
        <v>298</v>
      </c>
      <c r="H351" s="437">
        <f>+H350</f>
        <v>4</v>
      </c>
      <c r="I351" s="445">
        <v>492.64</v>
      </c>
      <c r="J351" s="462"/>
      <c r="K351" s="450"/>
      <c r="L351" s="462"/>
      <c r="M351" s="493"/>
      <c r="N351" s="493"/>
      <c r="O351" s="516">
        <f t="shared" ref="O351:Q358" si="211">+O350</f>
        <v>6.5548399090766915E-2</v>
      </c>
      <c r="P351" s="516">
        <f t="shared" si="211"/>
        <v>6.3996137911160211E-2</v>
      </c>
      <c r="Q351" s="450">
        <f t="shared" si="211"/>
        <v>45953</v>
      </c>
      <c r="R351" s="450">
        <v>46664</v>
      </c>
      <c r="S351" s="509" t="s">
        <v>146</v>
      </c>
      <c r="T351" s="510">
        <f>Tabla33[[#This Row],[Cantidad]]*Tabla33[[#This Row],[Cortes]]</f>
        <v>1970.56</v>
      </c>
      <c r="U351" s="511">
        <f t="shared" si="209"/>
        <v>1762.0390895531955</v>
      </c>
      <c r="V351" s="511">
        <f t="shared" si="210"/>
        <v>1761.7326199101922</v>
      </c>
      <c r="W351" s="497">
        <f>IF(Tabla33[[#This Row],[Fecha de operación]]=$C$1,0,U351-V351)</f>
        <v>0.30646964300331092</v>
      </c>
      <c r="X351" s="512" t="str">
        <f t="shared" si="185"/>
        <v>Vigente</v>
      </c>
      <c r="Y351" s="517" t="s">
        <v>450</v>
      </c>
      <c r="Z351" s="449">
        <f t="shared" si="186"/>
        <v>643</v>
      </c>
      <c r="AA351" s="518">
        <f t="shared" ref="AA351:AB358" si="212">+AA350</f>
        <v>1.6475200048483349</v>
      </c>
      <c r="AB351" s="518">
        <f t="shared" si="212"/>
        <v>1.6209572172027682</v>
      </c>
      <c r="AC351" s="449" t="s">
        <v>451</v>
      </c>
      <c r="AD351" s="449" t="s">
        <v>454</v>
      </c>
      <c r="AF351" s="444">
        <f>+IF(Tabla33[[#This Row],[Amortización k | cupón de intereses]]="Amortización de K",Tabla33[[#This Row],[Valor Nominal]],0)</f>
        <v>0</v>
      </c>
      <c r="AG351" s="444">
        <f>+IF(AND(Tabla33[[#This Row],[Amortización k | cupón de intereses]]="Cupón de interés",Tabla33[[#This Row],[Estado]]="Vigente"),Tabla33[[#This Row],[Valor Nominal]],0)</f>
        <v>1970.56</v>
      </c>
      <c r="AH351" s="444">
        <f>+IF(Tabla33[[#This Row],[Amortización k | cupón de intereses]]="Amortización de K",SUMIFS($AG$7:$AG$418,Tabla33[Código Emisión],Tabla33[[#This Row],[Código Emisión]],Tabla33[Fecha de operación],Tabla33[[#This Row],[Fecha de operación]]),0)-Tabla33[[#This Row],[Accrued]]*Tabla33[[#This Row],[Valor Nominal]]</f>
        <v>0</v>
      </c>
      <c r="AI351" s="444">
        <f>+IF(Tabla33[[#This Row],[Amortización k | cupón de intereses]]="Amortización de K",IF(Tabla33[[#This Row],[Precio Clean]]&gt;1,Tabla33[[#This Row],[Valor Nominal]]*(Tabla33[[#This Row],[Precio Clean]]-1),0),0)</f>
        <v>0</v>
      </c>
      <c r="AJ351" s="444">
        <f>+IF(Tabla33[[#This Row],[Amortización k | cupón de intereses]]="Amortización de K",IF(Tabla33[[#This Row],[Precio Clean]]&lt;1,Tabla33[[#This Row],[Valor Nominal]]*(Tabla33[[#This Row],[Precio Clean]]-1),0),0)</f>
        <v>0</v>
      </c>
    </row>
    <row r="352" spans="1:36">
      <c r="A352" s="502"/>
      <c r="B352" s="437" t="str">
        <f t="shared" ref="B352:C358" si="213">+B351</f>
        <v>Zeta Banco SAECA</v>
      </c>
      <c r="C352" s="437" t="str">
        <f>+C351</f>
        <v>ZETA_6,85%_04102027_AB0701-52_25K</v>
      </c>
      <c r="D352" s="437" t="s">
        <v>453</v>
      </c>
      <c r="E352" s="437" t="str">
        <f>+E351</f>
        <v>A+py</v>
      </c>
      <c r="F352" s="437" t="s">
        <v>297</v>
      </c>
      <c r="G352" s="437" t="s">
        <v>298</v>
      </c>
      <c r="H352" s="437">
        <f>+H351</f>
        <v>4</v>
      </c>
      <c r="I352" s="445">
        <v>426.95</v>
      </c>
      <c r="J352" s="462"/>
      <c r="K352" s="450"/>
      <c r="L352" s="462"/>
      <c r="M352" s="493"/>
      <c r="N352" s="493"/>
      <c r="O352" s="516">
        <f t="shared" si="211"/>
        <v>6.5548399090766915E-2</v>
      </c>
      <c r="P352" s="516">
        <f t="shared" si="211"/>
        <v>6.3996137911160211E-2</v>
      </c>
      <c r="Q352" s="450">
        <f t="shared" si="211"/>
        <v>45953</v>
      </c>
      <c r="R352" s="450">
        <v>46559</v>
      </c>
      <c r="S352" s="509" t="s">
        <v>146</v>
      </c>
      <c r="T352" s="510">
        <f>Tabla33[[#This Row],[Cantidad]]*Tabla33[[#This Row],[Cortes]]</f>
        <v>1707.8</v>
      </c>
      <c r="U352" s="511">
        <f t="shared" si="209"/>
        <v>1555.230970025096</v>
      </c>
      <c r="V352" s="511">
        <f t="shared" si="210"/>
        <v>1554.9604703051994</v>
      </c>
      <c r="W352" s="497">
        <f>IF(Tabla33[[#This Row],[Fecha de operación]]=$C$1,0,U352-V352)</f>
        <v>0.27049971989663391</v>
      </c>
      <c r="X352" s="512" t="str">
        <f t="shared" si="185"/>
        <v>Vigente</v>
      </c>
      <c r="Y352" s="517" t="s">
        <v>450</v>
      </c>
      <c r="Z352" s="449">
        <f t="shared" si="186"/>
        <v>538</v>
      </c>
      <c r="AA352" s="518">
        <f t="shared" si="212"/>
        <v>1.6475200048483349</v>
      </c>
      <c r="AB352" s="518">
        <f t="shared" si="212"/>
        <v>1.6209572172027682</v>
      </c>
      <c r="AC352" s="449" t="s">
        <v>451</v>
      </c>
      <c r="AD352" s="449" t="s">
        <v>454</v>
      </c>
      <c r="AF352" s="444">
        <f>+IF(Tabla33[[#This Row],[Amortización k | cupón de intereses]]="Amortización de K",Tabla33[[#This Row],[Valor Nominal]],0)</f>
        <v>0</v>
      </c>
      <c r="AG352" s="444">
        <f>+IF(AND(Tabla33[[#This Row],[Amortización k | cupón de intereses]]="Cupón de interés",Tabla33[[#This Row],[Estado]]="Vigente"),Tabla33[[#This Row],[Valor Nominal]],0)</f>
        <v>1707.8</v>
      </c>
      <c r="AH352" s="444">
        <f>+IF(Tabla33[[#This Row],[Amortización k | cupón de intereses]]="Amortización de K",SUMIFS($AG$7:$AG$418,Tabla33[Código Emisión],Tabla33[[#This Row],[Código Emisión]],Tabla33[Fecha de operación],Tabla33[[#This Row],[Fecha de operación]]),0)-Tabla33[[#This Row],[Accrued]]*Tabla33[[#This Row],[Valor Nominal]]</f>
        <v>0</v>
      </c>
      <c r="AI352" s="444">
        <f>+IF(Tabla33[[#This Row],[Amortización k | cupón de intereses]]="Amortización de K",IF(Tabla33[[#This Row],[Precio Clean]]&gt;1,Tabla33[[#This Row],[Valor Nominal]]*(Tabla33[[#This Row],[Precio Clean]]-1),0),0)</f>
        <v>0</v>
      </c>
      <c r="AJ352" s="444">
        <f>+IF(Tabla33[[#This Row],[Amortización k | cupón de intereses]]="Amortización de K",IF(Tabla33[[#This Row],[Precio Clean]]&lt;1,Tabla33[[#This Row],[Valor Nominal]]*(Tabla33[[#This Row],[Precio Clean]]-1),0),0)</f>
        <v>0</v>
      </c>
    </row>
    <row r="353" spans="1:36">
      <c r="A353" s="502"/>
      <c r="B353" s="437" t="str">
        <f t="shared" si="213"/>
        <v>Zeta Banco SAECA</v>
      </c>
      <c r="C353" s="437" t="str">
        <f>+C352</f>
        <v>ZETA_6,85%_04102027_AB0701-52_25K</v>
      </c>
      <c r="D353" s="437" t="s">
        <v>453</v>
      </c>
      <c r="E353" s="437" t="str">
        <f>+E352</f>
        <v>A+py</v>
      </c>
      <c r="F353" s="437" t="s">
        <v>297</v>
      </c>
      <c r="G353" s="437" t="s">
        <v>298</v>
      </c>
      <c r="H353" s="437">
        <f>+H352</f>
        <v>4</v>
      </c>
      <c r="I353" s="445">
        <v>422.26</v>
      </c>
      <c r="J353" s="462"/>
      <c r="K353" s="450"/>
      <c r="L353" s="462"/>
      <c r="M353" s="493"/>
      <c r="N353" s="493"/>
      <c r="O353" s="516">
        <f t="shared" si="211"/>
        <v>6.5548399090766915E-2</v>
      </c>
      <c r="P353" s="516">
        <f t="shared" si="211"/>
        <v>6.3996137911160211E-2</v>
      </c>
      <c r="Q353" s="450">
        <f t="shared" si="211"/>
        <v>45953</v>
      </c>
      <c r="R353" s="450">
        <v>46468</v>
      </c>
      <c r="S353" s="509" t="s">
        <v>146</v>
      </c>
      <c r="T353" s="510">
        <f>Tabla33[[#This Row],[Cantidad]]*Tabla33[[#This Row],[Cortes]]</f>
        <v>1689.04</v>
      </c>
      <c r="U353" s="511">
        <f t="shared" si="209"/>
        <v>1562.6878335887466</v>
      </c>
      <c r="V353" s="511">
        <f t="shared" si="210"/>
        <v>1562.4160369042547</v>
      </c>
      <c r="W353" s="497">
        <f>IF(Tabla33[[#This Row],[Fecha de operación]]=$C$1,0,U353-V353)</f>
        <v>0.27179668449184646</v>
      </c>
      <c r="X353" s="512" t="str">
        <f t="shared" si="185"/>
        <v>Vigente</v>
      </c>
      <c r="Y353" s="517" t="s">
        <v>450</v>
      </c>
      <c r="Z353" s="449">
        <f t="shared" si="186"/>
        <v>447</v>
      </c>
      <c r="AA353" s="518">
        <f t="shared" si="212"/>
        <v>1.6475200048483349</v>
      </c>
      <c r="AB353" s="518">
        <f t="shared" si="212"/>
        <v>1.6209572172027682</v>
      </c>
      <c r="AC353" s="449" t="s">
        <v>451</v>
      </c>
      <c r="AD353" s="449" t="s">
        <v>454</v>
      </c>
      <c r="AF353" s="444">
        <f>+IF(Tabla33[[#This Row],[Amortización k | cupón de intereses]]="Amortización de K",Tabla33[[#This Row],[Valor Nominal]],0)</f>
        <v>0</v>
      </c>
      <c r="AG353" s="444">
        <f>+IF(AND(Tabla33[[#This Row],[Amortización k | cupón de intereses]]="Cupón de interés",Tabla33[[#This Row],[Estado]]="Vigente"),Tabla33[[#This Row],[Valor Nominal]],0)</f>
        <v>1689.04</v>
      </c>
      <c r="AH353" s="444">
        <f>+IF(Tabla33[[#This Row],[Amortización k | cupón de intereses]]="Amortización de K",SUMIFS($AG$7:$AG$418,Tabla33[Código Emisión],Tabla33[[#This Row],[Código Emisión]],Tabla33[Fecha de operación],Tabla33[[#This Row],[Fecha de operación]]),0)-Tabla33[[#This Row],[Accrued]]*Tabla33[[#This Row],[Valor Nominal]]</f>
        <v>0</v>
      </c>
      <c r="AI353" s="444">
        <f>+IF(Tabla33[[#This Row],[Amortización k | cupón de intereses]]="Amortización de K",IF(Tabla33[[#This Row],[Precio Clean]]&gt;1,Tabla33[[#This Row],[Valor Nominal]]*(Tabla33[[#This Row],[Precio Clean]]-1),0),0)</f>
        <v>0</v>
      </c>
      <c r="AJ353" s="444">
        <f>+IF(Tabla33[[#This Row],[Amortización k | cupón de intereses]]="Amortización de K",IF(Tabla33[[#This Row],[Precio Clean]]&lt;1,Tabla33[[#This Row],[Valor Nominal]]*(Tabla33[[#This Row],[Precio Clean]]-1),0),0)</f>
        <v>0</v>
      </c>
    </row>
    <row r="354" spans="1:36">
      <c r="A354" s="502"/>
      <c r="B354" s="437" t="str">
        <f t="shared" si="213"/>
        <v>Zeta Banco SAECA</v>
      </c>
      <c r="C354" s="437" t="str">
        <f>+C353</f>
        <v>ZETA_6,85%_04102027_AB0701-52_25K</v>
      </c>
      <c r="D354" s="437" t="s">
        <v>453</v>
      </c>
      <c r="E354" s="437" t="str">
        <f>+E353</f>
        <v>A+py</v>
      </c>
      <c r="F354" s="437" t="s">
        <v>297</v>
      </c>
      <c r="G354" s="437" t="s">
        <v>298</v>
      </c>
      <c r="H354" s="437">
        <f>+H353</f>
        <v>4</v>
      </c>
      <c r="I354" s="445">
        <v>422.26</v>
      </c>
      <c r="J354" s="462"/>
      <c r="K354" s="450"/>
      <c r="L354" s="462"/>
      <c r="M354" s="493"/>
      <c r="N354" s="493"/>
      <c r="O354" s="516">
        <f t="shared" si="211"/>
        <v>6.5548399090766915E-2</v>
      </c>
      <c r="P354" s="516">
        <f t="shared" si="211"/>
        <v>6.3996137911160211E-2</v>
      </c>
      <c r="Q354" s="450">
        <f t="shared" si="211"/>
        <v>45953</v>
      </c>
      <c r="R354" s="450">
        <v>46378</v>
      </c>
      <c r="S354" s="509" t="s">
        <v>146</v>
      </c>
      <c r="T354" s="510">
        <f>Tabla33[[#This Row],[Cantidad]]*Tabla33[[#This Row],[Cortes]]</f>
        <v>1689.04</v>
      </c>
      <c r="U354" s="511">
        <f t="shared" si="209"/>
        <v>1587.3441561600421</v>
      </c>
      <c r="V354" s="511">
        <f t="shared" si="210"/>
        <v>1587.0680710267743</v>
      </c>
      <c r="W354" s="497">
        <f>IF(Tabla33[[#This Row],[Fecha de operación]]=$C$1,0,U354-V354)</f>
        <v>0.27608513326777029</v>
      </c>
      <c r="X354" s="512" t="str">
        <f t="shared" si="185"/>
        <v>Vigente</v>
      </c>
      <c r="Y354" s="517" t="s">
        <v>450</v>
      </c>
      <c r="Z354" s="449">
        <f t="shared" si="186"/>
        <v>357</v>
      </c>
      <c r="AA354" s="518">
        <f t="shared" si="212"/>
        <v>1.6475200048483349</v>
      </c>
      <c r="AB354" s="518">
        <f t="shared" si="212"/>
        <v>1.6209572172027682</v>
      </c>
      <c r="AC354" s="449" t="s">
        <v>451</v>
      </c>
      <c r="AD354" s="449" t="s">
        <v>454</v>
      </c>
      <c r="AF354" s="444">
        <f>+IF(Tabla33[[#This Row],[Amortización k | cupón de intereses]]="Amortización de K",Tabla33[[#This Row],[Valor Nominal]],0)</f>
        <v>0</v>
      </c>
      <c r="AG354" s="444">
        <f>+IF(AND(Tabla33[[#This Row],[Amortización k | cupón de intereses]]="Cupón de interés",Tabla33[[#This Row],[Estado]]="Vigente"),Tabla33[[#This Row],[Valor Nominal]],0)</f>
        <v>1689.04</v>
      </c>
      <c r="AH354" s="444">
        <f>+IF(Tabla33[[#This Row],[Amortización k | cupón de intereses]]="Amortización de K",SUMIFS($AG$7:$AG$418,Tabla33[Código Emisión],Tabla33[[#This Row],[Código Emisión]],Tabla33[Fecha de operación],Tabla33[[#This Row],[Fecha de operación]]),0)-Tabla33[[#This Row],[Accrued]]*Tabla33[[#This Row],[Valor Nominal]]</f>
        <v>0</v>
      </c>
      <c r="AI354" s="444">
        <f>+IF(Tabla33[[#This Row],[Amortización k | cupón de intereses]]="Amortización de K",IF(Tabla33[[#This Row],[Precio Clean]]&gt;1,Tabla33[[#This Row],[Valor Nominal]]*(Tabla33[[#This Row],[Precio Clean]]-1),0),0)</f>
        <v>0</v>
      </c>
      <c r="AJ354" s="444">
        <f>+IF(Tabla33[[#This Row],[Amortización k | cupón de intereses]]="Amortización de K",IF(Tabla33[[#This Row],[Precio Clean]]&lt;1,Tabla33[[#This Row],[Valor Nominal]]*(Tabla33[[#This Row],[Precio Clean]]-1),0),0)</f>
        <v>0</v>
      </c>
    </row>
    <row r="355" spans="1:36">
      <c r="A355" s="502"/>
      <c r="B355" s="437" t="str">
        <f t="shared" si="213"/>
        <v>Zeta Banco SAECA</v>
      </c>
      <c r="C355" s="437" t="str">
        <f t="shared" si="213"/>
        <v>ZETA_6,85%_04102027_AB0701-52_25K</v>
      </c>
      <c r="D355" s="437" t="s">
        <v>453</v>
      </c>
      <c r="E355" s="437" t="str">
        <f t="shared" ref="E355:E358" si="214">+E354</f>
        <v>A+py</v>
      </c>
      <c r="F355" s="437" t="s">
        <v>297</v>
      </c>
      <c r="G355" s="437" t="s">
        <v>298</v>
      </c>
      <c r="H355" s="437">
        <f t="shared" ref="H355:H358" si="215">+H354</f>
        <v>4</v>
      </c>
      <c r="I355" s="445">
        <v>422.26</v>
      </c>
      <c r="J355" s="462"/>
      <c r="K355" s="450"/>
      <c r="L355" s="462"/>
      <c r="M355" s="493"/>
      <c r="N355" s="493"/>
      <c r="O355" s="516">
        <f t="shared" si="211"/>
        <v>6.5548399090766915E-2</v>
      </c>
      <c r="P355" s="516">
        <f t="shared" si="211"/>
        <v>6.3996137911160211E-2</v>
      </c>
      <c r="Q355" s="450">
        <f t="shared" si="211"/>
        <v>45953</v>
      </c>
      <c r="R355" s="450">
        <v>46288</v>
      </c>
      <c r="S355" s="509" t="s">
        <v>146</v>
      </c>
      <c r="T355" s="510">
        <f>Tabla33[[#This Row],[Cantidad]]*Tabla33[[#This Row],[Cortes]]</f>
        <v>1689.04</v>
      </c>
      <c r="U355" s="511">
        <f t="shared" si="209"/>
        <v>1612.389509879896</v>
      </c>
      <c r="V355" s="511">
        <f t="shared" si="210"/>
        <v>1612.1090686340663</v>
      </c>
      <c r="W355" s="497">
        <f>IF(Tabla33[[#This Row],[Fecha de operación]]=$C$1,0,U355-V355)</f>
        <v>0.28044124582970653</v>
      </c>
      <c r="X355" s="512" t="str">
        <f t="shared" si="185"/>
        <v>Vigente</v>
      </c>
      <c r="Y355" s="517" t="s">
        <v>450</v>
      </c>
      <c r="Z355" s="449">
        <f t="shared" si="186"/>
        <v>267</v>
      </c>
      <c r="AA355" s="518">
        <f t="shared" si="212"/>
        <v>1.6475200048483349</v>
      </c>
      <c r="AB355" s="518">
        <f t="shared" si="212"/>
        <v>1.6209572172027682</v>
      </c>
      <c r="AC355" s="449" t="s">
        <v>451</v>
      </c>
      <c r="AD355" s="449" t="s">
        <v>454</v>
      </c>
      <c r="AF355" s="444">
        <f>+IF(Tabla33[[#This Row],[Amortización k | cupón de intereses]]="Amortización de K",Tabla33[[#This Row],[Valor Nominal]],0)</f>
        <v>0</v>
      </c>
      <c r="AG355" s="444">
        <f>+IF(AND(Tabla33[[#This Row],[Amortización k | cupón de intereses]]="Cupón de interés",Tabla33[[#This Row],[Estado]]="Vigente"),Tabla33[[#This Row],[Valor Nominal]],0)</f>
        <v>1689.04</v>
      </c>
      <c r="AH355" s="444">
        <f>+IF(Tabla33[[#This Row],[Amortización k | cupón de intereses]]="Amortización de K",SUMIFS($AG$7:$AG$418,Tabla33[Código Emisión],Tabla33[[#This Row],[Código Emisión]],Tabla33[Fecha de operación],Tabla33[[#This Row],[Fecha de operación]]),0)-Tabla33[[#This Row],[Accrued]]*Tabla33[[#This Row],[Valor Nominal]]</f>
        <v>0</v>
      </c>
      <c r="AI355" s="444">
        <f>+IF(Tabla33[[#This Row],[Amortización k | cupón de intereses]]="Amortización de K",IF(Tabla33[[#This Row],[Precio Clean]]&gt;1,Tabla33[[#This Row],[Valor Nominal]]*(Tabla33[[#This Row],[Precio Clean]]-1),0),0)</f>
        <v>0</v>
      </c>
      <c r="AJ355" s="444">
        <f>+IF(Tabla33[[#This Row],[Amortización k | cupón de intereses]]="Amortización de K",IF(Tabla33[[#This Row],[Precio Clean]]&lt;1,Tabla33[[#This Row],[Valor Nominal]]*(Tabla33[[#This Row],[Precio Clean]]-1),0),0)</f>
        <v>0</v>
      </c>
    </row>
    <row r="356" spans="1:36">
      <c r="A356" s="502"/>
      <c r="B356" s="437" t="str">
        <f t="shared" si="213"/>
        <v>Zeta Banco SAECA</v>
      </c>
      <c r="C356" s="437" t="str">
        <f t="shared" si="213"/>
        <v>ZETA_6,85%_04102027_AB0701-52_25K</v>
      </c>
      <c r="D356" s="437" t="s">
        <v>453</v>
      </c>
      <c r="E356" s="437" t="str">
        <f t="shared" si="214"/>
        <v>A+py</v>
      </c>
      <c r="F356" s="437" t="s">
        <v>297</v>
      </c>
      <c r="G356" s="437" t="s">
        <v>298</v>
      </c>
      <c r="H356" s="437">
        <f t="shared" si="215"/>
        <v>4</v>
      </c>
      <c r="I356" s="445">
        <v>422.26</v>
      </c>
      <c r="J356" s="462"/>
      <c r="K356" s="450"/>
      <c r="L356" s="462"/>
      <c r="M356" s="493"/>
      <c r="N356" s="493"/>
      <c r="O356" s="516">
        <f t="shared" si="211"/>
        <v>6.5548399090766915E-2</v>
      </c>
      <c r="P356" s="516">
        <f t="shared" si="211"/>
        <v>6.3996137911160211E-2</v>
      </c>
      <c r="Q356" s="450">
        <f t="shared" si="211"/>
        <v>45953</v>
      </c>
      <c r="R356" s="450">
        <v>46198</v>
      </c>
      <c r="S356" s="509" t="s">
        <v>146</v>
      </c>
      <c r="T356" s="510">
        <f>Tabla33[[#This Row],[Cantidad]]*Tabla33[[#This Row],[Cortes]]</f>
        <v>1689.04</v>
      </c>
      <c r="U356" s="511">
        <f t="shared" si="209"/>
        <v>1637.8300329400083</v>
      </c>
      <c r="V356" s="511">
        <f t="shared" si="210"/>
        <v>1637.5451668502201</v>
      </c>
      <c r="W356" s="497">
        <f>IF(Tabla33[[#This Row],[Fecha de operación]]=$C$1,0,U356-V356)</f>
        <v>0.28486608978823824</v>
      </c>
      <c r="X356" s="512" t="str">
        <f t="shared" si="185"/>
        <v>Vigente</v>
      </c>
      <c r="Y356" s="517" t="s">
        <v>450</v>
      </c>
      <c r="Z356" s="449">
        <f t="shared" si="186"/>
        <v>177</v>
      </c>
      <c r="AA356" s="518">
        <f t="shared" si="212"/>
        <v>1.6475200048483349</v>
      </c>
      <c r="AB356" s="518">
        <f t="shared" si="212"/>
        <v>1.6209572172027682</v>
      </c>
      <c r="AC356" s="449" t="s">
        <v>451</v>
      </c>
      <c r="AD356" s="449" t="s">
        <v>454</v>
      </c>
      <c r="AF356" s="444">
        <f>+IF(Tabla33[[#This Row],[Amortización k | cupón de intereses]]="Amortización de K",Tabla33[[#This Row],[Valor Nominal]],0)</f>
        <v>0</v>
      </c>
      <c r="AG356" s="444">
        <f>+IF(AND(Tabla33[[#This Row],[Amortización k | cupón de intereses]]="Cupón de interés",Tabla33[[#This Row],[Estado]]="Vigente"),Tabla33[[#This Row],[Valor Nominal]],0)</f>
        <v>1689.04</v>
      </c>
      <c r="AH356" s="444">
        <f>+IF(Tabla33[[#This Row],[Amortización k | cupón de intereses]]="Amortización de K",SUMIFS($AG$7:$AG$418,Tabla33[Código Emisión],Tabla33[[#This Row],[Código Emisión]],Tabla33[Fecha de operación],Tabla33[[#This Row],[Fecha de operación]]),0)-Tabla33[[#This Row],[Accrued]]*Tabla33[[#This Row],[Valor Nominal]]</f>
        <v>0</v>
      </c>
      <c r="AI356" s="444">
        <f>+IF(Tabla33[[#This Row],[Amortización k | cupón de intereses]]="Amortización de K",IF(Tabla33[[#This Row],[Precio Clean]]&gt;1,Tabla33[[#This Row],[Valor Nominal]]*(Tabla33[[#This Row],[Precio Clean]]-1),0),0)</f>
        <v>0</v>
      </c>
      <c r="AJ356" s="444">
        <f>+IF(Tabla33[[#This Row],[Amortización k | cupón de intereses]]="Amortización de K",IF(Tabla33[[#This Row],[Precio Clean]]&lt;1,Tabla33[[#This Row],[Valor Nominal]]*(Tabla33[[#This Row],[Precio Clean]]-1),0),0)</f>
        <v>0</v>
      </c>
    </row>
    <row r="357" spans="1:36">
      <c r="A357" s="502"/>
      <c r="B357" s="437" t="str">
        <f t="shared" si="213"/>
        <v>Zeta Banco SAECA</v>
      </c>
      <c r="C357" s="437" t="str">
        <f t="shared" si="213"/>
        <v>ZETA_6,85%_04102027_AB0701-52_25K</v>
      </c>
      <c r="D357" s="437" t="s">
        <v>453</v>
      </c>
      <c r="E357" s="437" t="str">
        <f t="shared" si="214"/>
        <v>A+py</v>
      </c>
      <c r="F357" s="437" t="s">
        <v>297</v>
      </c>
      <c r="G357" s="437" t="s">
        <v>298</v>
      </c>
      <c r="H357" s="437">
        <f t="shared" si="215"/>
        <v>4</v>
      </c>
      <c r="I357" s="445">
        <v>412.88</v>
      </c>
      <c r="J357" s="462"/>
      <c r="K357" s="450"/>
      <c r="L357" s="462"/>
      <c r="M357" s="493"/>
      <c r="N357" s="493"/>
      <c r="O357" s="516">
        <f t="shared" si="211"/>
        <v>6.5548399090766915E-2</v>
      </c>
      <c r="P357" s="516">
        <f t="shared" si="211"/>
        <v>6.3996137911160211E-2</v>
      </c>
      <c r="Q357" s="450">
        <f t="shared" si="211"/>
        <v>45953</v>
      </c>
      <c r="R357" s="450">
        <v>46108</v>
      </c>
      <c r="S357" s="509" t="s">
        <v>146</v>
      </c>
      <c r="T357" s="510">
        <f>Tabla33[[#This Row],[Cantidad]]*Tabla33[[#This Row],[Cortes]]</f>
        <v>1651.52</v>
      </c>
      <c r="U357" s="511">
        <f t="shared" si="209"/>
        <v>1626.7154809886483</v>
      </c>
      <c r="V357" s="511">
        <f t="shared" si="210"/>
        <v>1626.4325480414268</v>
      </c>
      <c r="W357" s="497">
        <f>IF(Tabla33[[#This Row],[Fecha de operación]]=$C$1,0,U357-V357)</f>
        <v>0.28293294722152496</v>
      </c>
      <c r="X357" s="512" t="str">
        <f t="shared" ref="X357:X400" si="216">IF(R357&lt;=$U$5,"Vencido","Vigente")</f>
        <v>Vigente</v>
      </c>
      <c r="Y357" s="517" t="s">
        <v>450</v>
      </c>
      <c r="Z357" s="449">
        <f t="shared" ref="Z357:Z400" si="217">+R357-$U$5</f>
        <v>87</v>
      </c>
      <c r="AA357" s="518">
        <f t="shared" si="212"/>
        <v>1.6475200048483349</v>
      </c>
      <c r="AB357" s="518">
        <f t="shared" si="212"/>
        <v>1.6209572172027682</v>
      </c>
      <c r="AC357" s="449" t="s">
        <v>451</v>
      </c>
      <c r="AD357" s="449" t="s">
        <v>454</v>
      </c>
      <c r="AF357" s="444">
        <f>+IF(Tabla33[[#This Row],[Amortización k | cupón de intereses]]="Amortización de K",Tabla33[[#This Row],[Valor Nominal]],0)</f>
        <v>0</v>
      </c>
      <c r="AG357" s="444">
        <f>+IF(AND(Tabla33[[#This Row],[Amortización k | cupón de intereses]]="Cupón de interés",Tabla33[[#This Row],[Estado]]="Vigente"),Tabla33[[#This Row],[Valor Nominal]],0)</f>
        <v>1651.52</v>
      </c>
      <c r="AH357" s="444">
        <f>+IF(Tabla33[[#This Row],[Amortización k | cupón de intereses]]="Amortización de K",SUMIFS($AG$7:$AG$418,Tabla33[Código Emisión],Tabla33[[#This Row],[Código Emisión]],Tabla33[Fecha de operación],Tabla33[[#This Row],[Fecha de operación]]),0)-Tabla33[[#This Row],[Accrued]]*Tabla33[[#This Row],[Valor Nominal]]</f>
        <v>0</v>
      </c>
      <c r="AI357" s="444">
        <f>+IF(Tabla33[[#This Row],[Amortización k | cupón de intereses]]="Amortización de K",IF(Tabla33[[#This Row],[Precio Clean]]&gt;1,Tabla33[[#This Row],[Valor Nominal]]*(Tabla33[[#This Row],[Precio Clean]]-1),0),0)</f>
        <v>0</v>
      </c>
      <c r="AJ357" s="444">
        <f>+IF(Tabla33[[#This Row],[Amortización k | cupón de intereses]]="Amortización de K",IF(Tabla33[[#This Row],[Precio Clean]]&lt;1,Tabla33[[#This Row],[Valor Nominal]]*(Tabla33[[#This Row],[Precio Clean]]-1),0),0)</f>
        <v>0</v>
      </c>
    </row>
    <row r="358" spans="1:36">
      <c r="A358" s="502"/>
      <c r="B358" s="437" t="str">
        <f t="shared" si="213"/>
        <v>Zeta Banco SAECA</v>
      </c>
      <c r="C358" s="437" t="str">
        <f t="shared" si="213"/>
        <v>ZETA_6,85%_04102027_AB0701-52_25K</v>
      </c>
      <c r="D358" s="437" t="s">
        <v>453</v>
      </c>
      <c r="E358" s="437" t="str">
        <f t="shared" si="214"/>
        <v>A+py</v>
      </c>
      <c r="F358" s="437" t="s">
        <v>297</v>
      </c>
      <c r="G358" s="437" t="s">
        <v>298</v>
      </c>
      <c r="H358" s="437">
        <f t="shared" si="215"/>
        <v>4</v>
      </c>
      <c r="I358" s="445">
        <v>422.26</v>
      </c>
      <c r="J358" s="462"/>
      <c r="K358" s="450"/>
      <c r="L358" s="462"/>
      <c r="M358" s="493"/>
      <c r="N358" s="493"/>
      <c r="O358" s="516">
        <f t="shared" si="211"/>
        <v>6.5548399090766915E-2</v>
      </c>
      <c r="P358" s="516">
        <f t="shared" si="211"/>
        <v>6.3996137911160211E-2</v>
      </c>
      <c r="Q358" s="450">
        <f t="shared" si="211"/>
        <v>45953</v>
      </c>
      <c r="R358" s="450">
        <v>46020</v>
      </c>
      <c r="S358" s="509" t="s">
        <v>146</v>
      </c>
      <c r="T358" s="510">
        <f>Tabla33[[#This Row],[Cantidad]]*Tabla33[[#This Row],[Cortes]]</f>
        <v>1689.04</v>
      </c>
      <c r="U358" s="511" t="b">
        <f t="shared" si="209"/>
        <v>0</v>
      </c>
      <c r="V358" s="511" t="b">
        <f t="shared" si="210"/>
        <v>0</v>
      </c>
      <c r="W358" s="497">
        <f>IF(Tabla33[[#This Row],[Fecha de operación]]=$C$1,0,U358-V358)</f>
        <v>0</v>
      </c>
      <c r="X358" s="512" t="str">
        <f t="shared" si="216"/>
        <v>Vencido</v>
      </c>
      <c r="Y358" s="517" t="s">
        <v>450</v>
      </c>
      <c r="Z358" s="449">
        <f t="shared" si="217"/>
        <v>-1</v>
      </c>
      <c r="AA358" s="518">
        <f t="shared" si="212"/>
        <v>1.6475200048483349</v>
      </c>
      <c r="AB358" s="518">
        <f t="shared" si="212"/>
        <v>1.6209572172027682</v>
      </c>
      <c r="AC358" s="449" t="s">
        <v>451</v>
      </c>
      <c r="AD358" s="449" t="s">
        <v>454</v>
      </c>
      <c r="AF358" s="444">
        <f>+IF(Tabla33[[#This Row],[Amortización k | cupón de intereses]]="Amortización de K",Tabla33[[#This Row],[Valor Nominal]],0)</f>
        <v>0</v>
      </c>
      <c r="AG358" s="444">
        <f>+IF(AND(Tabla33[[#This Row],[Amortización k | cupón de intereses]]="Cupón de interés",Tabla33[[#This Row],[Estado]]="Vigente"),Tabla33[[#This Row],[Valor Nominal]],0)</f>
        <v>0</v>
      </c>
      <c r="AH358" s="444">
        <f>+IF(Tabla33[[#This Row],[Amortización k | cupón de intereses]]="Amortización de K",SUMIFS($AG$7:$AG$418,Tabla33[Código Emisión],Tabla33[[#This Row],[Código Emisión]],Tabla33[Fecha de operación],Tabla33[[#This Row],[Fecha de operación]]),0)-Tabla33[[#This Row],[Accrued]]*Tabla33[[#This Row],[Valor Nominal]]</f>
        <v>0</v>
      </c>
      <c r="AI358" s="444">
        <f>+IF(Tabla33[[#This Row],[Amortización k | cupón de intereses]]="Amortización de K",IF(Tabla33[[#This Row],[Precio Clean]]&gt;1,Tabla33[[#This Row],[Valor Nominal]]*(Tabla33[[#This Row],[Precio Clean]]-1),0),0)</f>
        <v>0</v>
      </c>
      <c r="AJ358" s="444">
        <f>+IF(Tabla33[[#This Row],[Amortización k | cupón de intereses]]="Amortización de K",IF(Tabla33[[#This Row],[Precio Clean]]&lt;1,Tabla33[[#This Row],[Valor Nominal]]*(Tabla33[[#This Row],[Precio Clean]]-1),0),0)</f>
        <v>0</v>
      </c>
    </row>
    <row r="359" spans="1:36" ht="15">
      <c r="A359" s="500">
        <f>+A350+1</f>
        <v>34</v>
      </c>
      <c r="B359" s="475" t="s">
        <v>494</v>
      </c>
      <c r="C359" s="475" t="s">
        <v>567</v>
      </c>
      <c r="D359" s="475" t="s">
        <v>453</v>
      </c>
      <c r="E359" s="475" t="s">
        <v>496</v>
      </c>
      <c r="F359" s="475" t="s">
        <v>297</v>
      </c>
      <c r="G359" s="475" t="s">
        <v>298</v>
      </c>
      <c r="H359" s="475">
        <v>10</v>
      </c>
      <c r="I359" s="477">
        <v>50000</v>
      </c>
      <c r="J359" s="478">
        <v>6.3E-2</v>
      </c>
      <c r="K359" s="479">
        <f>_xlfn.MAXIFS(R:R,C:C,C359,AD:AD,"Cupón de interés",X:X,"Vencido")</f>
        <v>45978</v>
      </c>
      <c r="L359" s="478">
        <f>+Tabla33[[#This Row],[Tasa de Interés]]*($U$5-Tabla33[[#This Row],[Last coupon]])/365</f>
        <v>7.4219178082191783E-3</v>
      </c>
      <c r="M359" s="480">
        <f>+Tabla33[[#This Row],[Precio Dirty]]-Tabla33[[#This Row],[Accrued]]</f>
        <v>1.0006073035833829</v>
      </c>
      <c r="N359" s="481">
        <f>SUMIFS(U:U,C:C,C359,Q:Q,Q359)/SUMIFS(T:T,C:C,C359,Q:Q,Q359,AD:AD,"Amortización de K")</f>
        <v>1.008029221391602</v>
      </c>
      <c r="O359" s="482">
        <v>6.3432869315147411E-2</v>
      </c>
      <c r="P359" s="482">
        <f>+NOMINAL(Tabla33[[#This Row],[YTM]],4)</f>
        <v>6.1977479421427617E-2</v>
      </c>
      <c r="Q359" s="484">
        <v>45959</v>
      </c>
      <c r="R359" s="484">
        <v>46258</v>
      </c>
      <c r="S359" s="504" t="s">
        <v>146</v>
      </c>
      <c r="T359" s="505">
        <f>Tabla33[[#This Row],[Cantidad]]*Tabla33[[#This Row],[Cortes]]</f>
        <v>500000</v>
      </c>
      <c r="U359" s="506">
        <f t="shared" si="209"/>
        <v>480426.27029555297</v>
      </c>
      <c r="V359" s="506">
        <f t="shared" si="210"/>
        <v>480345.32564249006</v>
      </c>
      <c r="W359" s="487">
        <f>IF(Tabla33[[#This Row],[Fecha de operación]]=$C$1,0,U359-V359)</f>
        <v>80.944653062906582</v>
      </c>
      <c r="X359" s="507" t="str">
        <f t="shared" si="216"/>
        <v>Vigente</v>
      </c>
      <c r="Y359" s="489" t="s">
        <v>450</v>
      </c>
      <c r="Z359" s="488">
        <f t="shared" si="217"/>
        <v>237</v>
      </c>
      <c r="AA359" s="508">
        <f>IF(Y359="Mensual",DURATION($C$1,$C$1+Z359*12,J359/12,O359/12,1)/12,DURATION($C$1,R359,J359,O359,IF(Y359="Cupón cero",1,IF(Y359="Al vencimiento",1,IF(Y359="Anual",1,IF(Y359="Semestral",2,IF(Y359="Trimestral",4,"")))))))</f>
        <v>0.63842876780373037</v>
      </c>
      <c r="AB359" s="508">
        <f>IF(Y359="Mensual",MDURATION($C$1,$C$1+Z359*12,J359/12,O359/12,1)/12,MDURATION($C$1,R359,J359,O359,IF(Y359="Cupón cero",1,IF(Y359="Al vencimiento",1,IF(Y359="Anual",1,IF(Y359="Semestral",2,IF(Y359="Trimestral",4,"")))))))</f>
        <v>0.62846247331885308</v>
      </c>
      <c r="AC359" s="488" t="s">
        <v>451</v>
      </c>
      <c r="AD359" s="488" t="s">
        <v>452</v>
      </c>
      <c r="AF359" s="444">
        <f>+IF(Tabla33[[#This Row],[Amortización k | cupón de intereses]]="Amortización de K",Tabla33[[#This Row],[Valor Nominal]],0)</f>
        <v>500000</v>
      </c>
      <c r="AG359" s="444">
        <f>+IF(AND(Tabla33[[#This Row],[Amortización k | cupón de intereses]]="Cupón de interés",Tabla33[[#This Row],[Estado]]="Vigente"),Tabla33[[#This Row],[Valor Nominal]],0)</f>
        <v>0</v>
      </c>
      <c r="AH359" s="444">
        <f>+IF(Tabla33[[#This Row],[Amortización k | cupón de intereses]]="Amortización de K",SUMIFS($AG$7:$AG$418,Tabla33[Código Emisión],Tabla33[[#This Row],[Código Emisión]],Tabla33[Fecha de operación],Tabla33[[#This Row],[Fecha de operación]]),0)-Tabla33[[#This Row],[Accrued]]*Tabla33[[#This Row],[Valor Nominal]]</f>
        <v>20453.541095890414</v>
      </c>
      <c r="AI359" s="444">
        <f>+IF(Tabla33[[#This Row],[Amortización k | cupón de intereses]]="Amortización de K",IF(Tabla33[[#This Row],[Precio Clean]]&gt;1,Tabla33[[#This Row],[Valor Nominal]]*(Tabla33[[#This Row],[Precio Clean]]-1),0),0)</f>
        <v>303.65179169145051</v>
      </c>
      <c r="AJ359" s="444">
        <f>+IF(Tabla33[[#This Row],[Amortización k | cupón de intereses]]="Amortización de K",IF(Tabla33[[#This Row],[Precio Clean]]&lt;1,Tabla33[[#This Row],[Valor Nominal]]*(Tabla33[[#This Row],[Precio Clean]]-1),0),0)</f>
        <v>0</v>
      </c>
    </row>
    <row r="360" spans="1:36">
      <c r="A360" s="502"/>
      <c r="B360" s="437" t="str">
        <f t="shared" ref="B360:H363" si="218">+B359</f>
        <v>Solar Banco SAECA</v>
      </c>
      <c r="C360" s="437" t="str">
        <f t="shared" si="218"/>
        <v>SAF_6,30%_24082026_AA3115-24_50K</v>
      </c>
      <c r="D360" s="437" t="str">
        <f t="shared" si="218"/>
        <v>CDA</v>
      </c>
      <c r="E360" s="437" t="str">
        <f t="shared" si="218"/>
        <v>Apy</v>
      </c>
      <c r="F360" s="437" t="str">
        <f t="shared" si="218"/>
        <v>Financiero</v>
      </c>
      <c r="G360" s="437" t="str">
        <f t="shared" si="218"/>
        <v>Paraguay</v>
      </c>
      <c r="H360" s="437">
        <f t="shared" si="218"/>
        <v>10</v>
      </c>
      <c r="I360" s="492">
        <v>845.77</v>
      </c>
      <c r="J360" s="451"/>
      <c r="L360" s="442"/>
      <c r="M360" s="493"/>
      <c r="N360" s="493"/>
      <c r="O360" s="494">
        <f t="shared" ref="O360:Q363" si="219">+O359</f>
        <v>6.3432869315147411E-2</v>
      </c>
      <c r="P360" s="494">
        <f t="shared" si="219"/>
        <v>6.1977479421427617E-2</v>
      </c>
      <c r="Q360" s="450">
        <f t="shared" si="219"/>
        <v>45959</v>
      </c>
      <c r="R360" s="450">
        <v>46258</v>
      </c>
      <c r="S360" s="509" t="s">
        <v>146</v>
      </c>
      <c r="T360" s="510">
        <f>Tabla33[[#This Row],[Cantidad]]*Tabla33[[#This Row],[Cortes]]</f>
        <v>8457.7000000000007</v>
      </c>
      <c r="U360" s="511">
        <f t="shared" si="209"/>
        <v>8126.6025325573974</v>
      </c>
      <c r="V360" s="511">
        <f t="shared" si="210"/>
        <v>8125.2333213729771</v>
      </c>
      <c r="W360" s="497">
        <f>IF(Tabla33[[#This Row],[Fecha de operación]]=$C$1,0,U360-V360)</f>
        <v>1.3692111844202373</v>
      </c>
      <c r="X360" s="512" t="str">
        <f t="shared" si="216"/>
        <v>Vigente</v>
      </c>
      <c r="Y360" s="498"/>
      <c r="Z360" s="469">
        <f t="shared" si="217"/>
        <v>237</v>
      </c>
      <c r="AA360" s="499">
        <f t="shared" ref="AA360:AB363" si="220">AA359</f>
        <v>0.63842876780373037</v>
      </c>
      <c r="AB360" s="499">
        <f t="shared" si="220"/>
        <v>0.62846247331885308</v>
      </c>
      <c r="AC360" s="469" t="str">
        <f t="shared" ref="AC360:AC380" si="221">+AC359</f>
        <v>Familiar CB</v>
      </c>
      <c r="AD360" s="469" t="s">
        <v>454</v>
      </c>
      <c r="AF360" s="444">
        <f>+IF(Tabla33[[#This Row],[Amortización k | cupón de intereses]]="Amortización de K",Tabla33[[#This Row],[Valor Nominal]],0)</f>
        <v>0</v>
      </c>
      <c r="AG360" s="444">
        <f>+IF(AND(Tabla33[[#This Row],[Amortización k | cupón de intereses]]="Cupón de interés",Tabla33[[#This Row],[Estado]]="Vigente"),Tabla33[[#This Row],[Valor Nominal]],0)</f>
        <v>8457.7000000000007</v>
      </c>
      <c r="AH360" s="444">
        <f>+IF(Tabla33[[#This Row],[Amortización k | cupón de intereses]]="Amortización de K",SUMIFS($AG$7:$AG$418,Tabla33[Código Emisión],Tabla33[[#This Row],[Código Emisión]],Tabla33[Fecha de operación],Tabla33[[#This Row],[Fecha de operación]]),0)-Tabla33[[#This Row],[Accrued]]*Tabla33[[#This Row],[Valor Nominal]]</f>
        <v>0</v>
      </c>
      <c r="AI360" s="444">
        <f>+IF(Tabla33[[#This Row],[Amortización k | cupón de intereses]]="Amortización de K",IF(Tabla33[[#This Row],[Precio Clean]]&gt;1,Tabla33[[#This Row],[Valor Nominal]]*(Tabla33[[#This Row],[Precio Clean]]-1),0),0)</f>
        <v>0</v>
      </c>
      <c r="AJ360" s="444">
        <f>+IF(Tabla33[[#This Row],[Amortización k | cupón de intereses]]="Amortización de K",IF(Tabla33[[#This Row],[Precio Clean]]&lt;1,Tabla33[[#This Row],[Valor Nominal]]*(Tabla33[[#This Row],[Precio Clean]]-1),0),0)</f>
        <v>0</v>
      </c>
    </row>
    <row r="361" spans="1:36">
      <c r="A361" s="502"/>
      <c r="B361" s="437" t="str">
        <f t="shared" si="218"/>
        <v>Solar Banco SAECA</v>
      </c>
      <c r="C361" s="437" t="str">
        <f t="shared" si="218"/>
        <v>SAF_6,30%_24082026_AA3115-24_50K</v>
      </c>
      <c r="D361" s="437" t="str">
        <f t="shared" si="218"/>
        <v>CDA</v>
      </c>
      <c r="E361" s="437" t="str">
        <f t="shared" si="218"/>
        <v>Apy</v>
      </c>
      <c r="F361" s="437" t="str">
        <f t="shared" si="218"/>
        <v>Financiero</v>
      </c>
      <c r="G361" s="437" t="str">
        <f t="shared" si="218"/>
        <v>Paraguay</v>
      </c>
      <c r="H361" s="437">
        <f t="shared" si="218"/>
        <v>10</v>
      </c>
      <c r="I361" s="492">
        <v>785.34</v>
      </c>
      <c r="J361" s="451"/>
      <c r="L361" s="442"/>
      <c r="M361" s="493"/>
      <c r="N361" s="493"/>
      <c r="O361" s="494">
        <f t="shared" si="219"/>
        <v>6.3432869315147411E-2</v>
      </c>
      <c r="P361" s="494">
        <f t="shared" si="219"/>
        <v>6.1977479421427617E-2</v>
      </c>
      <c r="Q361" s="450">
        <f t="shared" si="219"/>
        <v>45959</v>
      </c>
      <c r="R361" s="450">
        <v>46160</v>
      </c>
      <c r="S361" s="509" t="s">
        <v>146</v>
      </c>
      <c r="T361" s="510">
        <f>Tabla33[[#This Row],[Cantidad]]*Tabla33[[#This Row],[Cortes]]</f>
        <v>7853.4000000000005</v>
      </c>
      <c r="U361" s="511">
        <f t="shared" si="209"/>
        <v>7671.5997146882919</v>
      </c>
      <c r="V361" s="511">
        <f t="shared" si="210"/>
        <v>7670.3071646848093</v>
      </c>
      <c r="W361" s="497">
        <f>IF(Tabla33[[#This Row],[Fecha de operación]]=$C$1,0,U361-V361)</f>
        <v>1.2925500034825745</v>
      </c>
      <c r="X361" s="512" t="str">
        <f t="shared" si="216"/>
        <v>Vigente</v>
      </c>
      <c r="Y361" s="498"/>
      <c r="Z361" s="469">
        <f t="shared" si="217"/>
        <v>139</v>
      </c>
      <c r="AA361" s="499">
        <f t="shared" si="220"/>
        <v>0.63842876780373037</v>
      </c>
      <c r="AB361" s="499">
        <f t="shared" si="220"/>
        <v>0.62846247331885308</v>
      </c>
      <c r="AC361" s="469" t="str">
        <f t="shared" si="221"/>
        <v>Familiar CB</v>
      </c>
      <c r="AD361" s="469" t="s">
        <v>454</v>
      </c>
      <c r="AF361" s="444">
        <f>+IF(Tabla33[[#This Row],[Amortización k | cupón de intereses]]="Amortización de K",Tabla33[[#This Row],[Valor Nominal]],0)</f>
        <v>0</v>
      </c>
      <c r="AG361" s="444">
        <f>+IF(AND(Tabla33[[#This Row],[Amortización k | cupón de intereses]]="Cupón de interés",Tabla33[[#This Row],[Estado]]="Vigente"),Tabla33[[#This Row],[Valor Nominal]],0)</f>
        <v>7853.4000000000005</v>
      </c>
      <c r="AH361" s="444">
        <f>+IF(Tabla33[[#This Row],[Amortización k | cupón de intereses]]="Amortización de K",SUMIFS($AG$7:$AG$418,Tabla33[Código Emisión],Tabla33[[#This Row],[Código Emisión]],Tabla33[Fecha de operación],Tabla33[[#This Row],[Fecha de operación]]),0)-Tabla33[[#This Row],[Accrued]]*Tabla33[[#This Row],[Valor Nominal]]</f>
        <v>0</v>
      </c>
      <c r="AI361" s="444">
        <f>+IF(Tabla33[[#This Row],[Amortización k | cupón de intereses]]="Amortización de K",IF(Tabla33[[#This Row],[Precio Clean]]&gt;1,Tabla33[[#This Row],[Valor Nominal]]*(Tabla33[[#This Row],[Precio Clean]]-1),0),0)</f>
        <v>0</v>
      </c>
      <c r="AJ361" s="444">
        <f>+IF(Tabla33[[#This Row],[Amortización k | cupón de intereses]]="Amortización de K",IF(Tabla33[[#This Row],[Precio Clean]]&lt;1,Tabla33[[#This Row],[Valor Nominal]]*(Tabla33[[#This Row],[Precio Clean]]-1),0),0)</f>
        <v>0</v>
      </c>
    </row>
    <row r="362" spans="1:36">
      <c r="A362" s="502"/>
      <c r="B362" s="437" t="str">
        <f t="shared" si="218"/>
        <v>Solar Banco SAECA</v>
      </c>
      <c r="C362" s="437" t="str">
        <f t="shared" si="218"/>
        <v>SAF_6,30%_24082026_AA3115-24_50K</v>
      </c>
      <c r="D362" s="437" t="str">
        <f t="shared" si="218"/>
        <v>CDA</v>
      </c>
      <c r="E362" s="437" t="str">
        <f t="shared" si="218"/>
        <v>Apy</v>
      </c>
      <c r="F362" s="437" t="str">
        <f t="shared" si="218"/>
        <v>Financiero</v>
      </c>
      <c r="G362" s="437" t="str">
        <f t="shared" si="218"/>
        <v>Paraguay</v>
      </c>
      <c r="H362" s="437">
        <f t="shared" si="218"/>
        <v>10</v>
      </c>
      <c r="I362" s="492">
        <v>785.34</v>
      </c>
      <c r="J362" s="451"/>
      <c r="L362" s="442"/>
      <c r="M362" s="493"/>
      <c r="N362" s="493"/>
      <c r="O362" s="494">
        <f t="shared" si="219"/>
        <v>6.3432869315147411E-2</v>
      </c>
      <c r="P362" s="494">
        <f t="shared" si="219"/>
        <v>6.1977479421427617E-2</v>
      </c>
      <c r="Q362" s="450">
        <f t="shared" si="219"/>
        <v>45959</v>
      </c>
      <c r="R362" s="450">
        <v>46069</v>
      </c>
      <c r="S362" s="509" t="s">
        <v>146</v>
      </c>
      <c r="T362" s="510">
        <f>Tabla33[[#This Row],[Cantidad]]*Tabla33[[#This Row],[Cortes]]</f>
        <v>7853.4000000000005</v>
      </c>
      <c r="U362" s="511">
        <f t="shared" si="209"/>
        <v>7790.13815300228</v>
      </c>
      <c r="V362" s="511">
        <f t="shared" si="210"/>
        <v>7788.8256310418983</v>
      </c>
      <c r="W362" s="497">
        <f>IF(Tabla33[[#This Row],[Fecha de operación]]=$C$1,0,U362-V362)</f>
        <v>1.3125219603816731</v>
      </c>
      <c r="X362" s="512" t="str">
        <f t="shared" si="216"/>
        <v>Vigente</v>
      </c>
      <c r="Y362" s="498"/>
      <c r="Z362" s="469">
        <f t="shared" si="217"/>
        <v>48</v>
      </c>
      <c r="AA362" s="499">
        <f t="shared" si="220"/>
        <v>0.63842876780373037</v>
      </c>
      <c r="AB362" s="499">
        <f t="shared" si="220"/>
        <v>0.62846247331885308</v>
      </c>
      <c r="AC362" s="469" t="str">
        <f t="shared" si="221"/>
        <v>Familiar CB</v>
      </c>
      <c r="AD362" s="469" t="s">
        <v>454</v>
      </c>
      <c r="AF362" s="444">
        <f>+IF(Tabla33[[#This Row],[Amortización k | cupón de intereses]]="Amortización de K",Tabla33[[#This Row],[Valor Nominal]],0)</f>
        <v>0</v>
      </c>
      <c r="AG362" s="444">
        <f>+IF(AND(Tabla33[[#This Row],[Amortización k | cupón de intereses]]="Cupón de interés",Tabla33[[#This Row],[Estado]]="Vigente"),Tabla33[[#This Row],[Valor Nominal]],0)</f>
        <v>7853.4000000000005</v>
      </c>
      <c r="AH362" s="444">
        <f>+IF(Tabla33[[#This Row],[Amortización k | cupón de intereses]]="Amortización de K",SUMIFS($AG$7:$AG$418,Tabla33[Código Emisión],Tabla33[[#This Row],[Código Emisión]],Tabla33[Fecha de operación],Tabla33[[#This Row],[Fecha de operación]]),0)-Tabla33[[#This Row],[Accrued]]*Tabla33[[#This Row],[Valor Nominal]]</f>
        <v>0</v>
      </c>
      <c r="AI362" s="444">
        <f>+IF(Tabla33[[#This Row],[Amortización k | cupón de intereses]]="Amortización de K",IF(Tabla33[[#This Row],[Precio Clean]]&gt;1,Tabla33[[#This Row],[Valor Nominal]]*(Tabla33[[#This Row],[Precio Clean]]-1),0),0)</f>
        <v>0</v>
      </c>
      <c r="AJ362" s="444">
        <f>+IF(Tabla33[[#This Row],[Amortización k | cupón de intereses]]="Amortización de K",IF(Tabla33[[#This Row],[Precio Clean]]&lt;1,Tabla33[[#This Row],[Valor Nominal]]*(Tabla33[[#This Row],[Precio Clean]]-1),0),0)</f>
        <v>0</v>
      </c>
    </row>
    <row r="363" spans="1:36">
      <c r="A363" s="502"/>
      <c r="B363" s="437" t="str">
        <f t="shared" si="218"/>
        <v>Solar Banco SAECA</v>
      </c>
      <c r="C363" s="437" t="str">
        <f t="shared" si="218"/>
        <v>SAF_6,30%_24082026_AA3115-24_50K</v>
      </c>
      <c r="D363" s="437" t="str">
        <f t="shared" si="218"/>
        <v>CDA</v>
      </c>
      <c r="E363" s="437" t="str">
        <f t="shared" si="218"/>
        <v>Apy</v>
      </c>
      <c r="F363" s="437" t="str">
        <f t="shared" si="218"/>
        <v>Financiero</v>
      </c>
      <c r="G363" s="437" t="str">
        <f t="shared" si="218"/>
        <v>Paraguay</v>
      </c>
      <c r="H363" s="437">
        <f t="shared" si="218"/>
        <v>10</v>
      </c>
      <c r="I363" s="492">
        <v>785.34</v>
      </c>
      <c r="J363" s="451"/>
      <c r="L363" s="442"/>
      <c r="M363" s="493"/>
      <c r="N363" s="493"/>
      <c r="O363" s="494">
        <f t="shared" si="219"/>
        <v>6.3432869315147411E-2</v>
      </c>
      <c r="P363" s="494">
        <f t="shared" si="219"/>
        <v>6.1977479421427617E-2</v>
      </c>
      <c r="Q363" s="450">
        <f t="shared" si="219"/>
        <v>45959</v>
      </c>
      <c r="R363" s="450">
        <v>45978</v>
      </c>
      <c r="S363" s="509" t="s">
        <v>146</v>
      </c>
      <c r="T363" s="510">
        <f>Tabla33[[#This Row],[Cantidad]]*Tabla33[[#This Row],[Cortes]]</f>
        <v>7853.4000000000005</v>
      </c>
      <c r="U363" s="511" t="b">
        <f t="shared" si="209"/>
        <v>0</v>
      </c>
      <c r="V363" s="511" t="b">
        <f t="shared" si="210"/>
        <v>0</v>
      </c>
      <c r="W363" s="497">
        <f>IF(Tabla33[[#This Row],[Fecha de operación]]=$C$1,0,U363-V363)</f>
        <v>0</v>
      </c>
      <c r="X363" s="512" t="str">
        <f t="shared" si="216"/>
        <v>Vencido</v>
      </c>
      <c r="Y363" s="498"/>
      <c r="Z363" s="469">
        <f t="shared" si="217"/>
        <v>-43</v>
      </c>
      <c r="AA363" s="499">
        <f t="shared" si="220"/>
        <v>0.63842876780373037</v>
      </c>
      <c r="AB363" s="499">
        <f t="shared" si="220"/>
        <v>0.62846247331885308</v>
      </c>
      <c r="AC363" s="469" t="str">
        <f t="shared" si="221"/>
        <v>Familiar CB</v>
      </c>
      <c r="AD363" s="469" t="s">
        <v>454</v>
      </c>
      <c r="AF363" s="444">
        <f>+IF(Tabla33[[#This Row],[Amortización k | cupón de intereses]]="Amortización de K",Tabla33[[#This Row],[Valor Nominal]],0)</f>
        <v>0</v>
      </c>
      <c r="AG363" s="444">
        <f>+IF(AND(Tabla33[[#This Row],[Amortización k | cupón de intereses]]="Cupón de interés",Tabla33[[#This Row],[Estado]]="Vigente"),Tabla33[[#This Row],[Valor Nominal]],0)</f>
        <v>0</v>
      </c>
      <c r="AH363" s="444">
        <f>+IF(Tabla33[[#This Row],[Amortización k | cupón de intereses]]="Amortización de K",SUMIFS($AG$7:$AG$418,Tabla33[Código Emisión],Tabla33[[#This Row],[Código Emisión]],Tabla33[Fecha de operación],Tabla33[[#This Row],[Fecha de operación]]),0)-Tabla33[[#This Row],[Accrued]]*Tabla33[[#This Row],[Valor Nominal]]</f>
        <v>0</v>
      </c>
      <c r="AI363" s="444">
        <f>+IF(Tabla33[[#This Row],[Amortización k | cupón de intereses]]="Amortización de K",IF(Tabla33[[#This Row],[Precio Clean]]&gt;1,Tabla33[[#This Row],[Valor Nominal]]*(Tabla33[[#This Row],[Precio Clean]]-1),0),0)</f>
        <v>0</v>
      </c>
      <c r="AJ363" s="444">
        <f>+IF(Tabla33[[#This Row],[Amortización k | cupón de intereses]]="Amortización de K",IF(Tabla33[[#This Row],[Precio Clean]]&lt;1,Tabla33[[#This Row],[Valor Nominal]]*(Tabla33[[#This Row],[Precio Clean]]-1),0),0)</f>
        <v>0</v>
      </c>
    </row>
    <row r="364" spans="1:36" ht="15">
      <c r="A364" s="500">
        <f>+A359+1</f>
        <v>35</v>
      </c>
      <c r="B364" s="475" t="s">
        <v>494</v>
      </c>
      <c r="C364" s="475" t="s">
        <v>568</v>
      </c>
      <c r="D364" s="475" t="s">
        <v>453</v>
      </c>
      <c r="E364" s="475" t="s">
        <v>496</v>
      </c>
      <c r="F364" s="475" t="s">
        <v>297</v>
      </c>
      <c r="G364" s="475" t="s">
        <v>298</v>
      </c>
      <c r="H364" s="575">
        <v>5</v>
      </c>
      <c r="I364" s="477">
        <v>100000</v>
      </c>
      <c r="J364" s="478">
        <v>6.3E-2</v>
      </c>
      <c r="K364" s="479">
        <v>45943</v>
      </c>
      <c r="L364" s="478">
        <f>+Tabla33[[#This Row],[Tasa de Interés]]*($U$5-Tabla33[[#This Row],[Last coupon]])/365</f>
        <v>1.3463013698630136E-2</v>
      </c>
      <c r="M364" s="480">
        <f>+Tabla33[[#This Row],[Precio Dirty]]-Tabla33[[#This Row],[Accrued]]</f>
        <v>1.0007539140837529</v>
      </c>
      <c r="N364" s="481">
        <f>SUMIFS(U:U,C:C,C364,Q:Q,Q364)/SUMIFS(T:T,C:C,C364,Q:Q,Q364,AD:AD,"Amortización de K")</f>
        <v>1.0142169277823831</v>
      </c>
      <c r="O364" s="482">
        <v>6.3455268740653978E-2</v>
      </c>
      <c r="P364" s="482">
        <v>6.1998868934089124E-2</v>
      </c>
      <c r="Q364" s="484">
        <v>45960</v>
      </c>
      <c r="R364" s="484">
        <v>46314</v>
      </c>
      <c r="S364" s="504" t="s">
        <v>146</v>
      </c>
      <c r="T364" s="505">
        <f>Tabla33[[#This Row],[Cantidad]]*Tabla33[[#This Row],[Cortes]]</f>
        <v>500000</v>
      </c>
      <c r="U364" s="506">
        <f t="shared" si="209"/>
        <v>475906.26185889053</v>
      </c>
      <c r="V364" s="506">
        <f t="shared" si="210"/>
        <v>475826.05130120931</v>
      </c>
      <c r="W364" s="487">
        <f>IF(Tabla33[[#This Row],[Fecha de operación]]=$C$1,0,U364-V364)</f>
        <v>80.210557681217324</v>
      </c>
      <c r="X364" s="507" t="str">
        <f t="shared" si="216"/>
        <v>Vigente</v>
      </c>
      <c r="Y364" s="489" t="s">
        <v>450</v>
      </c>
      <c r="Z364" s="488">
        <f t="shared" si="217"/>
        <v>293</v>
      </c>
      <c r="AA364" s="508">
        <f>IF(Y364="Mensual",DURATION($C$1,$C$1+Z364*12,J364/12,O364/12,1)/12,DURATION($C$1,R364,J364,O364,IF(Y364="Cupón cero",1,IF(Y364="Al vencimiento",1,IF(Y364="Anual",1,IF(Y364="Semestral",2,IF(Y364="Trimestral",4,"")))))))</f>
        <v>0.77975279548552856</v>
      </c>
      <c r="AB364" s="508">
        <f>IF(Y364="Mensual",MDURATION($C$1,$C$1+Z364*12,J364/12,O364/12,1)/12,MDURATION($C$1,R364,J364,O364,IF(Y364="Cupón cero",1,IF(Y364="Al vencimiento",1,IF(Y364="Anual",1,IF(Y364="Semestral",2,IF(Y364="Trimestral",4,"")))))))</f>
        <v>0.76757610842576307</v>
      </c>
      <c r="AC364" s="488" t="s">
        <v>451</v>
      </c>
      <c r="AD364" s="488" t="s">
        <v>452</v>
      </c>
      <c r="AF364" s="444">
        <f>+IF(Tabla33[[#This Row],[Amortización k | cupón de intereses]]="Amortización de K",Tabla33[[#This Row],[Valor Nominal]],0)</f>
        <v>500000</v>
      </c>
      <c r="AG364" s="444">
        <f>+IF(AND(Tabla33[[#This Row],[Amortización k | cupón de intereses]]="Cupón de interés",Tabla33[[#This Row],[Estado]]="Vigente"),Tabla33[[#This Row],[Valor Nominal]],0)</f>
        <v>0</v>
      </c>
      <c r="AH364" s="444">
        <f>+IF(Tabla33[[#This Row],[Amortización k | cupón de intereses]]="Amortización de K",SUMIFS($AG$7:$AG$418,Tabla33[Código Emisión],Tabla33[[#This Row],[Código Emisión]],Tabla33[Fecha de operación],Tabla33[[#This Row],[Fecha de operación]]),0)-Tabla33[[#This Row],[Accrued]]*Tabla33[[#This Row],[Valor Nominal]]</f>
        <v>25286.343150684934</v>
      </c>
      <c r="AI364" s="444">
        <f>+IF(Tabla33[[#This Row],[Amortización k | cupón de intereses]]="Amortización de K",IF(Tabla33[[#This Row],[Precio Clean]]&gt;1,Tabla33[[#This Row],[Valor Nominal]]*(Tabla33[[#This Row],[Precio Clean]]-1),0),0)</f>
        <v>376.95704187645782</v>
      </c>
      <c r="AJ364" s="444">
        <f>+IF(Tabla33[[#This Row],[Amortización k | cupón de intereses]]="Amortización de K",IF(Tabla33[[#This Row],[Precio Clean]]&lt;1,Tabla33[[#This Row],[Valor Nominal]]*(Tabla33[[#This Row],[Precio Clean]]-1),0),0)</f>
        <v>0</v>
      </c>
    </row>
    <row r="365" spans="1:36">
      <c r="A365" s="502"/>
      <c r="B365" s="437" t="str">
        <f t="shared" ref="B365:H368" si="222">+B364</f>
        <v>Solar Banco SAECA</v>
      </c>
      <c r="C365" s="437" t="str">
        <f t="shared" si="222"/>
        <v>SAF_6,30%_19102026_AA3182-86_100K</v>
      </c>
      <c r="D365" s="437" t="str">
        <f t="shared" si="222"/>
        <v>CDA</v>
      </c>
      <c r="E365" s="437" t="str">
        <f t="shared" si="222"/>
        <v>Apy</v>
      </c>
      <c r="F365" s="437" t="str">
        <f t="shared" si="222"/>
        <v>Financiero</v>
      </c>
      <c r="G365" s="437" t="str">
        <f t="shared" si="222"/>
        <v>Paraguay</v>
      </c>
      <c r="H365" s="437">
        <f t="shared" si="222"/>
        <v>5</v>
      </c>
      <c r="I365" s="492">
        <v>1760.57</v>
      </c>
      <c r="J365" s="451"/>
      <c r="L365" s="442"/>
      <c r="M365" s="493"/>
      <c r="N365" s="493"/>
      <c r="O365" s="494">
        <f t="shared" ref="O365:Q368" si="223">+O364</f>
        <v>6.3455268740653978E-2</v>
      </c>
      <c r="P365" s="494">
        <f t="shared" si="223"/>
        <v>6.1998868934089124E-2</v>
      </c>
      <c r="Q365" s="450">
        <f t="shared" si="223"/>
        <v>45960</v>
      </c>
      <c r="R365" s="450">
        <v>46314</v>
      </c>
      <c r="S365" s="509" t="s">
        <v>146</v>
      </c>
      <c r="T365" s="510">
        <f>Tabla33[[#This Row],[Cantidad]]*Tabla33[[#This Row],[Cortes]]</f>
        <v>8802.85</v>
      </c>
      <c r="U365" s="511">
        <f t="shared" si="209"/>
        <v>8378.6628744090704</v>
      </c>
      <c r="V365" s="511">
        <f t="shared" si="210"/>
        <v>8377.2507113937008</v>
      </c>
      <c r="W365" s="497">
        <f>IF(Tabla33[[#This Row],[Fecha de operación]]=$C$1,0,U365-V365)</f>
        <v>1.4121630153695151</v>
      </c>
      <c r="X365" s="512" t="str">
        <f t="shared" si="216"/>
        <v>Vigente</v>
      </c>
      <c r="Y365" s="498"/>
      <c r="Z365" s="469">
        <f t="shared" si="217"/>
        <v>293</v>
      </c>
      <c r="AA365" s="499">
        <f t="shared" ref="AA365:AB368" si="224">AA364</f>
        <v>0.77975279548552856</v>
      </c>
      <c r="AB365" s="499">
        <f t="shared" si="224"/>
        <v>0.76757610842576307</v>
      </c>
      <c r="AC365" s="469" t="str">
        <f t="shared" si="221"/>
        <v>Familiar CB</v>
      </c>
      <c r="AD365" s="469" t="s">
        <v>454</v>
      </c>
      <c r="AF365" s="444">
        <f>+IF(Tabla33[[#This Row],[Amortización k | cupón de intereses]]="Amortización de K",Tabla33[[#This Row],[Valor Nominal]],0)</f>
        <v>0</v>
      </c>
      <c r="AG365" s="444">
        <f>+IF(AND(Tabla33[[#This Row],[Amortización k | cupón de intereses]]="Cupón de interés",Tabla33[[#This Row],[Estado]]="Vigente"),Tabla33[[#This Row],[Valor Nominal]],0)</f>
        <v>8802.85</v>
      </c>
      <c r="AH365" s="444">
        <f>+IF(Tabla33[[#This Row],[Amortización k | cupón de intereses]]="Amortización de K",SUMIFS($AG$7:$AG$418,Tabla33[Código Emisión],Tabla33[[#This Row],[Código Emisión]],Tabla33[Fecha de operación],Tabla33[[#This Row],[Fecha de operación]]),0)-Tabla33[[#This Row],[Accrued]]*Tabla33[[#This Row],[Valor Nominal]]</f>
        <v>0</v>
      </c>
      <c r="AI365" s="444">
        <f>+IF(Tabla33[[#This Row],[Amortización k | cupón de intereses]]="Amortización de K",IF(Tabla33[[#This Row],[Precio Clean]]&gt;1,Tabla33[[#This Row],[Valor Nominal]]*(Tabla33[[#This Row],[Precio Clean]]-1),0),0)</f>
        <v>0</v>
      </c>
      <c r="AJ365" s="444">
        <f>+IF(Tabla33[[#This Row],[Amortización k | cupón de intereses]]="Amortización de K",IF(Tabla33[[#This Row],[Precio Clean]]&lt;1,Tabla33[[#This Row],[Valor Nominal]]*(Tabla33[[#This Row],[Precio Clean]]-1),0),0)</f>
        <v>0</v>
      </c>
    </row>
    <row r="366" spans="1:36">
      <c r="A366" s="502"/>
      <c r="B366" s="437" t="str">
        <f t="shared" si="222"/>
        <v>Solar Banco SAECA</v>
      </c>
      <c r="C366" s="437" t="str">
        <f t="shared" si="222"/>
        <v>SAF_6,30%_19102026_AA3182-86_100K</v>
      </c>
      <c r="D366" s="437" t="str">
        <f t="shared" si="222"/>
        <v>CDA</v>
      </c>
      <c r="E366" s="437" t="str">
        <f t="shared" si="222"/>
        <v>Apy</v>
      </c>
      <c r="F366" s="437" t="str">
        <f t="shared" si="222"/>
        <v>Financiero</v>
      </c>
      <c r="G366" s="437" t="str">
        <f t="shared" si="222"/>
        <v>Paraguay</v>
      </c>
      <c r="H366" s="437">
        <f t="shared" si="222"/>
        <v>5</v>
      </c>
      <c r="I366" s="492">
        <v>1553.42</v>
      </c>
      <c r="J366" s="451"/>
      <c r="L366" s="442"/>
      <c r="M366" s="493"/>
      <c r="N366" s="493"/>
      <c r="O366" s="494">
        <f t="shared" si="223"/>
        <v>6.3455268740653978E-2</v>
      </c>
      <c r="P366" s="494">
        <f t="shared" si="223"/>
        <v>6.1998868934089124E-2</v>
      </c>
      <c r="Q366" s="450">
        <f t="shared" si="223"/>
        <v>45960</v>
      </c>
      <c r="R366" s="450">
        <v>46212</v>
      </c>
      <c r="S366" s="509" t="s">
        <v>146</v>
      </c>
      <c r="T366" s="510">
        <f>Tabla33[[#This Row],[Cantidad]]*Tabla33[[#This Row],[Cortes]]</f>
        <v>7767.1</v>
      </c>
      <c r="U366" s="511">
        <f t="shared" si="209"/>
        <v>7521.0253839196384</v>
      </c>
      <c r="V366" s="511">
        <f t="shared" si="210"/>
        <v>7519.7577694990532</v>
      </c>
      <c r="W366" s="497">
        <f>IF(Tabla33[[#This Row],[Fecha de operación]]=$C$1,0,U366-V366)</f>
        <v>1.2676144205852324</v>
      </c>
      <c r="X366" s="512" t="str">
        <f t="shared" si="216"/>
        <v>Vigente</v>
      </c>
      <c r="Y366" s="498"/>
      <c r="Z366" s="469">
        <f t="shared" si="217"/>
        <v>191</v>
      </c>
      <c r="AA366" s="499">
        <f t="shared" si="224"/>
        <v>0.77975279548552856</v>
      </c>
      <c r="AB366" s="499">
        <f t="shared" si="224"/>
        <v>0.76757610842576307</v>
      </c>
      <c r="AC366" s="469" t="str">
        <f t="shared" si="221"/>
        <v>Familiar CB</v>
      </c>
      <c r="AD366" s="469" t="s">
        <v>454</v>
      </c>
      <c r="AF366" s="444">
        <f>+IF(Tabla33[[#This Row],[Amortización k | cupón de intereses]]="Amortización de K",Tabla33[[#This Row],[Valor Nominal]],0)</f>
        <v>0</v>
      </c>
      <c r="AG366" s="444">
        <f>+IF(AND(Tabla33[[#This Row],[Amortización k | cupón de intereses]]="Cupón de interés",Tabla33[[#This Row],[Estado]]="Vigente"),Tabla33[[#This Row],[Valor Nominal]],0)</f>
        <v>7767.1</v>
      </c>
      <c r="AH366" s="444">
        <f>+IF(Tabla33[[#This Row],[Amortización k | cupón de intereses]]="Amortización de K",SUMIFS($AG$7:$AG$418,Tabla33[Código Emisión],Tabla33[[#This Row],[Código Emisión]],Tabla33[Fecha de operación],Tabla33[[#This Row],[Fecha de operación]]),0)-Tabla33[[#This Row],[Accrued]]*Tabla33[[#This Row],[Valor Nominal]]</f>
        <v>0</v>
      </c>
      <c r="AI366" s="444">
        <f>+IF(Tabla33[[#This Row],[Amortización k | cupón de intereses]]="Amortización de K",IF(Tabla33[[#This Row],[Precio Clean]]&gt;1,Tabla33[[#This Row],[Valor Nominal]]*(Tabla33[[#This Row],[Precio Clean]]-1),0),0)</f>
        <v>0</v>
      </c>
      <c r="AJ366" s="444">
        <f>+IF(Tabla33[[#This Row],[Amortización k | cupón de intereses]]="Amortización de K",IF(Tabla33[[#This Row],[Precio Clean]]&lt;1,Tabla33[[#This Row],[Valor Nominal]]*(Tabla33[[#This Row],[Precio Clean]]-1),0),0)</f>
        <v>0</v>
      </c>
    </row>
    <row r="367" spans="1:36">
      <c r="A367" s="502"/>
      <c r="B367" s="437" t="str">
        <f t="shared" si="222"/>
        <v>Solar Banco SAECA</v>
      </c>
      <c r="C367" s="437" t="str">
        <f t="shared" si="222"/>
        <v>SAF_6,30%_19102026_AA3182-86_100K</v>
      </c>
      <c r="D367" s="437" t="str">
        <f t="shared" si="222"/>
        <v>CDA</v>
      </c>
      <c r="E367" s="437" t="str">
        <f t="shared" si="222"/>
        <v>Apy</v>
      </c>
      <c r="F367" s="437" t="str">
        <f t="shared" si="222"/>
        <v>Financiero</v>
      </c>
      <c r="G367" s="437" t="str">
        <f t="shared" si="222"/>
        <v>Paraguay</v>
      </c>
      <c r="H367" s="437">
        <f t="shared" si="222"/>
        <v>5</v>
      </c>
      <c r="I367" s="492">
        <v>1518.9</v>
      </c>
      <c r="J367" s="451"/>
      <c r="L367" s="442"/>
      <c r="M367" s="493"/>
      <c r="N367" s="493"/>
      <c r="O367" s="494">
        <f t="shared" si="223"/>
        <v>6.3455268740653978E-2</v>
      </c>
      <c r="P367" s="494">
        <f t="shared" si="223"/>
        <v>6.1998868934089124E-2</v>
      </c>
      <c r="Q367" s="450">
        <f t="shared" si="223"/>
        <v>45960</v>
      </c>
      <c r="R367" s="450">
        <v>46122</v>
      </c>
      <c r="S367" s="509" t="s">
        <v>146</v>
      </c>
      <c r="T367" s="510">
        <f>Tabla33[[#This Row],[Cantidad]]*Tabla33[[#This Row],[Cortes]]</f>
        <v>7594.5</v>
      </c>
      <c r="U367" s="511">
        <f t="shared" si="209"/>
        <v>7466.3036226376444</v>
      </c>
      <c r="V367" s="511">
        <f t="shared" si="210"/>
        <v>7465.0452311740592</v>
      </c>
      <c r="W367" s="497">
        <f>IF(Tabla33[[#This Row],[Fecha de operación]]=$C$1,0,U367-V367)</f>
        <v>1.2583914635852125</v>
      </c>
      <c r="X367" s="512" t="str">
        <f t="shared" si="216"/>
        <v>Vigente</v>
      </c>
      <c r="Y367" s="498"/>
      <c r="Z367" s="469">
        <f t="shared" si="217"/>
        <v>101</v>
      </c>
      <c r="AA367" s="499">
        <f t="shared" si="224"/>
        <v>0.77975279548552856</v>
      </c>
      <c r="AB367" s="499">
        <f t="shared" si="224"/>
        <v>0.76757610842576307</v>
      </c>
      <c r="AC367" s="469" t="str">
        <f t="shared" si="221"/>
        <v>Familiar CB</v>
      </c>
      <c r="AD367" s="469" t="s">
        <v>454</v>
      </c>
      <c r="AF367" s="444">
        <f>+IF(Tabla33[[#This Row],[Amortización k | cupón de intereses]]="Amortización de K",Tabla33[[#This Row],[Valor Nominal]],0)</f>
        <v>0</v>
      </c>
      <c r="AG367" s="444">
        <f>+IF(AND(Tabla33[[#This Row],[Amortización k | cupón de intereses]]="Cupón de interés",Tabla33[[#This Row],[Estado]]="Vigente"),Tabla33[[#This Row],[Valor Nominal]],0)</f>
        <v>7594.5</v>
      </c>
      <c r="AH367" s="444">
        <f>+IF(Tabla33[[#This Row],[Amortización k | cupón de intereses]]="Amortización de K",SUMIFS($AG$7:$AG$418,Tabla33[Código Emisión],Tabla33[[#This Row],[Código Emisión]],Tabla33[Fecha de operación],Tabla33[[#This Row],[Fecha de operación]]),0)-Tabla33[[#This Row],[Accrued]]*Tabla33[[#This Row],[Valor Nominal]]</f>
        <v>0</v>
      </c>
      <c r="AI367" s="444">
        <f>+IF(Tabla33[[#This Row],[Amortización k | cupón de intereses]]="Amortización de K",IF(Tabla33[[#This Row],[Precio Clean]]&gt;1,Tabla33[[#This Row],[Valor Nominal]]*(Tabla33[[#This Row],[Precio Clean]]-1),0),0)</f>
        <v>0</v>
      </c>
      <c r="AJ367" s="444">
        <f>+IF(Tabla33[[#This Row],[Amortización k | cupón de intereses]]="Amortización de K",IF(Tabla33[[#This Row],[Precio Clean]]&lt;1,Tabla33[[#This Row],[Valor Nominal]]*(Tabla33[[#This Row],[Precio Clean]]-1),0),0)</f>
        <v>0</v>
      </c>
    </row>
    <row r="368" spans="1:36">
      <c r="A368" s="502"/>
      <c r="B368" s="437" t="str">
        <f t="shared" si="222"/>
        <v>Solar Banco SAECA</v>
      </c>
      <c r="C368" s="437" t="str">
        <f t="shared" si="222"/>
        <v>SAF_6,30%_19102026_AA3182-86_100K</v>
      </c>
      <c r="D368" s="437" t="str">
        <f t="shared" si="222"/>
        <v>CDA</v>
      </c>
      <c r="E368" s="437" t="str">
        <f t="shared" si="222"/>
        <v>Apy</v>
      </c>
      <c r="F368" s="437" t="str">
        <f t="shared" si="222"/>
        <v>Financiero</v>
      </c>
      <c r="G368" s="437" t="str">
        <f t="shared" si="222"/>
        <v>Paraguay</v>
      </c>
      <c r="H368" s="437">
        <f t="shared" si="222"/>
        <v>5</v>
      </c>
      <c r="I368" s="492">
        <v>1570.68</v>
      </c>
      <c r="J368" s="451"/>
      <c r="L368" s="442"/>
      <c r="M368" s="493"/>
      <c r="N368" s="493"/>
      <c r="O368" s="494">
        <f t="shared" si="223"/>
        <v>6.3455268740653978E-2</v>
      </c>
      <c r="P368" s="494">
        <f t="shared" si="223"/>
        <v>6.1998868934089124E-2</v>
      </c>
      <c r="Q368" s="450">
        <f t="shared" si="223"/>
        <v>45960</v>
      </c>
      <c r="R368" s="450">
        <v>46034</v>
      </c>
      <c r="S368" s="509" t="s">
        <v>146</v>
      </c>
      <c r="T368" s="510">
        <f>Tabla33[[#This Row],[Cantidad]]*Tabla33[[#This Row],[Cortes]]</f>
        <v>7853.4000000000005</v>
      </c>
      <c r="U368" s="511">
        <f t="shared" si="209"/>
        <v>7836.2101513346825</v>
      </c>
      <c r="V368" s="511">
        <f t="shared" si="210"/>
        <v>7834.889414801627</v>
      </c>
      <c r="W368" s="497">
        <f>IF(Tabla33[[#This Row],[Fecha de operación]]=$C$1,0,U368-V368)</f>
        <v>1.3207365330554239</v>
      </c>
      <c r="X368" s="512" t="str">
        <f t="shared" si="216"/>
        <v>Vigente</v>
      </c>
      <c r="Y368" s="498"/>
      <c r="Z368" s="469">
        <f t="shared" si="217"/>
        <v>13</v>
      </c>
      <c r="AA368" s="499">
        <f t="shared" si="224"/>
        <v>0.77975279548552856</v>
      </c>
      <c r="AB368" s="499">
        <f t="shared" si="224"/>
        <v>0.76757610842576307</v>
      </c>
      <c r="AC368" s="469" t="str">
        <f t="shared" si="221"/>
        <v>Familiar CB</v>
      </c>
      <c r="AD368" s="469" t="s">
        <v>454</v>
      </c>
      <c r="AF368" s="444">
        <f>+IF(Tabla33[[#This Row],[Amortización k | cupón de intereses]]="Amortización de K",Tabla33[[#This Row],[Valor Nominal]],0)</f>
        <v>0</v>
      </c>
      <c r="AG368" s="444">
        <f>+IF(AND(Tabla33[[#This Row],[Amortización k | cupón de intereses]]="Cupón de interés",Tabla33[[#This Row],[Estado]]="Vigente"),Tabla33[[#This Row],[Valor Nominal]],0)</f>
        <v>7853.4000000000005</v>
      </c>
      <c r="AH368" s="444">
        <f>+IF(Tabla33[[#This Row],[Amortización k | cupón de intereses]]="Amortización de K",SUMIFS($AG$7:$AG$418,Tabla33[Código Emisión],Tabla33[[#This Row],[Código Emisión]],Tabla33[Fecha de operación],Tabla33[[#This Row],[Fecha de operación]]),0)-Tabla33[[#This Row],[Accrued]]*Tabla33[[#This Row],[Valor Nominal]]</f>
        <v>0</v>
      </c>
      <c r="AI368" s="444">
        <f>+IF(Tabla33[[#This Row],[Amortización k | cupón de intereses]]="Amortización de K",IF(Tabla33[[#This Row],[Precio Clean]]&gt;1,Tabla33[[#This Row],[Valor Nominal]]*(Tabla33[[#This Row],[Precio Clean]]-1),0),0)</f>
        <v>0</v>
      </c>
      <c r="AJ368" s="444">
        <f>+IF(Tabla33[[#This Row],[Amortización k | cupón de intereses]]="Amortización de K",IF(Tabla33[[#This Row],[Precio Clean]]&lt;1,Tabla33[[#This Row],[Valor Nominal]]*(Tabla33[[#This Row],[Precio Clean]]-1),0),0)</f>
        <v>0</v>
      </c>
    </row>
    <row r="369" spans="1:36" ht="15">
      <c r="A369" s="500">
        <f>+A364+1</f>
        <v>36</v>
      </c>
      <c r="B369" s="475" t="s">
        <v>494</v>
      </c>
      <c r="C369" s="475" t="s">
        <v>569</v>
      </c>
      <c r="D369" s="475" t="s">
        <v>453</v>
      </c>
      <c r="E369" s="475" t="s">
        <v>496</v>
      </c>
      <c r="F369" s="475" t="s">
        <v>297</v>
      </c>
      <c r="G369" s="475" t="s">
        <v>298</v>
      </c>
      <c r="H369" s="575">
        <v>2</v>
      </c>
      <c r="I369" s="477">
        <v>50000</v>
      </c>
      <c r="J369" s="478">
        <v>6.2E-2</v>
      </c>
      <c r="K369" s="479">
        <f>_xlfn.MAXIFS(R:R,C:C,C369,AD:AD,"Cupón de interés",X:X,"Vencido")</f>
        <v>46007</v>
      </c>
      <c r="L369" s="478">
        <f>+Tabla33[[#This Row],[Tasa de Interés]]*($U$5-Tabla33[[#This Row],[Last coupon]])/365</f>
        <v>2.3780821917808218E-3</v>
      </c>
      <c r="M369" s="480">
        <f>+Tabla33[[#This Row],[Precio Dirty]]-Tabla33[[#This Row],[Accrued]]</f>
        <v>1.0000004676406868</v>
      </c>
      <c r="N369" s="481">
        <f>SUMIFS(U:U,C:C,C369,Q:Q,Q369)/SUMIFS(T:T,C:C,C369,Q:Q,Q369,AD:AD,"Amortización de K")</f>
        <v>1.0023785498324678</v>
      </c>
      <c r="O369" s="482">
        <v>6.3420346379280082E-2</v>
      </c>
      <c r="P369" s="482">
        <v>6.196552095428487E-2</v>
      </c>
      <c r="Q369" s="484">
        <v>45960</v>
      </c>
      <c r="R369" s="484">
        <v>46287</v>
      </c>
      <c r="S369" s="504" t="s">
        <v>146</v>
      </c>
      <c r="T369" s="505">
        <f>Tabla33[[#This Row],[Cantidad]]*Tabla33[[#This Row],[Cortes]]</f>
        <v>100000</v>
      </c>
      <c r="U369" s="506">
        <f t="shared" si="209"/>
        <v>95617.701382252984</v>
      </c>
      <c r="V369" s="506">
        <f t="shared" si="210"/>
        <v>95601.594311686596</v>
      </c>
      <c r="W369" s="487">
        <f>IF(Tabla33[[#This Row],[Fecha de operación]]=$C$1,0,U369-V369)</f>
        <v>16.107070566387847</v>
      </c>
      <c r="X369" s="507" t="str">
        <f t="shared" si="216"/>
        <v>Vigente</v>
      </c>
      <c r="Y369" s="489" t="s">
        <v>450</v>
      </c>
      <c r="Z369" s="488">
        <f t="shared" si="217"/>
        <v>266</v>
      </c>
      <c r="AA369" s="508">
        <f>IF(Y369="Mensual",DURATION($C$1,$C$1+Z369*12,J369/12,O369/12,1)/12,DURATION($C$1,R369,J369,O369,IF(Y369="Cupón cero",1,IF(Y369="Al vencimiento",1,IF(Y369="Anual",1,IF(Y369="Semestral",2,IF(Y369="Trimestral",4,"")))))))</f>
        <v>0.71638198757595395</v>
      </c>
      <c r="AB369" s="508">
        <f>IF(Y369="Mensual",MDURATION($C$1,$C$1+Z369*12,J369/12,O369/12,1)/12,MDURATION($C$1,R369,J369,O369,IF(Y369="Cupón cero",1,IF(Y369="Al vencimiento",1,IF(Y369="Anual",1,IF(Y369="Semestral",2,IF(Y369="Trimestral",4,"")))))))</f>
        <v>0.70520096520586439</v>
      </c>
      <c r="AC369" s="488" t="s">
        <v>451</v>
      </c>
      <c r="AD369" s="488" t="s">
        <v>452</v>
      </c>
      <c r="AF369" s="444">
        <f>+IF(Tabla33[[#This Row],[Amortización k | cupón de intereses]]="Amortización de K",Tabla33[[#This Row],[Valor Nominal]],0)</f>
        <v>100000</v>
      </c>
      <c r="AG369" s="444">
        <f>+IF(AND(Tabla33[[#This Row],[Amortización k | cupón de intereses]]="Cupón de interés",Tabla33[[#This Row],[Estado]]="Vigente"),Tabla33[[#This Row],[Valor Nominal]],0)</f>
        <v>0</v>
      </c>
      <c r="AH369" s="444">
        <f>+IF(Tabla33[[#This Row],[Amortización k | cupón de intereses]]="Amortización de K",SUMIFS($AG$7:$AG$418,Tabla33[Código Emisión],Tabla33[[#This Row],[Código Emisión]],Tabla33[Fecha de operación],Tabla33[[#This Row],[Fecha de operación]]),0)-Tabla33[[#This Row],[Accrued]]*Tabla33[[#This Row],[Valor Nominal]]</f>
        <v>4518.371780821918</v>
      </c>
      <c r="AI369" s="444">
        <f>+IF(Tabla33[[#This Row],[Amortización k | cupón de intereses]]="Amortización de K",IF(Tabla33[[#This Row],[Precio Clean]]&gt;1,Tabla33[[#This Row],[Valor Nominal]]*(Tabla33[[#This Row],[Precio Clean]]-1),0),0)</f>
        <v>4.6764068684090887E-2</v>
      </c>
      <c r="AJ369" s="444">
        <f>+IF(Tabla33[[#This Row],[Amortización k | cupón de intereses]]="Amortización de K",IF(Tabla33[[#This Row],[Precio Clean]]&lt;1,Tabla33[[#This Row],[Valor Nominal]]*(Tabla33[[#This Row],[Precio Clean]]-1),0),0)</f>
        <v>0</v>
      </c>
    </row>
    <row r="370" spans="1:36">
      <c r="A370" s="502"/>
      <c r="B370" s="437" t="str">
        <f t="shared" ref="B370:H373" si="225">+B369</f>
        <v>Solar Banco SAECA</v>
      </c>
      <c r="C370" s="437" t="str">
        <f t="shared" si="225"/>
        <v>SAF_6,20%_22092026_AA3164-68_50K</v>
      </c>
      <c r="D370" s="437" t="str">
        <f t="shared" si="225"/>
        <v>CDA</v>
      </c>
      <c r="E370" s="437" t="str">
        <f t="shared" si="225"/>
        <v>Apy</v>
      </c>
      <c r="F370" s="437" t="str">
        <f t="shared" si="225"/>
        <v>Financiero</v>
      </c>
      <c r="G370" s="437" t="str">
        <f t="shared" si="225"/>
        <v>Paraguay</v>
      </c>
      <c r="H370" s="437">
        <f t="shared" si="225"/>
        <v>2</v>
      </c>
      <c r="I370" s="492">
        <v>840.83</v>
      </c>
      <c r="J370" s="451"/>
      <c r="L370" s="442"/>
      <c r="M370" s="493"/>
      <c r="N370" s="493"/>
      <c r="O370" s="494">
        <f t="shared" ref="O370:Q373" si="226">+O369</f>
        <v>6.3420346379280082E-2</v>
      </c>
      <c r="P370" s="494">
        <f t="shared" si="226"/>
        <v>6.196552095428487E-2</v>
      </c>
      <c r="Q370" s="450">
        <f t="shared" si="226"/>
        <v>45960</v>
      </c>
      <c r="R370" s="450">
        <v>46287</v>
      </c>
      <c r="S370" s="509" t="s">
        <v>146</v>
      </c>
      <c r="T370" s="510">
        <f>Tabla33[[#This Row],[Cantidad]]*Tabla33[[#This Row],[Cortes]]</f>
        <v>1681.66</v>
      </c>
      <c r="U370" s="511">
        <f t="shared" si="209"/>
        <v>1607.9646370647954</v>
      </c>
      <c r="V370" s="511">
        <f t="shared" si="210"/>
        <v>1607.6937709019089</v>
      </c>
      <c r="W370" s="497">
        <f>IF(Tabla33[[#This Row],[Fecha de operación]]=$C$1,0,U370-V370)</f>
        <v>0.27086616288647747</v>
      </c>
      <c r="X370" s="512" t="str">
        <f t="shared" si="216"/>
        <v>Vigente</v>
      </c>
      <c r="Y370" s="498"/>
      <c r="Z370" s="469">
        <f t="shared" si="217"/>
        <v>266</v>
      </c>
      <c r="AA370" s="499">
        <f t="shared" ref="AA370:AB373" si="227">AA369</f>
        <v>0.71638198757595395</v>
      </c>
      <c r="AB370" s="499">
        <f t="shared" si="227"/>
        <v>0.70520096520586439</v>
      </c>
      <c r="AC370" s="469" t="str">
        <f t="shared" si="221"/>
        <v>Familiar CB</v>
      </c>
      <c r="AD370" s="469" t="s">
        <v>454</v>
      </c>
      <c r="AF370" s="444">
        <f>+IF(Tabla33[[#This Row],[Amortización k | cupón de intereses]]="Amortización de K",Tabla33[[#This Row],[Valor Nominal]],0)</f>
        <v>0</v>
      </c>
      <c r="AG370" s="444">
        <f>+IF(AND(Tabla33[[#This Row],[Amortización k | cupón de intereses]]="Cupón de interés",Tabla33[[#This Row],[Estado]]="Vigente"),Tabla33[[#This Row],[Valor Nominal]],0)</f>
        <v>1681.66</v>
      </c>
      <c r="AH370" s="444">
        <f>+IF(Tabla33[[#This Row],[Amortización k | cupón de intereses]]="Amortización de K",SUMIFS($AG$7:$AG$418,Tabla33[Código Emisión],Tabla33[[#This Row],[Código Emisión]],Tabla33[Fecha de operación],Tabla33[[#This Row],[Fecha de operación]]),0)-Tabla33[[#This Row],[Accrued]]*Tabla33[[#This Row],[Valor Nominal]]</f>
        <v>0</v>
      </c>
      <c r="AI370" s="444">
        <f>+IF(Tabla33[[#This Row],[Amortización k | cupón de intereses]]="Amortización de K",IF(Tabla33[[#This Row],[Precio Clean]]&gt;1,Tabla33[[#This Row],[Valor Nominal]]*(Tabla33[[#This Row],[Precio Clean]]-1),0),0)</f>
        <v>0</v>
      </c>
      <c r="AJ370" s="444">
        <f>+IF(Tabla33[[#This Row],[Amortización k | cupón de intereses]]="Amortización de K",IF(Tabla33[[#This Row],[Precio Clean]]&lt;1,Tabla33[[#This Row],[Valor Nominal]]*(Tabla33[[#This Row],[Precio Clean]]-1),0),0)</f>
        <v>0</v>
      </c>
    </row>
    <row r="371" spans="1:36">
      <c r="A371" s="502"/>
      <c r="B371" s="437" t="str">
        <f t="shared" si="225"/>
        <v>Solar Banco SAECA</v>
      </c>
      <c r="C371" s="437" t="str">
        <f t="shared" si="225"/>
        <v>SAF_6,20%_22092026_AA3164-68_50K</v>
      </c>
      <c r="D371" s="437" t="str">
        <f t="shared" si="225"/>
        <v>CDA</v>
      </c>
      <c r="E371" s="437" t="str">
        <f t="shared" si="225"/>
        <v>Apy</v>
      </c>
      <c r="F371" s="437" t="str">
        <f t="shared" si="225"/>
        <v>Financiero</v>
      </c>
      <c r="G371" s="437" t="str">
        <f t="shared" si="225"/>
        <v>Paraguay</v>
      </c>
      <c r="H371" s="437">
        <f t="shared" si="225"/>
        <v>2</v>
      </c>
      <c r="I371" s="492">
        <v>772.88</v>
      </c>
      <c r="J371" s="451"/>
      <c r="L371" s="442"/>
      <c r="M371" s="493"/>
      <c r="N371" s="493"/>
      <c r="O371" s="494">
        <f t="shared" si="226"/>
        <v>6.3420346379280082E-2</v>
      </c>
      <c r="P371" s="494">
        <f t="shared" si="226"/>
        <v>6.196552095428487E-2</v>
      </c>
      <c r="Q371" s="450">
        <f t="shared" si="226"/>
        <v>45960</v>
      </c>
      <c r="R371" s="450">
        <v>46188</v>
      </c>
      <c r="S371" s="509" t="s">
        <v>146</v>
      </c>
      <c r="T371" s="510">
        <f>Tabla33[[#This Row],[Cantidad]]*Tabla33[[#This Row],[Cortes]]</f>
        <v>1545.76</v>
      </c>
      <c r="U371" s="511">
        <f t="shared" si="209"/>
        <v>1502.8776591416322</v>
      </c>
      <c r="V371" s="511">
        <f t="shared" si="210"/>
        <v>1502.6244951755623</v>
      </c>
      <c r="W371" s="497">
        <f>IF(Tabla33[[#This Row],[Fecha de operación]]=$C$1,0,U371-V371)</f>
        <v>0.25316396606990565</v>
      </c>
      <c r="X371" s="512" t="str">
        <f t="shared" si="216"/>
        <v>Vigente</v>
      </c>
      <c r="Y371" s="498"/>
      <c r="Z371" s="469">
        <f t="shared" si="217"/>
        <v>167</v>
      </c>
      <c r="AA371" s="499">
        <f t="shared" si="227"/>
        <v>0.71638198757595395</v>
      </c>
      <c r="AB371" s="499">
        <f t="shared" si="227"/>
        <v>0.70520096520586439</v>
      </c>
      <c r="AC371" s="469" t="str">
        <f t="shared" si="221"/>
        <v>Familiar CB</v>
      </c>
      <c r="AD371" s="469" t="s">
        <v>454</v>
      </c>
      <c r="AF371" s="444">
        <f>+IF(Tabla33[[#This Row],[Amortización k | cupón de intereses]]="Amortización de K",Tabla33[[#This Row],[Valor Nominal]],0)</f>
        <v>0</v>
      </c>
      <c r="AG371" s="444">
        <f>+IF(AND(Tabla33[[#This Row],[Amortización k | cupón de intereses]]="Cupón de interés",Tabla33[[#This Row],[Estado]]="Vigente"),Tabla33[[#This Row],[Valor Nominal]],0)</f>
        <v>1545.76</v>
      </c>
      <c r="AH371" s="444">
        <f>+IF(Tabla33[[#This Row],[Amortización k | cupón de intereses]]="Amortización de K",SUMIFS($AG$7:$AG$418,Tabla33[Código Emisión],Tabla33[[#This Row],[Código Emisión]],Tabla33[Fecha de operación],Tabla33[[#This Row],[Fecha de operación]]),0)-Tabla33[[#This Row],[Accrued]]*Tabla33[[#This Row],[Valor Nominal]]</f>
        <v>0</v>
      </c>
      <c r="AI371" s="444">
        <f>+IF(Tabla33[[#This Row],[Amortización k | cupón de intereses]]="Amortización de K",IF(Tabla33[[#This Row],[Precio Clean]]&gt;1,Tabla33[[#This Row],[Valor Nominal]]*(Tabla33[[#This Row],[Precio Clean]]-1),0),0)</f>
        <v>0</v>
      </c>
      <c r="AJ371" s="444">
        <f>+IF(Tabla33[[#This Row],[Amortización k | cupón de intereses]]="Amortización de K",IF(Tabla33[[#This Row],[Precio Clean]]&lt;1,Tabla33[[#This Row],[Valor Nominal]]*(Tabla33[[#This Row],[Precio Clean]]-1),0),0)</f>
        <v>0</v>
      </c>
    </row>
    <row r="372" spans="1:36">
      <c r="A372" s="502"/>
      <c r="B372" s="437" t="str">
        <f t="shared" si="225"/>
        <v>Solar Banco SAECA</v>
      </c>
      <c r="C372" s="437" t="str">
        <f t="shared" si="225"/>
        <v>SAF_6,20%_22092026_AA3164-68_50K</v>
      </c>
      <c r="D372" s="437" t="str">
        <f t="shared" si="225"/>
        <v>CDA</v>
      </c>
      <c r="E372" s="437" t="str">
        <f t="shared" si="225"/>
        <v>Apy</v>
      </c>
      <c r="F372" s="437" t="str">
        <f t="shared" si="225"/>
        <v>Financiero</v>
      </c>
      <c r="G372" s="437" t="str">
        <f t="shared" si="225"/>
        <v>Paraguay</v>
      </c>
      <c r="H372" s="437">
        <f t="shared" si="225"/>
        <v>2</v>
      </c>
      <c r="I372" s="492">
        <v>764.38</v>
      </c>
      <c r="J372" s="451"/>
      <c r="L372" s="442"/>
      <c r="M372" s="493"/>
      <c r="N372" s="493"/>
      <c r="O372" s="494">
        <f t="shared" si="226"/>
        <v>6.3420346379280082E-2</v>
      </c>
      <c r="P372" s="494">
        <f t="shared" si="226"/>
        <v>6.196552095428487E-2</v>
      </c>
      <c r="Q372" s="450">
        <f t="shared" si="226"/>
        <v>45960</v>
      </c>
      <c r="R372" s="450">
        <v>46097</v>
      </c>
      <c r="S372" s="509" t="s">
        <v>146</v>
      </c>
      <c r="T372" s="510">
        <f>Tabla33[[#This Row],[Cantidad]]*Tabla33[[#This Row],[Cortes]]</f>
        <v>1528.76</v>
      </c>
      <c r="U372" s="511">
        <f t="shared" si="209"/>
        <v>1509.3113047873569</v>
      </c>
      <c r="V372" s="511">
        <f t="shared" si="210"/>
        <v>1509.0570570555938</v>
      </c>
      <c r="W372" s="497">
        <f>IF(Tabla33[[#This Row],[Fecha de operación]]=$C$1,0,U372-V372)</f>
        <v>0.25424773176314375</v>
      </c>
      <c r="X372" s="512" t="str">
        <f t="shared" si="216"/>
        <v>Vigente</v>
      </c>
      <c r="Y372" s="498"/>
      <c r="Z372" s="469">
        <f t="shared" si="217"/>
        <v>76</v>
      </c>
      <c r="AA372" s="499">
        <f t="shared" si="227"/>
        <v>0.71638198757595395</v>
      </c>
      <c r="AB372" s="499">
        <f t="shared" si="227"/>
        <v>0.70520096520586439</v>
      </c>
      <c r="AC372" s="469" t="str">
        <f t="shared" si="221"/>
        <v>Familiar CB</v>
      </c>
      <c r="AD372" s="469" t="s">
        <v>454</v>
      </c>
      <c r="AF372" s="444">
        <f>+IF(Tabla33[[#This Row],[Amortización k | cupón de intereses]]="Amortización de K",Tabla33[[#This Row],[Valor Nominal]],0)</f>
        <v>0</v>
      </c>
      <c r="AG372" s="444">
        <f>+IF(AND(Tabla33[[#This Row],[Amortización k | cupón de intereses]]="Cupón de interés",Tabla33[[#This Row],[Estado]]="Vigente"),Tabla33[[#This Row],[Valor Nominal]],0)</f>
        <v>1528.76</v>
      </c>
      <c r="AH372" s="444">
        <f>+IF(Tabla33[[#This Row],[Amortización k | cupón de intereses]]="Amortización de K",SUMIFS($AG$7:$AG$418,Tabla33[Código Emisión],Tabla33[[#This Row],[Código Emisión]],Tabla33[Fecha de operación],Tabla33[[#This Row],[Fecha de operación]]),0)-Tabla33[[#This Row],[Accrued]]*Tabla33[[#This Row],[Valor Nominal]]</f>
        <v>0</v>
      </c>
      <c r="AI372" s="444">
        <f>+IF(Tabla33[[#This Row],[Amortización k | cupón de intereses]]="Amortización de K",IF(Tabla33[[#This Row],[Precio Clean]]&gt;1,Tabla33[[#This Row],[Valor Nominal]]*(Tabla33[[#This Row],[Precio Clean]]-1),0),0)</f>
        <v>0</v>
      </c>
      <c r="AJ372" s="444">
        <f>+IF(Tabla33[[#This Row],[Amortización k | cupón de intereses]]="Amortización de K",IF(Tabla33[[#This Row],[Precio Clean]]&lt;1,Tabla33[[#This Row],[Valor Nominal]]*(Tabla33[[#This Row],[Precio Clean]]-1),0),0)</f>
        <v>0</v>
      </c>
    </row>
    <row r="373" spans="1:36">
      <c r="A373" s="502"/>
      <c r="B373" s="437" t="str">
        <f t="shared" si="225"/>
        <v>Solar Banco SAECA</v>
      </c>
      <c r="C373" s="437" t="str">
        <f t="shared" si="225"/>
        <v>SAF_6,20%_22092026_AA3164-68_50K</v>
      </c>
      <c r="D373" s="437" t="str">
        <f t="shared" si="225"/>
        <v>CDA</v>
      </c>
      <c r="E373" s="437" t="str">
        <f t="shared" si="225"/>
        <v>Apy</v>
      </c>
      <c r="F373" s="437" t="str">
        <f t="shared" si="225"/>
        <v>Financiero</v>
      </c>
      <c r="G373" s="437" t="str">
        <f t="shared" si="225"/>
        <v>Paraguay</v>
      </c>
      <c r="H373" s="437">
        <f t="shared" si="225"/>
        <v>2</v>
      </c>
      <c r="I373" s="492">
        <v>764.38</v>
      </c>
      <c r="J373" s="451"/>
      <c r="L373" s="442"/>
      <c r="M373" s="493"/>
      <c r="N373" s="493"/>
      <c r="O373" s="494">
        <f t="shared" si="226"/>
        <v>6.3420346379280082E-2</v>
      </c>
      <c r="P373" s="494">
        <f t="shared" si="226"/>
        <v>6.196552095428487E-2</v>
      </c>
      <c r="Q373" s="450">
        <f t="shared" si="226"/>
        <v>45960</v>
      </c>
      <c r="R373" s="450">
        <v>46007</v>
      </c>
      <c r="S373" s="509" t="s">
        <v>146</v>
      </c>
      <c r="T373" s="510">
        <f>Tabla33[[#This Row],[Cantidad]]*Tabla33[[#This Row],[Cortes]]</f>
        <v>1528.76</v>
      </c>
      <c r="U373" s="511" t="b">
        <f t="shared" si="209"/>
        <v>0</v>
      </c>
      <c r="V373" s="511" t="b">
        <f t="shared" si="210"/>
        <v>0</v>
      </c>
      <c r="W373" s="497">
        <f>IF(Tabla33[[#This Row],[Fecha de operación]]=$C$1,0,U373-V373)</f>
        <v>0</v>
      </c>
      <c r="X373" s="512" t="str">
        <f t="shared" si="216"/>
        <v>Vencido</v>
      </c>
      <c r="Y373" s="498"/>
      <c r="Z373" s="469">
        <f t="shared" si="217"/>
        <v>-14</v>
      </c>
      <c r="AA373" s="499">
        <f t="shared" si="227"/>
        <v>0.71638198757595395</v>
      </c>
      <c r="AB373" s="499">
        <f t="shared" si="227"/>
        <v>0.70520096520586439</v>
      </c>
      <c r="AC373" s="469" t="str">
        <f t="shared" si="221"/>
        <v>Familiar CB</v>
      </c>
      <c r="AD373" s="469" t="s">
        <v>454</v>
      </c>
      <c r="AF373" s="444">
        <f>+IF(Tabla33[[#This Row],[Amortización k | cupón de intereses]]="Amortización de K",Tabla33[[#This Row],[Valor Nominal]],0)</f>
        <v>0</v>
      </c>
      <c r="AG373" s="444">
        <f>+IF(AND(Tabla33[[#This Row],[Amortización k | cupón de intereses]]="Cupón de interés",Tabla33[[#This Row],[Estado]]="Vigente"),Tabla33[[#This Row],[Valor Nominal]],0)</f>
        <v>0</v>
      </c>
      <c r="AH373" s="444">
        <f>+IF(Tabla33[[#This Row],[Amortización k | cupón de intereses]]="Amortización de K",SUMIFS($AG$7:$AG$418,Tabla33[Código Emisión],Tabla33[[#This Row],[Código Emisión]],Tabla33[Fecha de operación],Tabla33[[#This Row],[Fecha de operación]]),0)-Tabla33[[#This Row],[Accrued]]*Tabla33[[#This Row],[Valor Nominal]]</f>
        <v>0</v>
      </c>
      <c r="AI373" s="444">
        <f>+IF(Tabla33[[#This Row],[Amortización k | cupón de intereses]]="Amortización de K",IF(Tabla33[[#This Row],[Precio Clean]]&gt;1,Tabla33[[#This Row],[Valor Nominal]]*(Tabla33[[#This Row],[Precio Clean]]-1),0),0)</f>
        <v>0</v>
      </c>
      <c r="AJ373" s="444">
        <f>+IF(Tabla33[[#This Row],[Amortización k | cupón de intereses]]="Amortización de K",IF(Tabla33[[#This Row],[Precio Clean]]&lt;1,Tabla33[[#This Row],[Valor Nominal]]*(Tabla33[[#This Row],[Precio Clean]]-1),0),0)</f>
        <v>0</v>
      </c>
    </row>
    <row r="374" spans="1:36" ht="15">
      <c r="A374" s="500">
        <f>+A369+1</f>
        <v>37</v>
      </c>
      <c r="B374" s="475" t="s">
        <v>516</v>
      </c>
      <c r="C374" s="475" t="s">
        <v>570</v>
      </c>
      <c r="D374" s="475" t="s">
        <v>453</v>
      </c>
      <c r="E374" s="475" t="s">
        <v>449</v>
      </c>
      <c r="F374" s="475" t="s">
        <v>297</v>
      </c>
      <c r="G374" s="475" t="s">
        <v>298</v>
      </c>
      <c r="H374" s="575">
        <v>1</v>
      </c>
      <c r="I374" s="477">
        <v>150000</v>
      </c>
      <c r="J374" s="478">
        <v>6.1499999999999999E-2</v>
      </c>
      <c r="K374" s="479">
        <f>_xlfn.MAXIFS(R:R,C:C,C374,AD:AD,"Cupón de interés",X:X,"Vencido")</f>
        <v>46009</v>
      </c>
      <c r="L374" s="478">
        <f>+Tabla33[[#This Row],[Tasa de Interés]]*($U$5-Tabla33[[#This Row],[Last coupon]])/365</f>
        <v>2.021917808219178E-3</v>
      </c>
      <c r="M374" s="480">
        <f>+Tabla33[[#This Row],[Precio Dirty]]-Tabla33[[#This Row],[Accrued]]</f>
        <v>0.9999840734210349</v>
      </c>
      <c r="N374" s="481">
        <f>SUMIFS(U:U,C:C,C374,Q:Q,Q374)/SUMIFS(T:T,C:C,C374,Q:Q,Q374,AD:AD,"Amortización de K")</f>
        <v>1.002005991229254</v>
      </c>
      <c r="O374" s="482">
        <v>6.2930610775947568E-2</v>
      </c>
      <c r="P374" s="482">
        <v>6.1499999999999999E-2</v>
      </c>
      <c r="Q374" s="484">
        <v>45961</v>
      </c>
      <c r="R374" s="484">
        <v>46469</v>
      </c>
      <c r="S374" s="504" t="s">
        <v>146</v>
      </c>
      <c r="T374" s="505">
        <f>Tabla33[[#This Row],[Cantidad]]*Tabla33[[#This Row],[Cortes]]</f>
        <v>150000</v>
      </c>
      <c r="U374" s="506">
        <f t="shared" si="209"/>
        <v>139174.34944472837</v>
      </c>
      <c r="V374" s="506">
        <f t="shared" si="210"/>
        <v>139151.08074474274</v>
      </c>
      <c r="W374" s="487">
        <f>IF(Tabla33[[#This Row],[Fecha de operación]]=$C$1,0,U374-V374)</f>
        <v>23.268699985637795</v>
      </c>
      <c r="X374" s="507" t="str">
        <f t="shared" si="216"/>
        <v>Vigente</v>
      </c>
      <c r="Y374" s="489" t="s">
        <v>450</v>
      </c>
      <c r="Z374" s="488">
        <f t="shared" si="217"/>
        <v>448</v>
      </c>
      <c r="AA374" s="508">
        <f>IF(Y374="Mensual",DURATION($C$1,$C$1+Z374*12,J374/12,O374/12,1)/12,DURATION($C$1,R374,J374,O374,IF(Y374="Cupón cero",1,IF(Y374="Al vencimiento",1,IF(Y374="Anual",1,IF(Y374="Semestral",2,IF(Y374="Trimestral",4,"")))))))</f>
        <v>1.1932313159777244</v>
      </c>
      <c r="AB374" s="508">
        <f>IF(Y374="Mensual",MDURATION($C$1,$C$1+Z374*12,J374/12,O374/12,1)/12,MDURATION($C$1,R374,J374,O374,IF(Y374="Cupón cero",1,IF(Y374="Al vencimiento",1,IF(Y374="Anual",1,IF(Y374="Semestral",2,IF(Y374="Trimestral",4,"")))))))</f>
        <v>1.1747493917941545</v>
      </c>
      <c r="AC374" s="488" t="s">
        <v>451</v>
      </c>
      <c r="AD374" s="488" t="s">
        <v>452</v>
      </c>
      <c r="AF374" s="444">
        <f>+IF(Tabla33[[#This Row],[Amortización k | cupón de intereses]]="Amortización de K",Tabla33[[#This Row],[Valor Nominal]],0)</f>
        <v>150000</v>
      </c>
      <c r="AG374" s="444">
        <f>+IF(AND(Tabla33[[#This Row],[Amortización k | cupón de intereses]]="Cupón de interés",Tabla33[[#This Row],[Estado]]="Vigente"),Tabla33[[#This Row],[Valor Nominal]],0)</f>
        <v>0</v>
      </c>
      <c r="AH374" s="444">
        <f>+IF(Tabla33[[#This Row],[Amortización k | cupón de intereses]]="Amortización de K",SUMIFS($AG$7:$AG$418,Tabla33[Código Emisión],Tabla33[[#This Row],[Código Emisión]],Tabla33[Fecha de operación],Tabla33[[#This Row],[Fecha de operación]]),0)-Tabla33[[#This Row],[Accrued]]*Tabla33[[#This Row],[Valor Nominal]]</f>
        <v>11322.732328767124</v>
      </c>
      <c r="AI374" s="444">
        <f>+IF(Tabla33[[#This Row],[Amortización k | cupón de intereses]]="Amortización de K",IF(Tabla33[[#This Row],[Precio Clean]]&gt;1,Tabla33[[#This Row],[Valor Nominal]]*(Tabla33[[#This Row],[Precio Clean]]-1),0),0)</f>
        <v>0</v>
      </c>
      <c r="AJ374" s="444">
        <f>+IF(Tabla33[[#This Row],[Amortización k | cupón de intereses]]="Amortización de K",IF(Tabla33[[#This Row],[Precio Clean]]&lt;1,Tabla33[[#This Row],[Valor Nominal]]*(Tabla33[[#This Row],[Precio Clean]]-1),0),0)</f>
        <v>-2.388986844764629</v>
      </c>
    </row>
    <row r="375" spans="1:36">
      <c r="A375" s="502"/>
      <c r="B375" s="437" t="str">
        <f t="shared" ref="B375:H380" si="228">+B374</f>
        <v>Bancop S.A.</v>
      </c>
      <c r="C375" s="437" t="str">
        <f t="shared" si="228"/>
        <v>BCO_6,15%_23032027_AA4031-35_150K</v>
      </c>
      <c r="D375" s="437" t="str">
        <f t="shared" si="228"/>
        <v>CDA</v>
      </c>
      <c r="E375" s="437" t="str">
        <f t="shared" si="228"/>
        <v>AA-py</v>
      </c>
      <c r="F375" s="437" t="str">
        <f t="shared" si="228"/>
        <v>Financiero</v>
      </c>
      <c r="G375" s="437" t="str">
        <f t="shared" si="228"/>
        <v>Paraguay</v>
      </c>
      <c r="H375" s="440">
        <f>+H374</f>
        <v>1</v>
      </c>
      <c r="I375" s="492">
        <v>2502.11</v>
      </c>
      <c r="J375" s="451"/>
      <c r="L375" s="442"/>
      <c r="M375" s="493"/>
      <c r="N375" s="493"/>
      <c r="O375" s="494">
        <f t="shared" ref="O375:P380" si="229">+O374</f>
        <v>6.2930610775947568E-2</v>
      </c>
      <c r="P375" s="494">
        <f t="shared" si="229"/>
        <v>6.1499999999999999E-2</v>
      </c>
      <c r="Q375" s="450">
        <v>45961</v>
      </c>
      <c r="R375" s="450">
        <v>46469</v>
      </c>
      <c r="S375" s="509" t="s">
        <v>146</v>
      </c>
      <c r="T375" s="510">
        <f>Tabla33[[#This Row],[Cantidad]]*Tabla33[[#This Row],[Cortes]]</f>
        <v>2502.11</v>
      </c>
      <c r="U375" s="511">
        <f t="shared" si="209"/>
        <v>2321.5302099276623</v>
      </c>
      <c r="V375" s="511">
        <f t="shared" si="210"/>
        <v>2321.1420709481886</v>
      </c>
      <c r="W375" s="497">
        <f>IF(Tabla33[[#This Row],[Fecha de operación]]=$C$1,0,U375-V375)</f>
        <v>0.38813897947375153</v>
      </c>
      <c r="X375" s="512" t="str">
        <f t="shared" si="216"/>
        <v>Vigente</v>
      </c>
      <c r="Y375" s="498"/>
      <c r="Z375" s="469">
        <f t="shared" si="217"/>
        <v>448</v>
      </c>
      <c r="AA375" s="499">
        <f t="shared" ref="AA375:AB380" si="230">AA374</f>
        <v>1.1932313159777244</v>
      </c>
      <c r="AB375" s="499">
        <f t="shared" si="230"/>
        <v>1.1747493917941545</v>
      </c>
      <c r="AC375" s="469" t="str">
        <f t="shared" si="221"/>
        <v>Familiar CB</v>
      </c>
      <c r="AD375" s="469" t="s">
        <v>454</v>
      </c>
      <c r="AF375" s="444">
        <f>+IF(Tabla33[[#This Row],[Amortización k | cupón de intereses]]="Amortización de K",Tabla33[[#This Row],[Valor Nominal]],0)</f>
        <v>0</v>
      </c>
      <c r="AG375" s="444">
        <f>+IF(AND(Tabla33[[#This Row],[Amortización k | cupón de intereses]]="Cupón de interés",Tabla33[[#This Row],[Estado]]="Vigente"),Tabla33[[#This Row],[Valor Nominal]],0)</f>
        <v>2502.11</v>
      </c>
      <c r="AH375" s="444">
        <f>+IF(Tabla33[[#This Row],[Amortización k | cupón de intereses]]="Amortización de K",SUMIFS($AG$7:$AG$418,Tabla33[Código Emisión],Tabla33[[#This Row],[Código Emisión]],Tabla33[Fecha de operación],Tabla33[[#This Row],[Fecha de operación]]),0)-Tabla33[[#This Row],[Accrued]]*Tabla33[[#This Row],[Valor Nominal]]</f>
        <v>0</v>
      </c>
      <c r="AI375" s="444">
        <f>+IF(Tabla33[[#This Row],[Amortización k | cupón de intereses]]="Amortización de K",IF(Tabla33[[#This Row],[Precio Clean]]&gt;1,Tabla33[[#This Row],[Valor Nominal]]*(Tabla33[[#This Row],[Precio Clean]]-1),0),0)</f>
        <v>0</v>
      </c>
      <c r="AJ375" s="444">
        <f>+IF(Tabla33[[#This Row],[Amortización k | cupón de intereses]]="Amortización de K",IF(Tabla33[[#This Row],[Precio Clean]]&lt;1,Tabla33[[#This Row],[Valor Nominal]]*(Tabla33[[#This Row],[Precio Clean]]-1),0),0)</f>
        <v>0</v>
      </c>
    </row>
    <row r="376" spans="1:36">
      <c r="A376" s="502"/>
      <c r="B376" s="437" t="str">
        <f t="shared" si="228"/>
        <v>Bancop S.A.</v>
      </c>
      <c r="C376" s="437" t="str">
        <f t="shared" si="228"/>
        <v>BCO_6,15%_23032027_AA4031-35_150K</v>
      </c>
      <c r="D376" s="437" t="str">
        <f t="shared" si="228"/>
        <v>CDA</v>
      </c>
      <c r="E376" s="437" t="str">
        <f t="shared" si="228"/>
        <v>AA-py</v>
      </c>
      <c r="F376" s="437" t="str">
        <f t="shared" si="228"/>
        <v>Financiero</v>
      </c>
      <c r="G376" s="437" t="str">
        <f t="shared" si="228"/>
        <v>Paraguay</v>
      </c>
      <c r="H376" s="440">
        <f t="shared" si="228"/>
        <v>1</v>
      </c>
      <c r="I376" s="492">
        <v>2299.9299999999998</v>
      </c>
      <c r="J376" s="451"/>
      <c r="L376" s="442"/>
      <c r="M376" s="493"/>
      <c r="N376" s="493"/>
      <c r="O376" s="494">
        <f t="shared" si="229"/>
        <v>6.2930610775947568E-2</v>
      </c>
      <c r="P376" s="494">
        <f t="shared" si="229"/>
        <v>6.1499999999999999E-2</v>
      </c>
      <c r="Q376" s="450">
        <v>45961</v>
      </c>
      <c r="R376" s="450">
        <v>46370</v>
      </c>
      <c r="S376" s="509" t="s">
        <v>146</v>
      </c>
      <c r="T376" s="510">
        <f>Tabla33[[#This Row],[Cantidad]]*Tabla33[[#This Row],[Cortes]]</f>
        <v>2299.9299999999998</v>
      </c>
      <c r="U376" s="511">
        <f t="shared" si="209"/>
        <v>2169.5594902208827</v>
      </c>
      <c r="V376" s="511">
        <f t="shared" si="210"/>
        <v>2169.196759379457</v>
      </c>
      <c r="W376" s="497">
        <f>IF(Tabla33[[#This Row],[Fecha de operación]]=$C$1,0,U376-V376)</f>
        <v>0.36273084142567313</v>
      </c>
      <c r="X376" s="512" t="str">
        <f t="shared" si="216"/>
        <v>Vigente</v>
      </c>
      <c r="Y376" s="498"/>
      <c r="Z376" s="469">
        <f t="shared" si="217"/>
        <v>349</v>
      </c>
      <c r="AA376" s="499">
        <f t="shared" si="230"/>
        <v>1.1932313159777244</v>
      </c>
      <c r="AB376" s="499">
        <f t="shared" si="230"/>
        <v>1.1747493917941545</v>
      </c>
      <c r="AC376" s="469" t="str">
        <f t="shared" si="221"/>
        <v>Familiar CB</v>
      </c>
      <c r="AD376" s="469" t="s">
        <v>454</v>
      </c>
      <c r="AF376" s="444">
        <f>+IF(Tabla33[[#This Row],[Amortización k | cupón de intereses]]="Amortización de K",Tabla33[[#This Row],[Valor Nominal]],0)</f>
        <v>0</v>
      </c>
      <c r="AG376" s="444">
        <f>+IF(AND(Tabla33[[#This Row],[Amortización k | cupón de intereses]]="Cupón de interés",Tabla33[[#This Row],[Estado]]="Vigente"),Tabla33[[#This Row],[Valor Nominal]],0)</f>
        <v>2299.9299999999998</v>
      </c>
      <c r="AH376" s="444">
        <f>+IF(Tabla33[[#This Row],[Amortización k | cupón de intereses]]="Amortización de K",SUMIFS($AG$7:$AG$418,Tabla33[Código Emisión],Tabla33[[#This Row],[Código Emisión]],Tabla33[Fecha de operación],Tabla33[[#This Row],[Fecha de operación]]),0)-Tabla33[[#This Row],[Accrued]]*Tabla33[[#This Row],[Valor Nominal]]</f>
        <v>0</v>
      </c>
      <c r="AI376" s="444">
        <f>+IF(Tabla33[[#This Row],[Amortización k | cupón de intereses]]="Amortización de K",IF(Tabla33[[#This Row],[Precio Clean]]&gt;1,Tabla33[[#This Row],[Valor Nominal]]*(Tabla33[[#This Row],[Precio Clean]]-1),0),0)</f>
        <v>0</v>
      </c>
      <c r="AJ376" s="444">
        <f>+IF(Tabla33[[#This Row],[Amortización k | cupón de intereses]]="Amortización de K",IF(Tabla33[[#This Row],[Precio Clean]]&lt;1,Tabla33[[#This Row],[Valor Nominal]]*(Tabla33[[#This Row],[Precio Clean]]-1),0),0)</f>
        <v>0</v>
      </c>
    </row>
    <row r="377" spans="1:36">
      <c r="A377" s="502"/>
      <c r="B377" s="437" t="str">
        <f t="shared" si="228"/>
        <v>Bancop S.A.</v>
      </c>
      <c r="C377" s="437" t="str">
        <f t="shared" si="228"/>
        <v>BCO_6,15%_23032027_AA4031-35_150K</v>
      </c>
      <c r="D377" s="437" t="str">
        <f t="shared" si="228"/>
        <v>CDA</v>
      </c>
      <c r="E377" s="437" t="str">
        <f t="shared" si="228"/>
        <v>AA-py</v>
      </c>
      <c r="F377" s="437" t="str">
        <f t="shared" si="228"/>
        <v>Financiero</v>
      </c>
      <c r="G377" s="437" t="str">
        <f t="shared" si="228"/>
        <v>Paraguay</v>
      </c>
      <c r="H377" s="440">
        <f t="shared" si="228"/>
        <v>1</v>
      </c>
      <c r="I377" s="492">
        <v>2274.66</v>
      </c>
      <c r="J377" s="451"/>
      <c r="L377" s="442"/>
      <c r="M377" s="493"/>
      <c r="N377" s="493"/>
      <c r="O377" s="494">
        <f t="shared" si="229"/>
        <v>6.2930610775947568E-2</v>
      </c>
      <c r="P377" s="494">
        <f t="shared" si="229"/>
        <v>6.1499999999999999E-2</v>
      </c>
      <c r="Q377" s="450">
        <v>45961</v>
      </c>
      <c r="R377" s="450">
        <v>46279</v>
      </c>
      <c r="S377" s="509" t="s">
        <v>146</v>
      </c>
      <c r="T377" s="510">
        <f>Tabla33[[#This Row],[Cantidad]]*Tabla33[[#This Row],[Cortes]]</f>
        <v>2274.66</v>
      </c>
      <c r="U377" s="511">
        <f t="shared" si="209"/>
        <v>2178.6201199862112</v>
      </c>
      <c r="V377" s="511">
        <f t="shared" si="210"/>
        <v>2178.2558742889478</v>
      </c>
      <c r="W377" s="497">
        <f>IF(Tabla33[[#This Row],[Fecha de operación]]=$C$1,0,U377-V377)</f>
        <v>0.3642456972634136</v>
      </c>
      <c r="X377" s="512" t="str">
        <f t="shared" si="216"/>
        <v>Vigente</v>
      </c>
      <c r="Y377" s="498"/>
      <c r="Z377" s="469">
        <f t="shared" si="217"/>
        <v>258</v>
      </c>
      <c r="AA377" s="499">
        <f t="shared" si="230"/>
        <v>1.1932313159777244</v>
      </c>
      <c r="AB377" s="499">
        <f t="shared" si="230"/>
        <v>1.1747493917941545</v>
      </c>
      <c r="AC377" s="469" t="str">
        <f t="shared" si="221"/>
        <v>Familiar CB</v>
      </c>
      <c r="AD377" s="469" t="s">
        <v>454</v>
      </c>
      <c r="AF377" s="444">
        <f>+IF(Tabla33[[#This Row],[Amortización k | cupón de intereses]]="Amortización de K",Tabla33[[#This Row],[Valor Nominal]],0)</f>
        <v>0</v>
      </c>
      <c r="AG377" s="444">
        <f>+IF(AND(Tabla33[[#This Row],[Amortización k | cupón de intereses]]="Cupón de interés",Tabla33[[#This Row],[Estado]]="Vigente"),Tabla33[[#This Row],[Valor Nominal]],0)</f>
        <v>2274.66</v>
      </c>
      <c r="AH377" s="444">
        <f>+IF(Tabla33[[#This Row],[Amortización k | cupón de intereses]]="Amortización de K",SUMIFS($AG$7:$AG$418,Tabla33[Código Emisión],Tabla33[[#This Row],[Código Emisión]],Tabla33[Fecha de operación],Tabla33[[#This Row],[Fecha de operación]]),0)-Tabla33[[#This Row],[Accrued]]*Tabla33[[#This Row],[Valor Nominal]]</f>
        <v>0</v>
      </c>
      <c r="AI377" s="444">
        <f>+IF(Tabla33[[#This Row],[Amortización k | cupón de intereses]]="Amortización de K",IF(Tabla33[[#This Row],[Precio Clean]]&gt;1,Tabla33[[#This Row],[Valor Nominal]]*(Tabla33[[#This Row],[Precio Clean]]-1),0),0)</f>
        <v>0</v>
      </c>
      <c r="AJ377" s="444">
        <f>+IF(Tabla33[[#This Row],[Amortización k | cupón de intereses]]="Amortización de K",IF(Tabla33[[#This Row],[Precio Clean]]&lt;1,Tabla33[[#This Row],[Valor Nominal]]*(Tabla33[[#This Row],[Precio Clean]]-1),0),0)</f>
        <v>0</v>
      </c>
    </row>
    <row r="378" spans="1:36">
      <c r="A378" s="502"/>
      <c r="B378" s="437" t="str">
        <f t="shared" si="228"/>
        <v>Bancop S.A.</v>
      </c>
      <c r="C378" s="437" t="str">
        <f t="shared" si="228"/>
        <v>BCO_6,15%_23032027_AA4031-35_150K</v>
      </c>
      <c r="D378" s="437" t="str">
        <f t="shared" si="228"/>
        <v>CDA</v>
      </c>
      <c r="E378" s="437" t="str">
        <f t="shared" si="228"/>
        <v>AA-py</v>
      </c>
      <c r="F378" s="437" t="str">
        <f t="shared" si="228"/>
        <v>Financiero</v>
      </c>
      <c r="G378" s="437" t="str">
        <f t="shared" si="228"/>
        <v>Paraguay</v>
      </c>
      <c r="H378" s="440">
        <f t="shared" si="228"/>
        <v>1</v>
      </c>
      <c r="I378" s="492">
        <v>2274.66</v>
      </c>
      <c r="J378" s="451"/>
      <c r="L378" s="442"/>
      <c r="M378" s="493"/>
      <c r="N378" s="493"/>
      <c r="O378" s="494">
        <f t="shared" si="229"/>
        <v>6.2930610775947568E-2</v>
      </c>
      <c r="P378" s="494">
        <f t="shared" si="229"/>
        <v>6.1499999999999999E-2</v>
      </c>
      <c r="Q378" s="450">
        <v>45961</v>
      </c>
      <c r="R378" s="450">
        <v>46189</v>
      </c>
      <c r="S378" s="509" t="s">
        <v>146</v>
      </c>
      <c r="T378" s="510">
        <f>Tabla33[[#This Row],[Cantidad]]*Tabla33[[#This Row],[Cortes]]</f>
        <v>2274.66</v>
      </c>
      <c r="U378" s="511">
        <f t="shared" si="209"/>
        <v>2211.6528961345466</v>
      </c>
      <c r="V378" s="511">
        <f t="shared" si="210"/>
        <v>2211.2831276540915</v>
      </c>
      <c r="W378" s="497">
        <f>IF(Tabla33[[#This Row],[Fecha de operación]]=$C$1,0,U378-V378)</f>
        <v>0.36976848045514998</v>
      </c>
      <c r="X378" s="512" t="str">
        <f t="shared" si="216"/>
        <v>Vigente</v>
      </c>
      <c r="Y378" s="498"/>
      <c r="Z378" s="469">
        <f t="shared" si="217"/>
        <v>168</v>
      </c>
      <c r="AA378" s="499">
        <f t="shared" si="230"/>
        <v>1.1932313159777244</v>
      </c>
      <c r="AB378" s="499">
        <f t="shared" si="230"/>
        <v>1.1747493917941545</v>
      </c>
      <c r="AC378" s="469" t="str">
        <f t="shared" si="221"/>
        <v>Familiar CB</v>
      </c>
      <c r="AD378" s="469" t="s">
        <v>454</v>
      </c>
      <c r="AF378" s="444">
        <f>+IF(Tabla33[[#This Row],[Amortización k | cupón de intereses]]="Amortización de K",Tabla33[[#This Row],[Valor Nominal]],0)</f>
        <v>0</v>
      </c>
      <c r="AG378" s="444">
        <f>+IF(AND(Tabla33[[#This Row],[Amortización k | cupón de intereses]]="Cupón de interés",Tabla33[[#This Row],[Estado]]="Vigente"),Tabla33[[#This Row],[Valor Nominal]],0)</f>
        <v>2274.66</v>
      </c>
      <c r="AH378" s="444">
        <f>+IF(Tabla33[[#This Row],[Amortización k | cupón de intereses]]="Amortización de K",SUMIFS($AG$7:$AG$418,Tabla33[Código Emisión],Tabla33[[#This Row],[Código Emisión]],Tabla33[Fecha de operación],Tabla33[[#This Row],[Fecha de operación]]),0)-Tabla33[[#This Row],[Accrued]]*Tabla33[[#This Row],[Valor Nominal]]</f>
        <v>0</v>
      </c>
      <c r="AI378" s="444">
        <f>+IF(Tabla33[[#This Row],[Amortización k | cupón de intereses]]="Amortización de K",IF(Tabla33[[#This Row],[Precio Clean]]&gt;1,Tabla33[[#This Row],[Valor Nominal]]*(Tabla33[[#This Row],[Precio Clean]]-1),0),0)</f>
        <v>0</v>
      </c>
      <c r="AJ378" s="444">
        <f>+IF(Tabla33[[#This Row],[Amortización k | cupón de intereses]]="Amortización de K",IF(Tabla33[[#This Row],[Precio Clean]]&lt;1,Tabla33[[#This Row],[Valor Nominal]]*(Tabla33[[#This Row],[Precio Clean]]-1),0),0)</f>
        <v>0</v>
      </c>
    </row>
    <row r="379" spans="1:36">
      <c r="A379" s="502"/>
      <c r="B379" s="437" t="str">
        <f t="shared" si="228"/>
        <v>Bancop S.A.</v>
      </c>
      <c r="C379" s="437" t="str">
        <f t="shared" si="228"/>
        <v>BCO_6,15%_23032027_AA4031-35_150K</v>
      </c>
      <c r="D379" s="437" t="str">
        <f t="shared" si="228"/>
        <v>CDA</v>
      </c>
      <c r="E379" s="437" t="str">
        <f t="shared" si="228"/>
        <v>AA-py</v>
      </c>
      <c r="F379" s="437" t="str">
        <f t="shared" si="228"/>
        <v>Financiero</v>
      </c>
      <c r="G379" s="437" t="str">
        <f t="shared" si="228"/>
        <v>Paraguay</v>
      </c>
      <c r="H379" s="440">
        <f t="shared" si="228"/>
        <v>1</v>
      </c>
      <c r="I379" s="492">
        <v>2274.66</v>
      </c>
      <c r="J379" s="451"/>
      <c r="L379" s="442"/>
      <c r="M379" s="493"/>
      <c r="N379" s="493"/>
      <c r="O379" s="494">
        <f t="shared" si="229"/>
        <v>6.2930610775947568E-2</v>
      </c>
      <c r="P379" s="494">
        <f t="shared" si="229"/>
        <v>6.1499999999999999E-2</v>
      </c>
      <c r="Q379" s="450">
        <v>45961</v>
      </c>
      <c r="R379" s="450">
        <v>46099</v>
      </c>
      <c r="S379" s="509" t="s">
        <v>146</v>
      </c>
      <c r="T379" s="510">
        <f>Tabla33[[#This Row],[Cantidad]]*Tabla33[[#This Row],[Cortes]]</f>
        <v>2274.66</v>
      </c>
      <c r="U379" s="511">
        <f t="shared" si="209"/>
        <v>2245.1865233904514</v>
      </c>
      <c r="V379" s="511">
        <f t="shared" si="210"/>
        <v>2244.8111483890016</v>
      </c>
      <c r="W379" s="497">
        <f>IF(Tabla33[[#This Row],[Fecha de operación]]=$C$1,0,U379-V379)</f>
        <v>0.37537500144981095</v>
      </c>
      <c r="X379" s="512" t="str">
        <f t="shared" si="216"/>
        <v>Vigente</v>
      </c>
      <c r="Y379" s="498"/>
      <c r="Z379" s="469">
        <f t="shared" si="217"/>
        <v>78</v>
      </c>
      <c r="AA379" s="499">
        <f t="shared" si="230"/>
        <v>1.1932313159777244</v>
      </c>
      <c r="AB379" s="499">
        <f t="shared" si="230"/>
        <v>1.1747493917941545</v>
      </c>
      <c r="AC379" s="469" t="str">
        <f t="shared" si="221"/>
        <v>Familiar CB</v>
      </c>
      <c r="AD379" s="469" t="s">
        <v>454</v>
      </c>
      <c r="AF379" s="444">
        <f>+IF(Tabla33[[#This Row],[Amortización k | cupón de intereses]]="Amortización de K",Tabla33[[#This Row],[Valor Nominal]],0)</f>
        <v>0</v>
      </c>
      <c r="AG379" s="444">
        <f>+IF(AND(Tabla33[[#This Row],[Amortización k | cupón de intereses]]="Cupón de interés",Tabla33[[#This Row],[Estado]]="Vigente"),Tabla33[[#This Row],[Valor Nominal]],0)</f>
        <v>2274.66</v>
      </c>
      <c r="AH379" s="444">
        <f>+IF(Tabla33[[#This Row],[Amortización k | cupón de intereses]]="Amortización de K",SUMIFS($AG$7:$AG$418,Tabla33[Código Emisión],Tabla33[[#This Row],[Código Emisión]],Tabla33[Fecha de operación],Tabla33[[#This Row],[Fecha de operación]]),0)-Tabla33[[#This Row],[Accrued]]*Tabla33[[#This Row],[Valor Nominal]]</f>
        <v>0</v>
      </c>
      <c r="AI379" s="444">
        <f>+IF(Tabla33[[#This Row],[Amortización k | cupón de intereses]]="Amortización de K",IF(Tabla33[[#This Row],[Precio Clean]]&gt;1,Tabla33[[#This Row],[Valor Nominal]]*(Tabla33[[#This Row],[Precio Clean]]-1),0),0)</f>
        <v>0</v>
      </c>
      <c r="AJ379" s="444">
        <f>+IF(Tabla33[[#This Row],[Amortización k | cupón de intereses]]="Amortización de K",IF(Tabla33[[#This Row],[Precio Clean]]&lt;1,Tabla33[[#This Row],[Valor Nominal]]*(Tabla33[[#This Row],[Precio Clean]]-1),0),0)</f>
        <v>0</v>
      </c>
    </row>
    <row r="380" spans="1:36">
      <c r="A380" s="502"/>
      <c r="B380" s="437" t="str">
        <f t="shared" si="228"/>
        <v>Bancop S.A.</v>
      </c>
      <c r="C380" s="437" t="str">
        <f t="shared" si="228"/>
        <v>BCO_6,15%_23032027_AA4031-35_150K</v>
      </c>
      <c r="D380" s="437" t="str">
        <f t="shared" si="228"/>
        <v>CDA</v>
      </c>
      <c r="E380" s="437" t="str">
        <f t="shared" si="228"/>
        <v>AA-py</v>
      </c>
      <c r="F380" s="437" t="str">
        <f t="shared" si="228"/>
        <v>Financiero</v>
      </c>
      <c r="G380" s="437" t="str">
        <f t="shared" si="228"/>
        <v>Paraguay</v>
      </c>
      <c r="H380" s="440">
        <f t="shared" si="228"/>
        <v>1</v>
      </c>
      <c r="I380" s="492">
        <v>2274.66</v>
      </c>
      <c r="J380" s="451"/>
      <c r="L380" s="442"/>
      <c r="M380" s="493"/>
      <c r="N380" s="493"/>
      <c r="O380" s="494">
        <f t="shared" si="229"/>
        <v>6.2930610775947568E-2</v>
      </c>
      <c r="P380" s="494">
        <f t="shared" si="229"/>
        <v>6.1499999999999999E-2</v>
      </c>
      <c r="Q380" s="450">
        <v>45961</v>
      </c>
      <c r="R380" s="450">
        <v>46009</v>
      </c>
      <c r="S380" s="509" t="s">
        <v>146</v>
      </c>
      <c r="T380" s="510">
        <f>Tabla33[[#This Row],[Cantidad]]*Tabla33[[#This Row],[Cortes]]</f>
        <v>2274.66</v>
      </c>
      <c r="U380" s="511" t="b">
        <f t="shared" si="209"/>
        <v>0</v>
      </c>
      <c r="V380" s="511" t="b">
        <f t="shared" si="210"/>
        <v>0</v>
      </c>
      <c r="W380" s="497">
        <f>IF(Tabla33[[#This Row],[Fecha de operación]]=$C$1,0,U380-V380)</f>
        <v>0</v>
      </c>
      <c r="X380" s="512" t="str">
        <f t="shared" si="216"/>
        <v>Vencido</v>
      </c>
      <c r="Y380" s="498"/>
      <c r="Z380" s="469">
        <f t="shared" si="217"/>
        <v>-12</v>
      </c>
      <c r="AA380" s="499">
        <f t="shared" si="230"/>
        <v>1.1932313159777244</v>
      </c>
      <c r="AB380" s="499">
        <f t="shared" si="230"/>
        <v>1.1747493917941545</v>
      </c>
      <c r="AC380" s="469" t="str">
        <f t="shared" si="221"/>
        <v>Familiar CB</v>
      </c>
      <c r="AD380" s="469" t="s">
        <v>454</v>
      </c>
      <c r="AF380" s="444">
        <f>+IF(Tabla33[[#This Row],[Amortización k | cupón de intereses]]="Amortización de K",Tabla33[[#This Row],[Valor Nominal]],0)</f>
        <v>0</v>
      </c>
      <c r="AG380" s="444">
        <f>+IF(AND(Tabla33[[#This Row],[Amortización k | cupón de intereses]]="Cupón de interés",Tabla33[[#This Row],[Estado]]="Vigente"),Tabla33[[#This Row],[Valor Nominal]],0)</f>
        <v>0</v>
      </c>
      <c r="AH380" s="444">
        <f>+IF(Tabla33[[#This Row],[Amortización k | cupón de intereses]]="Amortización de K",SUMIFS($AG$7:$AG$418,Tabla33[Código Emisión],Tabla33[[#This Row],[Código Emisión]],Tabla33[Fecha de operación],Tabla33[[#This Row],[Fecha de operación]]),0)-Tabla33[[#This Row],[Accrued]]*Tabla33[[#This Row],[Valor Nominal]]</f>
        <v>0</v>
      </c>
      <c r="AI380" s="444">
        <f>+IF(Tabla33[[#This Row],[Amortización k | cupón de intereses]]="Amortización de K",IF(Tabla33[[#This Row],[Precio Clean]]&gt;1,Tabla33[[#This Row],[Valor Nominal]]*(Tabla33[[#This Row],[Precio Clean]]-1),0),0)</f>
        <v>0</v>
      </c>
      <c r="AJ380" s="444">
        <f>+IF(Tabla33[[#This Row],[Amortización k | cupón de intereses]]="Amortización de K",IF(Tabla33[[#This Row],[Precio Clean]]&lt;1,Tabla33[[#This Row],[Valor Nominal]]*(Tabla33[[#This Row],[Precio Clean]]-1),0),0)</f>
        <v>0</v>
      </c>
    </row>
    <row r="381" spans="1:36" ht="15">
      <c r="A381" s="500">
        <f>+A374+1</f>
        <v>38</v>
      </c>
      <c r="B381" s="475" t="s">
        <v>516</v>
      </c>
      <c r="C381" s="475" t="s">
        <v>570</v>
      </c>
      <c r="D381" s="475" t="s">
        <v>453</v>
      </c>
      <c r="E381" s="475" t="s">
        <v>449</v>
      </c>
      <c r="F381" s="475" t="s">
        <v>297</v>
      </c>
      <c r="G381" s="475" t="s">
        <v>298</v>
      </c>
      <c r="H381" s="575">
        <v>2</v>
      </c>
      <c r="I381" s="477">
        <v>150000</v>
      </c>
      <c r="J381" s="478">
        <v>6.1499999999999999E-2</v>
      </c>
      <c r="K381" s="479">
        <f>_xlfn.MAXIFS(R:R,C:C,C381,AD:AD,"Cupón de interés",X:X,"Vencido")</f>
        <v>46009</v>
      </c>
      <c r="L381" s="478">
        <f>+Tabla33[[#This Row],[Tasa de Interés]]*($U$5-Tabla33[[#This Row],[Last coupon]])/365</f>
        <v>2.021917808219178E-3</v>
      </c>
      <c r="M381" s="480">
        <f>+Tabla33[[#This Row],[Precio Dirty]]-Tabla33[[#This Row],[Accrued]]</f>
        <v>1.0000107751698324</v>
      </c>
      <c r="N381" s="481">
        <f>SUMIFS(U:U,C:C,C381,Q:Q,Q381)/SUMIFS(T:T,C:C,C381,Q:Q,Q381,AD:AD,"Amortización de K")</f>
        <v>1.0020326929780516</v>
      </c>
      <c r="O381" s="482">
        <v>6.2906798720359799E-2</v>
      </c>
      <c r="P381" s="482">
        <v>6.1475030349022575E-2</v>
      </c>
      <c r="Q381" s="484">
        <v>45965</v>
      </c>
      <c r="R381" s="484">
        <v>46469</v>
      </c>
      <c r="S381" s="504" t="s">
        <v>146</v>
      </c>
      <c r="T381" s="505">
        <f>Tabla33[[#This Row],[Cantidad]]*Tabla33[[#This Row],[Cortes]]</f>
        <v>300000</v>
      </c>
      <c r="U381" s="506">
        <f t="shared" si="209"/>
        <v>278356.35269024142</v>
      </c>
      <c r="V381" s="506">
        <f t="shared" si="210"/>
        <v>278309.83109237923</v>
      </c>
      <c r="W381" s="487">
        <f>IF(Tabla33[[#This Row],[Fecha de operación]]=$C$1,0,U381-V381)</f>
        <v>46.521597862185445</v>
      </c>
      <c r="X381" s="507" t="str">
        <f t="shared" si="216"/>
        <v>Vigente</v>
      </c>
      <c r="Y381" s="489" t="s">
        <v>450</v>
      </c>
      <c r="Z381" s="488">
        <f t="shared" si="217"/>
        <v>448</v>
      </c>
      <c r="AA381" s="508">
        <f>IF(Y381="Mensual",DURATION($C$1,$C$1+Z381*12,J381/12,O381/12,1)/12,DURATION($C$1,R381,J381,O381,IF(Y381="Cupón cero",1,IF(Y381="Al vencimiento",1,IF(Y381="Anual",1,IF(Y381="Semestral",2,IF(Y381="Trimestral",4,"")))))))</f>
        <v>1.1932319429644125</v>
      </c>
      <c r="AB381" s="508">
        <f>IF(Y381="Mensual",MDURATION($C$1,$C$1+Z381*12,J381/12,O381/12,1)/12,MDURATION($C$1,R381,J381,O381,IF(Y381="Cupón cero",1,IF(Y381="Al vencimiento",1,IF(Y381="Anual",1,IF(Y381="Semestral",2,IF(Y381="Trimestral",4,"")))))))</f>
        <v>1.1747568940938826</v>
      </c>
      <c r="AC381" s="488" t="s">
        <v>451</v>
      </c>
      <c r="AD381" s="488" t="s">
        <v>452</v>
      </c>
      <c r="AF381" s="444">
        <f>+IF(Tabla33[[#This Row],[Amortización k | cupón de intereses]]="Amortización de K",Tabla33[[#This Row],[Valor Nominal]],0)</f>
        <v>300000</v>
      </c>
      <c r="AG381" s="444">
        <f>+IF(AND(Tabla33[[#This Row],[Amortización k | cupón de intereses]]="Cupón de interés",Tabla33[[#This Row],[Estado]]="Vigente"),Tabla33[[#This Row],[Valor Nominal]],0)</f>
        <v>0</v>
      </c>
      <c r="AH381" s="444">
        <f>+IF(Tabla33[[#This Row],[Amortización k | cupón de intereses]]="Amortización de K",SUMIFS($AG$7:$AG$418,Tabla33[Código Emisión],Tabla33[[#This Row],[Código Emisión]],Tabla33[Fecha de operación],Tabla33[[#This Row],[Fecha de operación]]),0)-Tabla33[[#This Row],[Accrued]]*Tabla33[[#This Row],[Valor Nominal]]</f>
        <v>22645.464657534249</v>
      </c>
      <c r="AI381" s="444">
        <f>+IF(Tabla33[[#This Row],[Amortización k | cupón de intereses]]="Amortización de K",IF(Tabla33[[#This Row],[Precio Clean]]&gt;1,Tabla33[[#This Row],[Valor Nominal]]*(Tabla33[[#This Row],[Precio Clean]]-1),0),0)</f>
        <v>3.2325509497166394</v>
      </c>
      <c r="AJ381" s="444">
        <f>+IF(Tabla33[[#This Row],[Amortización k | cupón de intereses]]="Amortización de K",IF(Tabla33[[#This Row],[Precio Clean]]&lt;1,Tabla33[[#This Row],[Valor Nominal]]*(Tabla33[[#This Row],[Precio Clean]]-1),0),0)</f>
        <v>0</v>
      </c>
    </row>
    <row r="382" spans="1:36">
      <c r="A382" s="502"/>
      <c r="B382" s="437" t="str">
        <f t="shared" ref="B382:H387" si="231">+B381</f>
        <v>Bancop S.A.</v>
      </c>
      <c r="C382" s="437" t="str">
        <f t="shared" si="231"/>
        <v>BCO_6,15%_23032027_AA4031-35_150K</v>
      </c>
      <c r="D382" s="437" t="str">
        <f t="shared" si="231"/>
        <v>CDA</v>
      </c>
      <c r="E382" s="437" t="str">
        <f t="shared" si="231"/>
        <v>AA-py</v>
      </c>
      <c r="F382" s="437" t="str">
        <f t="shared" si="231"/>
        <v>Financiero</v>
      </c>
      <c r="G382" s="437" t="str">
        <f t="shared" si="231"/>
        <v>Paraguay</v>
      </c>
      <c r="H382" s="440">
        <f t="shared" si="231"/>
        <v>2</v>
      </c>
      <c r="I382" s="445">
        <v>2502.11</v>
      </c>
      <c r="J382" s="462"/>
      <c r="L382" s="442"/>
      <c r="M382" s="493"/>
      <c r="N382" s="493"/>
      <c r="O382" s="516">
        <f t="shared" ref="O382:Q387" si="232">+O381</f>
        <v>6.2906798720359799E-2</v>
      </c>
      <c r="P382" s="516">
        <f t="shared" si="232"/>
        <v>6.1475030349022575E-2</v>
      </c>
      <c r="Q382" s="450">
        <f t="shared" si="232"/>
        <v>45965</v>
      </c>
      <c r="R382" s="450">
        <v>46469</v>
      </c>
      <c r="S382" s="509" t="s">
        <v>146</v>
      </c>
      <c r="T382" s="510">
        <f>Tabla33[[#This Row],[Cantidad]]*Tabla33[[#This Row],[Cortes]]</f>
        <v>5004.22</v>
      </c>
      <c r="U382" s="511">
        <f t="shared" si="209"/>
        <v>4643.1880908652001</v>
      </c>
      <c r="V382" s="511">
        <f t="shared" si="210"/>
        <v>4642.4120764970203</v>
      </c>
      <c r="W382" s="497">
        <f>IF(Tabla33[[#This Row],[Fecha de operación]]=$C$1,0,U382-V382)</f>
        <v>0.77601436817985814</v>
      </c>
      <c r="X382" s="512" t="str">
        <f t="shared" si="216"/>
        <v>Vigente</v>
      </c>
      <c r="Y382" s="517"/>
      <c r="Z382" s="449">
        <f t="shared" si="217"/>
        <v>448</v>
      </c>
      <c r="AA382" s="518">
        <f t="shared" ref="AA382:AB387" si="233">AA381</f>
        <v>1.1932319429644125</v>
      </c>
      <c r="AB382" s="518">
        <f t="shared" si="233"/>
        <v>1.1747568940938826</v>
      </c>
      <c r="AC382" s="449" t="str">
        <f t="shared" ref="AC382:AC387" si="234">+AC381</f>
        <v>Familiar CB</v>
      </c>
      <c r="AD382" s="449" t="s">
        <v>454</v>
      </c>
      <c r="AF382" s="444">
        <f>+IF(Tabla33[[#This Row],[Amortización k | cupón de intereses]]="Amortización de K",Tabla33[[#This Row],[Valor Nominal]],0)</f>
        <v>0</v>
      </c>
      <c r="AG382" s="444">
        <f>+IF(AND(Tabla33[[#This Row],[Amortización k | cupón de intereses]]="Cupón de interés",Tabla33[[#This Row],[Estado]]="Vigente"),Tabla33[[#This Row],[Valor Nominal]],0)</f>
        <v>5004.22</v>
      </c>
      <c r="AH382" s="444">
        <f>+IF(Tabla33[[#This Row],[Amortización k | cupón de intereses]]="Amortización de K",SUMIFS($AG$7:$AG$418,Tabla33[Código Emisión],Tabla33[[#This Row],[Código Emisión]],Tabla33[Fecha de operación],Tabla33[[#This Row],[Fecha de operación]]),0)-Tabla33[[#This Row],[Accrued]]*Tabla33[[#This Row],[Valor Nominal]]</f>
        <v>0</v>
      </c>
      <c r="AI382" s="444">
        <f>+IF(Tabla33[[#This Row],[Amortización k | cupón de intereses]]="Amortización de K",IF(Tabla33[[#This Row],[Precio Clean]]&gt;1,Tabla33[[#This Row],[Valor Nominal]]*(Tabla33[[#This Row],[Precio Clean]]-1),0),0)</f>
        <v>0</v>
      </c>
      <c r="AJ382" s="444">
        <f>+IF(Tabla33[[#This Row],[Amortización k | cupón de intereses]]="Amortización de K",IF(Tabla33[[#This Row],[Precio Clean]]&lt;1,Tabla33[[#This Row],[Valor Nominal]]*(Tabla33[[#This Row],[Precio Clean]]-1),0),0)</f>
        <v>0</v>
      </c>
    </row>
    <row r="383" spans="1:36">
      <c r="A383" s="502"/>
      <c r="B383" s="437" t="str">
        <f t="shared" si="231"/>
        <v>Bancop S.A.</v>
      </c>
      <c r="C383" s="437" t="str">
        <f t="shared" si="231"/>
        <v>BCO_6,15%_23032027_AA4031-35_150K</v>
      </c>
      <c r="D383" s="437" t="str">
        <f t="shared" si="231"/>
        <v>CDA</v>
      </c>
      <c r="E383" s="437" t="str">
        <f t="shared" si="231"/>
        <v>AA-py</v>
      </c>
      <c r="F383" s="437" t="str">
        <f t="shared" si="231"/>
        <v>Financiero</v>
      </c>
      <c r="G383" s="437" t="str">
        <f t="shared" si="231"/>
        <v>Paraguay</v>
      </c>
      <c r="H383" s="440">
        <f t="shared" si="231"/>
        <v>2</v>
      </c>
      <c r="I383" s="445">
        <v>2299.9299999999998</v>
      </c>
      <c r="J383" s="462"/>
      <c r="L383" s="442"/>
      <c r="M383" s="493"/>
      <c r="N383" s="493"/>
      <c r="O383" s="516">
        <f t="shared" si="232"/>
        <v>6.2906798720359799E-2</v>
      </c>
      <c r="P383" s="516">
        <f t="shared" si="232"/>
        <v>6.1475030349022575E-2</v>
      </c>
      <c r="Q383" s="450">
        <f t="shared" si="232"/>
        <v>45965</v>
      </c>
      <c r="R383" s="450">
        <v>46370</v>
      </c>
      <c r="S383" s="509" t="s">
        <v>146</v>
      </c>
      <c r="T383" s="510">
        <f>Tabla33[[#This Row],[Cantidad]]*Tabla33[[#This Row],[Cortes]]</f>
        <v>4599.8599999999997</v>
      </c>
      <c r="U383" s="511">
        <f t="shared" si="209"/>
        <v>4339.2119274918441</v>
      </c>
      <c r="V383" s="511">
        <f t="shared" si="210"/>
        <v>4338.4867165513406</v>
      </c>
      <c r="W383" s="497">
        <f>IF(Tabla33[[#This Row],[Fecha de operación]]=$C$1,0,U383-V383)</f>
        <v>0.72521094050352986</v>
      </c>
      <c r="X383" s="512" t="str">
        <f t="shared" si="216"/>
        <v>Vigente</v>
      </c>
      <c r="Y383" s="517"/>
      <c r="Z383" s="449">
        <f t="shared" si="217"/>
        <v>349</v>
      </c>
      <c r="AA383" s="518">
        <f t="shared" si="233"/>
        <v>1.1932319429644125</v>
      </c>
      <c r="AB383" s="518">
        <f t="shared" si="233"/>
        <v>1.1747568940938826</v>
      </c>
      <c r="AC383" s="449" t="str">
        <f t="shared" si="234"/>
        <v>Familiar CB</v>
      </c>
      <c r="AD383" s="449" t="s">
        <v>454</v>
      </c>
      <c r="AF383" s="444">
        <f>+IF(Tabla33[[#This Row],[Amortización k | cupón de intereses]]="Amortización de K",Tabla33[[#This Row],[Valor Nominal]],0)</f>
        <v>0</v>
      </c>
      <c r="AG383" s="444">
        <f>+IF(AND(Tabla33[[#This Row],[Amortización k | cupón de intereses]]="Cupón de interés",Tabla33[[#This Row],[Estado]]="Vigente"),Tabla33[[#This Row],[Valor Nominal]],0)</f>
        <v>4599.8599999999997</v>
      </c>
      <c r="AH383" s="444">
        <f>+IF(Tabla33[[#This Row],[Amortización k | cupón de intereses]]="Amortización de K",SUMIFS($AG$7:$AG$418,Tabla33[Código Emisión],Tabla33[[#This Row],[Código Emisión]],Tabla33[Fecha de operación],Tabla33[[#This Row],[Fecha de operación]]),0)-Tabla33[[#This Row],[Accrued]]*Tabla33[[#This Row],[Valor Nominal]]</f>
        <v>0</v>
      </c>
      <c r="AI383" s="444">
        <f>+IF(Tabla33[[#This Row],[Amortización k | cupón de intereses]]="Amortización de K",IF(Tabla33[[#This Row],[Precio Clean]]&gt;1,Tabla33[[#This Row],[Valor Nominal]]*(Tabla33[[#This Row],[Precio Clean]]-1),0),0)</f>
        <v>0</v>
      </c>
      <c r="AJ383" s="444">
        <f>+IF(Tabla33[[#This Row],[Amortización k | cupón de intereses]]="Amortización de K",IF(Tabla33[[#This Row],[Precio Clean]]&lt;1,Tabla33[[#This Row],[Valor Nominal]]*(Tabla33[[#This Row],[Precio Clean]]-1),0),0)</f>
        <v>0</v>
      </c>
    </row>
    <row r="384" spans="1:36">
      <c r="A384" s="502"/>
      <c r="B384" s="437" t="str">
        <f t="shared" si="231"/>
        <v>Bancop S.A.</v>
      </c>
      <c r="C384" s="437" t="str">
        <f t="shared" si="231"/>
        <v>BCO_6,15%_23032027_AA4031-35_150K</v>
      </c>
      <c r="D384" s="437" t="str">
        <f t="shared" si="231"/>
        <v>CDA</v>
      </c>
      <c r="E384" s="437" t="str">
        <f t="shared" si="231"/>
        <v>AA-py</v>
      </c>
      <c r="F384" s="437" t="str">
        <f t="shared" si="231"/>
        <v>Financiero</v>
      </c>
      <c r="G384" s="437" t="str">
        <f t="shared" si="231"/>
        <v>Paraguay</v>
      </c>
      <c r="H384" s="440">
        <f t="shared" si="231"/>
        <v>2</v>
      </c>
      <c r="I384" s="445">
        <v>2274.66</v>
      </c>
      <c r="J384" s="462"/>
      <c r="L384" s="442"/>
      <c r="M384" s="493"/>
      <c r="N384" s="493"/>
      <c r="O384" s="516">
        <f t="shared" si="232"/>
        <v>6.2906798720359799E-2</v>
      </c>
      <c r="P384" s="516">
        <f t="shared" si="232"/>
        <v>6.1475030349022575E-2</v>
      </c>
      <c r="Q384" s="450">
        <f t="shared" si="232"/>
        <v>45965</v>
      </c>
      <c r="R384" s="450">
        <v>46279</v>
      </c>
      <c r="S384" s="509" t="s">
        <v>146</v>
      </c>
      <c r="T384" s="510">
        <f>Tabla33[[#This Row],[Cantidad]]*Tabla33[[#This Row],[Cortes]]</f>
        <v>4549.32</v>
      </c>
      <c r="U384" s="511">
        <f t="shared" si="209"/>
        <v>4357.3092383094963</v>
      </c>
      <c r="V384" s="511">
        <f t="shared" si="210"/>
        <v>4356.5810027718962</v>
      </c>
      <c r="W384" s="497">
        <f>IF(Tabla33[[#This Row],[Fecha de operación]]=$C$1,0,U384-V384)</f>
        <v>0.72823553760008508</v>
      </c>
      <c r="X384" s="512" t="str">
        <f t="shared" si="216"/>
        <v>Vigente</v>
      </c>
      <c r="Y384" s="517"/>
      <c r="Z384" s="449">
        <f t="shared" si="217"/>
        <v>258</v>
      </c>
      <c r="AA384" s="518">
        <f t="shared" si="233"/>
        <v>1.1932319429644125</v>
      </c>
      <c r="AB384" s="518">
        <f t="shared" si="233"/>
        <v>1.1747568940938826</v>
      </c>
      <c r="AC384" s="449" t="str">
        <f t="shared" si="234"/>
        <v>Familiar CB</v>
      </c>
      <c r="AD384" s="449" t="s">
        <v>454</v>
      </c>
      <c r="AF384" s="444">
        <f>+IF(Tabla33[[#This Row],[Amortización k | cupón de intereses]]="Amortización de K",Tabla33[[#This Row],[Valor Nominal]],0)</f>
        <v>0</v>
      </c>
      <c r="AG384" s="444">
        <f>+IF(AND(Tabla33[[#This Row],[Amortización k | cupón de intereses]]="Cupón de interés",Tabla33[[#This Row],[Estado]]="Vigente"),Tabla33[[#This Row],[Valor Nominal]],0)</f>
        <v>4549.32</v>
      </c>
      <c r="AH384" s="444">
        <f>+IF(Tabla33[[#This Row],[Amortización k | cupón de intereses]]="Amortización de K",SUMIFS($AG$7:$AG$418,Tabla33[Código Emisión],Tabla33[[#This Row],[Código Emisión]],Tabla33[Fecha de operación],Tabla33[[#This Row],[Fecha de operación]]),0)-Tabla33[[#This Row],[Accrued]]*Tabla33[[#This Row],[Valor Nominal]]</f>
        <v>0</v>
      </c>
      <c r="AI384" s="444">
        <f>+IF(Tabla33[[#This Row],[Amortización k | cupón de intereses]]="Amortización de K",IF(Tabla33[[#This Row],[Precio Clean]]&gt;1,Tabla33[[#This Row],[Valor Nominal]]*(Tabla33[[#This Row],[Precio Clean]]-1),0),0)</f>
        <v>0</v>
      </c>
      <c r="AJ384" s="444">
        <f>+IF(Tabla33[[#This Row],[Amortización k | cupón de intereses]]="Amortización de K",IF(Tabla33[[#This Row],[Precio Clean]]&lt;1,Tabla33[[#This Row],[Valor Nominal]]*(Tabla33[[#This Row],[Precio Clean]]-1),0),0)</f>
        <v>0</v>
      </c>
    </row>
    <row r="385" spans="1:36">
      <c r="A385" s="502"/>
      <c r="B385" s="437" t="str">
        <f t="shared" si="231"/>
        <v>Bancop S.A.</v>
      </c>
      <c r="C385" s="437" t="str">
        <f t="shared" si="231"/>
        <v>BCO_6,15%_23032027_AA4031-35_150K</v>
      </c>
      <c r="D385" s="437" t="str">
        <f t="shared" si="231"/>
        <v>CDA</v>
      </c>
      <c r="E385" s="437" t="str">
        <f t="shared" si="231"/>
        <v>AA-py</v>
      </c>
      <c r="F385" s="437" t="str">
        <f t="shared" si="231"/>
        <v>Financiero</v>
      </c>
      <c r="G385" s="437" t="str">
        <f t="shared" si="231"/>
        <v>Paraguay</v>
      </c>
      <c r="H385" s="440">
        <f t="shared" si="231"/>
        <v>2</v>
      </c>
      <c r="I385" s="445">
        <v>2274.66</v>
      </c>
      <c r="J385" s="462"/>
      <c r="L385" s="442"/>
      <c r="M385" s="493"/>
      <c r="N385" s="493"/>
      <c r="O385" s="516">
        <f t="shared" si="232"/>
        <v>6.2906798720359799E-2</v>
      </c>
      <c r="P385" s="516">
        <f t="shared" si="232"/>
        <v>6.1475030349022575E-2</v>
      </c>
      <c r="Q385" s="450">
        <f t="shared" si="232"/>
        <v>45965</v>
      </c>
      <c r="R385" s="450">
        <v>46189</v>
      </c>
      <c r="S385" s="509" t="s">
        <v>146</v>
      </c>
      <c r="T385" s="510">
        <f>Tabla33[[#This Row],[Cantidad]]*Tabla33[[#This Row],[Cortes]]</f>
        <v>4549.32</v>
      </c>
      <c r="U385" s="511">
        <f t="shared" si="209"/>
        <v>4423.3514025197046</v>
      </c>
      <c r="V385" s="511">
        <f t="shared" si="210"/>
        <v>4422.6121293787737</v>
      </c>
      <c r="W385" s="497">
        <f>IF(Tabla33[[#This Row],[Fecha de operación]]=$C$1,0,U385-V385)</f>
        <v>0.7392731409308908</v>
      </c>
      <c r="X385" s="512" t="str">
        <f t="shared" si="216"/>
        <v>Vigente</v>
      </c>
      <c r="Y385" s="517"/>
      <c r="Z385" s="449">
        <f t="shared" si="217"/>
        <v>168</v>
      </c>
      <c r="AA385" s="518">
        <f t="shared" si="233"/>
        <v>1.1932319429644125</v>
      </c>
      <c r="AB385" s="518">
        <f t="shared" si="233"/>
        <v>1.1747568940938826</v>
      </c>
      <c r="AC385" s="449" t="str">
        <f t="shared" si="234"/>
        <v>Familiar CB</v>
      </c>
      <c r="AD385" s="449" t="s">
        <v>454</v>
      </c>
      <c r="AF385" s="444">
        <f>+IF(Tabla33[[#This Row],[Amortización k | cupón de intereses]]="Amortización de K",Tabla33[[#This Row],[Valor Nominal]],0)</f>
        <v>0</v>
      </c>
      <c r="AG385" s="444">
        <f>+IF(AND(Tabla33[[#This Row],[Amortización k | cupón de intereses]]="Cupón de interés",Tabla33[[#This Row],[Estado]]="Vigente"),Tabla33[[#This Row],[Valor Nominal]],0)</f>
        <v>4549.32</v>
      </c>
      <c r="AH385" s="444">
        <f>+IF(Tabla33[[#This Row],[Amortización k | cupón de intereses]]="Amortización de K",SUMIFS($AG$7:$AG$418,Tabla33[Código Emisión],Tabla33[[#This Row],[Código Emisión]],Tabla33[Fecha de operación],Tabla33[[#This Row],[Fecha de operación]]),0)-Tabla33[[#This Row],[Accrued]]*Tabla33[[#This Row],[Valor Nominal]]</f>
        <v>0</v>
      </c>
      <c r="AI385" s="444">
        <f>+IF(Tabla33[[#This Row],[Amortización k | cupón de intereses]]="Amortización de K",IF(Tabla33[[#This Row],[Precio Clean]]&gt;1,Tabla33[[#This Row],[Valor Nominal]]*(Tabla33[[#This Row],[Precio Clean]]-1),0),0)</f>
        <v>0</v>
      </c>
      <c r="AJ385" s="444">
        <f>+IF(Tabla33[[#This Row],[Amortización k | cupón de intereses]]="Amortización de K",IF(Tabla33[[#This Row],[Precio Clean]]&lt;1,Tabla33[[#This Row],[Valor Nominal]]*(Tabla33[[#This Row],[Precio Clean]]-1),0),0)</f>
        <v>0</v>
      </c>
    </row>
    <row r="386" spans="1:36">
      <c r="A386" s="502"/>
      <c r="B386" s="437" t="str">
        <f t="shared" si="231"/>
        <v>Bancop S.A.</v>
      </c>
      <c r="C386" s="437" t="str">
        <f t="shared" si="231"/>
        <v>BCO_6,15%_23032027_AA4031-35_150K</v>
      </c>
      <c r="D386" s="437" t="str">
        <f t="shared" si="231"/>
        <v>CDA</v>
      </c>
      <c r="E386" s="437" t="str">
        <f t="shared" si="231"/>
        <v>AA-py</v>
      </c>
      <c r="F386" s="437" t="str">
        <f t="shared" si="231"/>
        <v>Financiero</v>
      </c>
      <c r="G386" s="437" t="str">
        <f t="shared" si="231"/>
        <v>Paraguay</v>
      </c>
      <c r="H386" s="440">
        <f t="shared" si="231"/>
        <v>2</v>
      </c>
      <c r="I386" s="445">
        <v>2274.66</v>
      </c>
      <c r="J386" s="462"/>
      <c r="L386" s="442"/>
      <c r="M386" s="493"/>
      <c r="N386" s="493"/>
      <c r="O386" s="516">
        <f t="shared" si="232"/>
        <v>6.2906798720359799E-2</v>
      </c>
      <c r="P386" s="516">
        <f t="shared" si="232"/>
        <v>6.1475030349022575E-2</v>
      </c>
      <c r="Q386" s="450">
        <f t="shared" si="232"/>
        <v>45965</v>
      </c>
      <c r="R386" s="450">
        <v>46099</v>
      </c>
      <c r="S386" s="509" t="s">
        <v>146</v>
      </c>
      <c r="T386" s="510">
        <f>Tabla33[[#This Row],[Cantidad]]*Tabla33[[#This Row],[Cortes]]</f>
        <v>4549.32</v>
      </c>
      <c r="U386" s="511">
        <f t="shared" si="209"/>
        <v>4490.3945439878989</v>
      </c>
      <c r="V386" s="511">
        <f t="shared" si="210"/>
        <v>4489.6440659506661</v>
      </c>
      <c r="W386" s="497">
        <f>IF(Tabla33[[#This Row],[Fecha de operación]]=$C$1,0,U386-V386)</f>
        <v>0.75047803723282414</v>
      </c>
      <c r="X386" s="512" t="str">
        <f t="shared" si="216"/>
        <v>Vigente</v>
      </c>
      <c r="Y386" s="517"/>
      <c r="Z386" s="449">
        <f t="shared" si="217"/>
        <v>78</v>
      </c>
      <c r="AA386" s="518">
        <f t="shared" si="233"/>
        <v>1.1932319429644125</v>
      </c>
      <c r="AB386" s="518">
        <f t="shared" si="233"/>
        <v>1.1747568940938826</v>
      </c>
      <c r="AC386" s="449" t="str">
        <f t="shared" si="234"/>
        <v>Familiar CB</v>
      </c>
      <c r="AD386" s="449" t="s">
        <v>454</v>
      </c>
      <c r="AF386" s="444">
        <f>+IF(Tabla33[[#This Row],[Amortización k | cupón de intereses]]="Amortización de K",Tabla33[[#This Row],[Valor Nominal]],0)</f>
        <v>0</v>
      </c>
      <c r="AG386" s="444">
        <f>+IF(AND(Tabla33[[#This Row],[Amortización k | cupón de intereses]]="Cupón de interés",Tabla33[[#This Row],[Estado]]="Vigente"),Tabla33[[#This Row],[Valor Nominal]],0)</f>
        <v>4549.32</v>
      </c>
      <c r="AH386" s="444">
        <f>+IF(Tabla33[[#This Row],[Amortización k | cupón de intereses]]="Amortización de K",SUMIFS($AG$7:$AG$418,Tabla33[Código Emisión],Tabla33[[#This Row],[Código Emisión]],Tabla33[Fecha de operación],Tabla33[[#This Row],[Fecha de operación]]),0)-Tabla33[[#This Row],[Accrued]]*Tabla33[[#This Row],[Valor Nominal]]</f>
        <v>0</v>
      </c>
      <c r="AI386" s="444">
        <f>+IF(Tabla33[[#This Row],[Amortización k | cupón de intereses]]="Amortización de K",IF(Tabla33[[#This Row],[Precio Clean]]&gt;1,Tabla33[[#This Row],[Valor Nominal]]*(Tabla33[[#This Row],[Precio Clean]]-1),0),0)</f>
        <v>0</v>
      </c>
      <c r="AJ386" s="444">
        <f>+IF(Tabla33[[#This Row],[Amortización k | cupón de intereses]]="Amortización de K",IF(Tabla33[[#This Row],[Precio Clean]]&lt;1,Tabla33[[#This Row],[Valor Nominal]]*(Tabla33[[#This Row],[Precio Clean]]-1),0),0)</f>
        <v>0</v>
      </c>
    </row>
    <row r="387" spans="1:36">
      <c r="A387" s="502"/>
      <c r="B387" s="437" t="str">
        <f t="shared" si="231"/>
        <v>Bancop S.A.</v>
      </c>
      <c r="C387" s="437" t="str">
        <f t="shared" si="231"/>
        <v>BCO_6,15%_23032027_AA4031-35_150K</v>
      </c>
      <c r="D387" s="437" t="str">
        <f t="shared" si="231"/>
        <v>CDA</v>
      </c>
      <c r="E387" s="437" t="str">
        <f t="shared" si="231"/>
        <v>AA-py</v>
      </c>
      <c r="F387" s="437" t="str">
        <f t="shared" si="231"/>
        <v>Financiero</v>
      </c>
      <c r="G387" s="437" t="str">
        <f t="shared" si="231"/>
        <v>Paraguay</v>
      </c>
      <c r="H387" s="440">
        <f t="shared" si="231"/>
        <v>2</v>
      </c>
      <c r="I387" s="445">
        <v>2274.66</v>
      </c>
      <c r="J387" s="462"/>
      <c r="L387" s="442"/>
      <c r="M387" s="493"/>
      <c r="N387" s="493"/>
      <c r="O387" s="516">
        <f t="shared" si="232"/>
        <v>6.2906798720359799E-2</v>
      </c>
      <c r="P387" s="516">
        <f t="shared" si="232"/>
        <v>6.1475030349022575E-2</v>
      </c>
      <c r="Q387" s="450">
        <f t="shared" si="232"/>
        <v>45965</v>
      </c>
      <c r="R387" s="450">
        <v>46009</v>
      </c>
      <c r="S387" s="509" t="s">
        <v>146</v>
      </c>
      <c r="T387" s="510">
        <f>Tabla33[[#This Row],[Cantidad]]*Tabla33[[#This Row],[Cortes]]</f>
        <v>4549.32</v>
      </c>
      <c r="U387" s="511" t="b">
        <f t="shared" si="209"/>
        <v>0</v>
      </c>
      <c r="V387" s="511" t="b">
        <f t="shared" si="210"/>
        <v>0</v>
      </c>
      <c r="W387" s="497">
        <f>IF(Tabla33[[#This Row],[Fecha de operación]]=$C$1,0,U387-V387)</f>
        <v>0</v>
      </c>
      <c r="X387" s="512" t="str">
        <f t="shared" si="216"/>
        <v>Vencido</v>
      </c>
      <c r="Y387" s="517"/>
      <c r="Z387" s="449">
        <f t="shared" si="217"/>
        <v>-12</v>
      </c>
      <c r="AA387" s="518">
        <f t="shared" si="233"/>
        <v>1.1932319429644125</v>
      </c>
      <c r="AB387" s="518">
        <f t="shared" si="233"/>
        <v>1.1747568940938826</v>
      </c>
      <c r="AC387" s="449" t="str">
        <f t="shared" si="234"/>
        <v>Familiar CB</v>
      </c>
      <c r="AD387" s="449" t="s">
        <v>454</v>
      </c>
      <c r="AF387" s="444">
        <f>+IF(Tabla33[[#This Row],[Amortización k | cupón de intereses]]="Amortización de K",Tabla33[[#This Row],[Valor Nominal]],0)</f>
        <v>0</v>
      </c>
      <c r="AG387" s="444">
        <f>+IF(AND(Tabla33[[#This Row],[Amortización k | cupón de intereses]]="Cupón de interés",Tabla33[[#This Row],[Estado]]="Vigente"),Tabla33[[#This Row],[Valor Nominal]],0)</f>
        <v>0</v>
      </c>
      <c r="AH387" s="444">
        <f>+IF(Tabla33[[#This Row],[Amortización k | cupón de intereses]]="Amortización de K",SUMIFS($AG$7:$AG$418,Tabla33[Código Emisión],Tabla33[[#This Row],[Código Emisión]],Tabla33[Fecha de operación],Tabla33[[#This Row],[Fecha de operación]]),0)-Tabla33[[#This Row],[Accrued]]*Tabla33[[#This Row],[Valor Nominal]]</f>
        <v>0</v>
      </c>
      <c r="AI387" s="444">
        <f>+IF(Tabla33[[#This Row],[Amortización k | cupón de intereses]]="Amortización de K",IF(Tabla33[[#This Row],[Precio Clean]]&gt;1,Tabla33[[#This Row],[Valor Nominal]]*(Tabla33[[#This Row],[Precio Clean]]-1),0),0)</f>
        <v>0</v>
      </c>
      <c r="AJ387" s="444">
        <f>+IF(Tabla33[[#This Row],[Amortización k | cupón de intereses]]="Amortización de K",IF(Tabla33[[#This Row],[Precio Clean]]&lt;1,Tabla33[[#This Row],[Valor Nominal]]*(Tabla33[[#This Row],[Precio Clean]]-1),0),0)</f>
        <v>0</v>
      </c>
    </row>
    <row r="388" spans="1:36" ht="15">
      <c r="A388" s="500">
        <f>+A381+1</f>
        <v>39</v>
      </c>
      <c r="B388" s="475" t="s">
        <v>485</v>
      </c>
      <c r="C388" s="475" t="s">
        <v>571</v>
      </c>
      <c r="D388" s="475" t="s">
        <v>453</v>
      </c>
      <c r="E388" s="475" t="s">
        <v>487</v>
      </c>
      <c r="F388" s="475" t="s">
        <v>297</v>
      </c>
      <c r="G388" s="475" t="s">
        <v>298</v>
      </c>
      <c r="H388" s="475">
        <v>2</v>
      </c>
      <c r="I388" s="477">
        <v>50000</v>
      </c>
      <c r="J388" s="478">
        <v>6.5000000000000002E-2</v>
      </c>
      <c r="K388" s="479">
        <v>45996</v>
      </c>
      <c r="L388" s="478">
        <f>+Tabla33[[#This Row],[Tasa de Interés]]*($U$5-Tabla33[[#This Row],[Last coupon]])/365</f>
        <v>4.4520547945205479E-3</v>
      </c>
      <c r="M388" s="480">
        <f>+Tabla33[[#This Row],[Precio Dirty]]-Tabla33[[#This Row],[Accrued]]</f>
        <v>0.9999739071098841</v>
      </c>
      <c r="N388" s="481">
        <f>SUMIFS(U:U,C:C,C388,Q:Q,Q388)/SUMIFS(T:T,C:C,C388,Q:Q,Q388,AD:AD,"Amortización de K")</f>
        <v>1.0044259619044047</v>
      </c>
      <c r="O388" s="482">
        <v>6.6600474715232852E-2</v>
      </c>
      <c r="P388" s="482">
        <v>6.4998760445679871E-2</v>
      </c>
      <c r="Q388" s="484">
        <v>45996</v>
      </c>
      <c r="R388" s="484">
        <v>47092</v>
      </c>
      <c r="S388" s="504" t="s">
        <v>146</v>
      </c>
      <c r="T388" s="505">
        <f>Tabla33[[#This Row],[Cantidad]]*Tabla33[[#This Row],[Cortes]]</f>
        <v>100000</v>
      </c>
      <c r="U388" s="576">
        <f t="shared" si="209"/>
        <v>82762.937094665438</v>
      </c>
      <c r="V388" s="576">
        <f t="shared" si="210"/>
        <v>82748.318491203434</v>
      </c>
      <c r="W388" s="505">
        <f>IF(Tabla33[[#This Row],[Fecha de operación]]=$C$1,0,U388-V388)</f>
        <v>14.618603462004103</v>
      </c>
      <c r="X388" s="507" t="str">
        <f t="shared" si="216"/>
        <v>Vigente</v>
      </c>
      <c r="Y388" s="489" t="s">
        <v>450</v>
      </c>
      <c r="Z388" s="488">
        <f t="shared" si="217"/>
        <v>1071</v>
      </c>
      <c r="AA388" s="508">
        <f>IF(Y388="Mensual",DURATION($C$1,$C$1+Z388*12,J388/12,O388/12,1)/12,DURATION($C$1,R388,J388,O388,IF(Y388="Cupón cero",1,IF(Y388="Al vencimiento",1,IF(Y388="Anual",1,IF(Y388="Semestral",2,IF(Y388="Trimestral",4,"")))))))</f>
        <v>2.6796184722332725</v>
      </c>
      <c r="AB388" s="508">
        <f>IF(Y388="Mensual",MDURATION($C$1,$C$1+Z388*12,J388/12,O388/12,1)/12,MDURATION($C$1,R388,J388,O388,IF(Y388="Cupón cero",1,IF(Y388="Al vencimiento",1,IF(Y388="Anual",1,IF(Y388="Semestral",2,IF(Y388="Trimestral",4,"")))))))</f>
        <v>2.6357332016206141</v>
      </c>
      <c r="AC388" s="488" t="s">
        <v>451</v>
      </c>
      <c r="AD388" s="488" t="s">
        <v>452</v>
      </c>
      <c r="AF388" s="444">
        <f>+IF(Tabla33[[#This Row],[Amortización k | cupón de intereses]]="Amortización de K",Tabla33[[#This Row],[Valor Nominal]],0)</f>
        <v>100000</v>
      </c>
      <c r="AG388" s="444">
        <f>+IF(AND(Tabla33[[#This Row],[Amortización k | cupón de intereses]]="Cupón de interés",Tabla33[[#This Row],[Estado]]="Vigente"),Tabla33[[#This Row],[Valor Nominal]],0)</f>
        <v>0</v>
      </c>
      <c r="AH388" s="444">
        <f>+IF(Tabla33[[#This Row],[Amortización k | cupón de intereses]]="Amortización de K",SUMIFS($AG$7:$AG$418,Tabla33[Código Emisión],Tabla33[[#This Row],[Código Emisión]],Tabla33[Fecha de operación],Tabla33[[#This Row],[Fecha de operación]]),0)-Tabla33[[#This Row],[Accrued]]*Tabla33[[#This Row],[Valor Nominal]]</f>
        <v>19072.474520547945</v>
      </c>
      <c r="AI388" s="444">
        <f>+IF(Tabla33[[#This Row],[Amortización k | cupón de intereses]]="Amortización de K",IF(Tabla33[[#This Row],[Precio Clean]]&gt;1,Tabla33[[#This Row],[Valor Nominal]]*(Tabla33[[#This Row],[Precio Clean]]-1),0),0)</f>
        <v>0</v>
      </c>
      <c r="AJ388" s="444">
        <f>+IF(Tabla33[[#This Row],[Amortización k | cupón de intereses]]="Amortización de K",IF(Tabla33[[#This Row],[Precio Clean]]&lt;1,Tabla33[[#This Row],[Valor Nominal]]*(Tabla33[[#This Row],[Precio Clean]]-1),0),0)</f>
        <v>-2.6092890115902989</v>
      </c>
    </row>
    <row r="389" spans="1:36">
      <c r="A389" s="502"/>
      <c r="B389" s="437" t="str">
        <f t="shared" ref="B389:C400" si="235">+B388</f>
        <v>Banco Nacional de Fomento</v>
      </c>
      <c r="C389" s="437" t="str">
        <f t="shared" si="235"/>
        <v>BNF_6,50%_05122028_BB3247-52_50K</v>
      </c>
      <c r="D389" s="437" t="s">
        <v>453</v>
      </c>
      <c r="E389" s="437" t="str">
        <f t="shared" ref="E389:E400" si="236">+E388</f>
        <v>AA+py</v>
      </c>
      <c r="F389" s="437" t="s">
        <v>297</v>
      </c>
      <c r="G389" s="437" t="s">
        <v>298</v>
      </c>
      <c r="H389" s="437">
        <f t="shared" ref="H389:H400" si="237">+H388</f>
        <v>2</v>
      </c>
      <c r="I389" s="445">
        <v>810.27</v>
      </c>
      <c r="J389" s="462"/>
      <c r="K389" s="450"/>
      <c r="L389" s="462"/>
      <c r="M389" s="493"/>
      <c r="N389" s="493"/>
      <c r="O389" s="516">
        <f t="shared" ref="O389:Q400" si="238">+O388</f>
        <v>6.6600474715232852E-2</v>
      </c>
      <c r="P389" s="516">
        <f t="shared" si="238"/>
        <v>6.4998760445679871E-2</v>
      </c>
      <c r="Q389" s="450">
        <f t="shared" si="238"/>
        <v>45996</v>
      </c>
      <c r="R389" s="450">
        <v>47092</v>
      </c>
      <c r="S389" s="509" t="s">
        <v>146</v>
      </c>
      <c r="T389" s="510">
        <f>Tabla33[[#This Row],[Cantidad]]*Tabla33[[#This Row],[Cortes]]</f>
        <v>1620.54</v>
      </c>
      <c r="U389" s="511">
        <f t="shared" si="209"/>
        <v>1341.2065007938913</v>
      </c>
      <c r="V389" s="511">
        <f t="shared" si="210"/>
        <v>1340.9696004773482</v>
      </c>
      <c r="W389" s="497">
        <f>IF(Tabla33[[#This Row],[Fecha de operación]]=$C$1,0,U389-V389)</f>
        <v>0.23690031654314225</v>
      </c>
      <c r="X389" s="512" t="str">
        <f t="shared" si="216"/>
        <v>Vigente</v>
      </c>
      <c r="Y389" s="517" t="s">
        <v>450</v>
      </c>
      <c r="Z389" s="449">
        <f t="shared" si="217"/>
        <v>1071</v>
      </c>
      <c r="AA389" s="518">
        <f t="shared" ref="AA389:AB400" si="239">+AA388</f>
        <v>2.6796184722332725</v>
      </c>
      <c r="AB389" s="518">
        <f t="shared" si="239"/>
        <v>2.6357332016206141</v>
      </c>
      <c r="AC389" s="449" t="s">
        <v>451</v>
      </c>
      <c r="AD389" s="449" t="s">
        <v>454</v>
      </c>
      <c r="AF389" s="444">
        <f>+IF(Tabla33[[#This Row],[Amortización k | cupón de intereses]]="Amortización de K",Tabla33[[#This Row],[Valor Nominal]],0)</f>
        <v>0</v>
      </c>
      <c r="AG389" s="444">
        <f>+IF(AND(Tabla33[[#This Row],[Amortización k | cupón de intereses]]="Cupón de interés",Tabla33[[#This Row],[Estado]]="Vigente"),Tabla33[[#This Row],[Valor Nominal]],0)</f>
        <v>1620.54</v>
      </c>
      <c r="AH389" s="444">
        <f>+IF(Tabla33[[#This Row],[Amortización k | cupón de intereses]]="Amortización de K",SUMIFS($AG$7:$AG$418,Tabla33[Código Emisión],Tabla33[[#This Row],[Código Emisión]],Tabla33[Fecha de operación],Tabla33[[#This Row],[Fecha de operación]]),0)-Tabla33[[#This Row],[Accrued]]*Tabla33[[#This Row],[Valor Nominal]]</f>
        <v>0</v>
      </c>
      <c r="AI389" s="444">
        <f>+IF(Tabla33[[#This Row],[Amortización k | cupón de intereses]]="Amortización de K",IF(Tabla33[[#This Row],[Precio Clean]]&gt;1,Tabla33[[#This Row],[Valor Nominal]]*(Tabla33[[#This Row],[Precio Clean]]-1),0),0)</f>
        <v>0</v>
      </c>
      <c r="AJ389" s="444">
        <f>+IF(Tabla33[[#This Row],[Amortización k | cupón de intereses]]="Amortización de K",IF(Tabla33[[#This Row],[Precio Clean]]&lt;1,Tabla33[[#This Row],[Valor Nominal]]*(Tabla33[[#This Row],[Precio Clean]]-1),0),0)</f>
        <v>0</v>
      </c>
    </row>
    <row r="390" spans="1:36">
      <c r="A390" s="502"/>
      <c r="B390" s="437" t="str">
        <f t="shared" si="235"/>
        <v>Banco Nacional de Fomento</v>
      </c>
      <c r="C390" s="437" t="str">
        <f t="shared" si="235"/>
        <v>BNF_6,50%_05122028_BB3247-52_50K</v>
      </c>
      <c r="D390" s="437" t="s">
        <v>453</v>
      </c>
      <c r="E390" s="437" t="str">
        <f t="shared" si="236"/>
        <v>AA+py</v>
      </c>
      <c r="F390" s="437" t="s">
        <v>297</v>
      </c>
      <c r="G390" s="437" t="s">
        <v>298</v>
      </c>
      <c r="H390" s="437">
        <f t="shared" si="237"/>
        <v>2</v>
      </c>
      <c r="I390" s="445">
        <v>819.17</v>
      </c>
      <c r="J390" s="462"/>
      <c r="K390" s="450"/>
      <c r="L390" s="462"/>
      <c r="M390" s="493"/>
      <c r="N390" s="493"/>
      <c r="O390" s="516">
        <f t="shared" si="238"/>
        <v>6.6600474715232852E-2</v>
      </c>
      <c r="P390" s="516">
        <f t="shared" si="238"/>
        <v>6.4998760445679871E-2</v>
      </c>
      <c r="Q390" s="450">
        <f t="shared" si="238"/>
        <v>45996</v>
      </c>
      <c r="R390" s="450">
        <v>47001</v>
      </c>
      <c r="S390" s="509" t="s">
        <v>146</v>
      </c>
      <c r="T390" s="510">
        <f>Tabla33[[#This Row],[Cantidad]]*Tabla33[[#This Row],[Cortes]]</f>
        <v>1638.34</v>
      </c>
      <c r="U390" s="511">
        <f t="shared" si="209"/>
        <v>1377.9110821435925</v>
      </c>
      <c r="V390" s="511">
        <f t="shared" si="210"/>
        <v>1377.6676986144082</v>
      </c>
      <c r="W390" s="497">
        <f>IF(Tabla33[[#This Row],[Fecha de operación]]=$C$1,0,U390-V390)</f>
        <v>0.24338352918425699</v>
      </c>
      <c r="X390" s="512" t="str">
        <f t="shared" si="216"/>
        <v>Vigente</v>
      </c>
      <c r="Y390" s="517" t="s">
        <v>450</v>
      </c>
      <c r="Z390" s="449">
        <f t="shared" si="217"/>
        <v>980</v>
      </c>
      <c r="AA390" s="518">
        <f t="shared" si="239"/>
        <v>2.6796184722332725</v>
      </c>
      <c r="AB390" s="518">
        <f t="shared" si="239"/>
        <v>2.6357332016206141</v>
      </c>
      <c r="AC390" s="449" t="s">
        <v>451</v>
      </c>
      <c r="AD390" s="449" t="s">
        <v>454</v>
      </c>
      <c r="AF390" s="444">
        <f>+IF(Tabla33[[#This Row],[Amortización k | cupón de intereses]]="Amortización de K",Tabla33[[#This Row],[Valor Nominal]],0)</f>
        <v>0</v>
      </c>
      <c r="AG390" s="444">
        <f>+IF(AND(Tabla33[[#This Row],[Amortización k | cupón de intereses]]="Cupón de interés",Tabla33[[#This Row],[Estado]]="Vigente"),Tabla33[[#This Row],[Valor Nominal]],0)</f>
        <v>1638.34</v>
      </c>
      <c r="AH390" s="444">
        <f>+IF(Tabla33[[#This Row],[Amortización k | cupón de intereses]]="Amortización de K",SUMIFS($AG$7:$AG$418,Tabla33[Código Emisión],Tabla33[[#This Row],[Código Emisión]],Tabla33[Fecha de operación],Tabla33[[#This Row],[Fecha de operación]]),0)-Tabla33[[#This Row],[Accrued]]*Tabla33[[#This Row],[Valor Nominal]]</f>
        <v>0</v>
      </c>
      <c r="AI390" s="444">
        <f>+IF(Tabla33[[#This Row],[Amortización k | cupón de intereses]]="Amortización de K",IF(Tabla33[[#This Row],[Precio Clean]]&gt;1,Tabla33[[#This Row],[Valor Nominal]]*(Tabla33[[#This Row],[Precio Clean]]-1),0),0)</f>
        <v>0</v>
      </c>
      <c r="AJ390" s="444">
        <f>+IF(Tabla33[[#This Row],[Amortización k | cupón de intereses]]="Amortización de K",IF(Tabla33[[#This Row],[Precio Clean]]&lt;1,Tabla33[[#This Row],[Valor Nominal]]*(Tabla33[[#This Row],[Precio Clean]]-1),0),0)</f>
        <v>0</v>
      </c>
    </row>
    <row r="391" spans="1:36">
      <c r="A391" s="502"/>
      <c r="B391" s="437" t="str">
        <f t="shared" si="235"/>
        <v>Banco Nacional de Fomento</v>
      </c>
      <c r="C391" s="437" t="str">
        <f t="shared" si="235"/>
        <v>BNF_6,50%_05122028_BB3247-52_50K</v>
      </c>
      <c r="D391" s="437" t="s">
        <v>453</v>
      </c>
      <c r="E391" s="437" t="str">
        <f t="shared" si="236"/>
        <v>AA+py</v>
      </c>
      <c r="F391" s="437" t="s">
        <v>297</v>
      </c>
      <c r="G391" s="437" t="s">
        <v>298</v>
      </c>
      <c r="H391" s="437">
        <f t="shared" si="237"/>
        <v>2</v>
      </c>
      <c r="I391" s="445">
        <v>810.27</v>
      </c>
      <c r="J391" s="462"/>
      <c r="K391" s="450"/>
      <c r="L391" s="462"/>
      <c r="M391" s="493"/>
      <c r="N391" s="493"/>
      <c r="O391" s="516">
        <f t="shared" si="238"/>
        <v>6.6600474715232852E-2</v>
      </c>
      <c r="P391" s="516">
        <f t="shared" si="238"/>
        <v>6.4998760445679871E-2</v>
      </c>
      <c r="Q391" s="450">
        <f t="shared" si="238"/>
        <v>45996</v>
      </c>
      <c r="R391" s="450">
        <v>46909</v>
      </c>
      <c r="S391" s="509" t="s">
        <v>146</v>
      </c>
      <c r="T391" s="510">
        <f>Tabla33[[#This Row],[Cantidad]]*Tabla33[[#This Row],[Cortes]]</f>
        <v>1620.54</v>
      </c>
      <c r="U391" s="511">
        <f t="shared" si="209"/>
        <v>1385.2714852326581</v>
      </c>
      <c r="V391" s="511">
        <f t="shared" si="210"/>
        <v>1385.0268016189448</v>
      </c>
      <c r="W391" s="497">
        <f>IF(Tabla33[[#This Row],[Fecha de operación]]=$C$1,0,U391-V391)</f>
        <v>0.24468361371327774</v>
      </c>
      <c r="X391" s="512" t="str">
        <f t="shared" si="216"/>
        <v>Vigente</v>
      </c>
      <c r="Y391" s="517" t="s">
        <v>450</v>
      </c>
      <c r="Z391" s="449">
        <f t="shared" si="217"/>
        <v>888</v>
      </c>
      <c r="AA391" s="518">
        <f t="shared" si="239"/>
        <v>2.6796184722332725</v>
      </c>
      <c r="AB391" s="518">
        <f t="shared" si="239"/>
        <v>2.6357332016206141</v>
      </c>
      <c r="AC391" s="449" t="s">
        <v>451</v>
      </c>
      <c r="AD391" s="449" t="s">
        <v>454</v>
      </c>
      <c r="AF391" s="444">
        <f>+IF(Tabla33[[#This Row],[Amortización k | cupón de intereses]]="Amortización de K",Tabla33[[#This Row],[Valor Nominal]],0)</f>
        <v>0</v>
      </c>
      <c r="AG391" s="444">
        <f>+IF(AND(Tabla33[[#This Row],[Amortización k | cupón de intereses]]="Cupón de interés",Tabla33[[#This Row],[Estado]]="Vigente"),Tabla33[[#This Row],[Valor Nominal]],0)</f>
        <v>1620.54</v>
      </c>
      <c r="AH391" s="444">
        <f>+IF(Tabla33[[#This Row],[Amortización k | cupón de intereses]]="Amortización de K",SUMIFS($AG$7:$AG$418,Tabla33[Código Emisión],Tabla33[[#This Row],[Código Emisión]],Tabla33[Fecha de operación],Tabla33[[#This Row],[Fecha de operación]]),0)-Tabla33[[#This Row],[Accrued]]*Tabla33[[#This Row],[Valor Nominal]]</f>
        <v>0</v>
      </c>
      <c r="AI391" s="444">
        <f>+IF(Tabla33[[#This Row],[Amortización k | cupón de intereses]]="Amortización de K",IF(Tabla33[[#This Row],[Precio Clean]]&gt;1,Tabla33[[#This Row],[Valor Nominal]]*(Tabla33[[#This Row],[Precio Clean]]-1),0),0)</f>
        <v>0</v>
      </c>
      <c r="AJ391" s="444">
        <f>+IF(Tabla33[[#This Row],[Amortización k | cupón de intereses]]="Amortización de K",IF(Tabla33[[#This Row],[Precio Clean]]&lt;1,Tabla33[[#This Row],[Valor Nominal]]*(Tabla33[[#This Row],[Precio Clean]]-1),0),0)</f>
        <v>0</v>
      </c>
    </row>
    <row r="392" spans="1:36">
      <c r="A392" s="502"/>
      <c r="B392" s="437" t="str">
        <f t="shared" si="235"/>
        <v>Banco Nacional de Fomento</v>
      </c>
      <c r="C392" s="437" t="str">
        <f t="shared" si="235"/>
        <v>BNF_6,50%_05122028_BB3247-52_50K</v>
      </c>
      <c r="D392" s="437" t="s">
        <v>453</v>
      </c>
      <c r="E392" s="437" t="str">
        <f t="shared" si="236"/>
        <v>AA+py</v>
      </c>
      <c r="F392" s="437" t="s">
        <v>297</v>
      </c>
      <c r="G392" s="437" t="s">
        <v>298</v>
      </c>
      <c r="H392" s="437">
        <f t="shared" si="237"/>
        <v>2</v>
      </c>
      <c r="I392" s="445">
        <v>810.27</v>
      </c>
      <c r="J392" s="462"/>
      <c r="K392" s="450"/>
      <c r="L392" s="462"/>
      <c r="M392" s="493"/>
      <c r="N392" s="493"/>
      <c r="O392" s="516">
        <f t="shared" si="238"/>
        <v>6.6600474715232852E-2</v>
      </c>
      <c r="P392" s="516">
        <f t="shared" si="238"/>
        <v>6.4998760445679871E-2</v>
      </c>
      <c r="Q392" s="450">
        <f t="shared" si="238"/>
        <v>45996</v>
      </c>
      <c r="R392" s="450">
        <v>46818</v>
      </c>
      <c r="S392" s="509" t="s">
        <v>146</v>
      </c>
      <c r="T392" s="510">
        <f>Tabla33[[#This Row],[Cantidad]]*Tabla33[[#This Row],[Cortes]]</f>
        <v>1620.54</v>
      </c>
      <c r="U392" s="511">
        <f t="shared" si="209"/>
        <v>1407.7196036253195</v>
      </c>
      <c r="V392" s="511">
        <f t="shared" si="210"/>
        <v>1407.4709549500367</v>
      </c>
      <c r="W392" s="497">
        <f>IF(Tabla33[[#This Row],[Fecha de operación]]=$C$1,0,U392-V392)</f>
        <v>0.24864867528276591</v>
      </c>
      <c r="X392" s="512" t="str">
        <f t="shared" si="216"/>
        <v>Vigente</v>
      </c>
      <c r="Y392" s="517" t="s">
        <v>450</v>
      </c>
      <c r="Z392" s="449">
        <f t="shared" si="217"/>
        <v>797</v>
      </c>
      <c r="AA392" s="518">
        <f t="shared" si="239"/>
        <v>2.6796184722332725</v>
      </c>
      <c r="AB392" s="518">
        <f t="shared" si="239"/>
        <v>2.6357332016206141</v>
      </c>
      <c r="AC392" s="449" t="s">
        <v>451</v>
      </c>
      <c r="AD392" s="449" t="s">
        <v>454</v>
      </c>
      <c r="AF392" s="444">
        <f>+IF(Tabla33[[#This Row],[Amortización k | cupón de intereses]]="Amortización de K",Tabla33[[#This Row],[Valor Nominal]],0)</f>
        <v>0</v>
      </c>
      <c r="AG392" s="444">
        <f>+IF(AND(Tabla33[[#This Row],[Amortización k | cupón de intereses]]="Cupón de interés",Tabla33[[#This Row],[Estado]]="Vigente"),Tabla33[[#This Row],[Valor Nominal]],0)</f>
        <v>1620.54</v>
      </c>
      <c r="AH392" s="444">
        <f>+IF(Tabla33[[#This Row],[Amortización k | cupón de intereses]]="Amortización de K",SUMIFS($AG$7:$AG$418,Tabla33[Código Emisión],Tabla33[[#This Row],[Código Emisión]],Tabla33[Fecha de operación],Tabla33[[#This Row],[Fecha de operación]]),0)-Tabla33[[#This Row],[Accrued]]*Tabla33[[#This Row],[Valor Nominal]]</f>
        <v>0</v>
      </c>
      <c r="AI392" s="444">
        <f>+IF(Tabla33[[#This Row],[Amortización k | cupón de intereses]]="Amortización de K",IF(Tabla33[[#This Row],[Precio Clean]]&gt;1,Tabla33[[#This Row],[Valor Nominal]]*(Tabla33[[#This Row],[Precio Clean]]-1),0),0)</f>
        <v>0</v>
      </c>
      <c r="AJ392" s="444">
        <f>+IF(Tabla33[[#This Row],[Amortización k | cupón de intereses]]="Amortización de K",IF(Tabla33[[#This Row],[Precio Clean]]&lt;1,Tabla33[[#This Row],[Valor Nominal]]*(Tabla33[[#This Row],[Precio Clean]]-1),0),0)</f>
        <v>0</v>
      </c>
    </row>
    <row r="393" spans="1:36">
      <c r="A393" s="502"/>
      <c r="B393" s="437" t="str">
        <f t="shared" si="235"/>
        <v>Banco Nacional de Fomento</v>
      </c>
      <c r="C393" s="437" t="str">
        <f t="shared" si="235"/>
        <v>BNF_6,50%_05122028_BB3247-52_50K</v>
      </c>
      <c r="D393" s="437" t="s">
        <v>453</v>
      </c>
      <c r="E393" s="437" t="str">
        <f t="shared" si="236"/>
        <v>AA+py</v>
      </c>
      <c r="F393" s="437" t="s">
        <v>297</v>
      </c>
      <c r="G393" s="437" t="s">
        <v>298</v>
      </c>
      <c r="H393" s="437">
        <f t="shared" si="237"/>
        <v>2</v>
      </c>
      <c r="I393" s="445">
        <v>810.27</v>
      </c>
      <c r="J393" s="462"/>
      <c r="K393" s="450"/>
      <c r="L393" s="462"/>
      <c r="M393" s="493"/>
      <c r="N393" s="493"/>
      <c r="O393" s="516">
        <f t="shared" si="238"/>
        <v>6.6600474715232852E-2</v>
      </c>
      <c r="P393" s="516">
        <f t="shared" si="238"/>
        <v>6.4998760445679871E-2</v>
      </c>
      <c r="Q393" s="450">
        <f t="shared" si="238"/>
        <v>45996</v>
      </c>
      <c r="R393" s="450">
        <v>46727</v>
      </c>
      <c r="S393" s="509" t="s">
        <v>146</v>
      </c>
      <c r="T393" s="510">
        <f>Tabla33[[#This Row],[Cantidad]]*Tabla33[[#This Row],[Cortes]]</f>
        <v>1620.54</v>
      </c>
      <c r="U393" s="511">
        <f t="shared" si="209"/>
        <v>1430.5314904379206</v>
      </c>
      <c r="V393" s="511">
        <f t="shared" si="210"/>
        <v>1430.2788124478357</v>
      </c>
      <c r="W393" s="497">
        <f>IF(Tabla33[[#This Row],[Fecha de operación]]=$C$1,0,U393-V393)</f>
        <v>0.25267799008497605</v>
      </c>
      <c r="X393" s="512" t="str">
        <f t="shared" si="216"/>
        <v>Vigente</v>
      </c>
      <c r="Y393" s="517" t="s">
        <v>450</v>
      </c>
      <c r="Z393" s="449">
        <f t="shared" si="217"/>
        <v>706</v>
      </c>
      <c r="AA393" s="518">
        <f t="shared" si="239"/>
        <v>2.6796184722332725</v>
      </c>
      <c r="AB393" s="518">
        <f t="shared" si="239"/>
        <v>2.6357332016206141</v>
      </c>
      <c r="AC393" s="449" t="s">
        <v>451</v>
      </c>
      <c r="AD393" s="449" t="s">
        <v>454</v>
      </c>
      <c r="AF393" s="444">
        <f>+IF(Tabla33[[#This Row],[Amortización k | cupón de intereses]]="Amortización de K",Tabla33[[#This Row],[Valor Nominal]],0)</f>
        <v>0</v>
      </c>
      <c r="AG393" s="444">
        <f>+IF(AND(Tabla33[[#This Row],[Amortización k | cupón de intereses]]="Cupón de interés",Tabla33[[#This Row],[Estado]]="Vigente"),Tabla33[[#This Row],[Valor Nominal]],0)</f>
        <v>1620.54</v>
      </c>
      <c r="AH393" s="444">
        <f>+IF(Tabla33[[#This Row],[Amortización k | cupón de intereses]]="Amortización de K",SUMIFS($AG$7:$AG$418,Tabla33[Código Emisión],Tabla33[[#This Row],[Código Emisión]],Tabla33[Fecha de operación],Tabla33[[#This Row],[Fecha de operación]]),0)-Tabla33[[#This Row],[Accrued]]*Tabla33[[#This Row],[Valor Nominal]]</f>
        <v>0</v>
      </c>
      <c r="AI393" s="444">
        <f>+IF(Tabla33[[#This Row],[Amortización k | cupón de intereses]]="Amortización de K",IF(Tabla33[[#This Row],[Precio Clean]]&gt;1,Tabla33[[#This Row],[Valor Nominal]]*(Tabla33[[#This Row],[Precio Clean]]-1),0),0)</f>
        <v>0</v>
      </c>
      <c r="AJ393" s="444">
        <f>+IF(Tabla33[[#This Row],[Amortización k | cupón de intereses]]="Amortización de K",IF(Tabla33[[#This Row],[Precio Clean]]&lt;1,Tabla33[[#This Row],[Valor Nominal]]*(Tabla33[[#This Row],[Precio Clean]]-1),0),0)</f>
        <v>0</v>
      </c>
    </row>
    <row r="394" spans="1:36">
      <c r="A394" s="502"/>
      <c r="B394" s="437" t="str">
        <f t="shared" si="235"/>
        <v>Banco Nacional de Fomento</v>
      </c>
      <c r="C394" s="437" t="str">
        <f t="shared" si="235"/>
        <v>BNF_6,50%_05122028_BB3247-52_50K</v>
      </c>
      <c r="D394" s="437" t="s">
        <v>453</v>
      </c>
      <c r="E394" s="437" t="str">
        <f t="shared" si="236"/>
        <v>AA+py</v>
      </c>
      <c r="F394" s="437" t="s">
        <v>297</v>
      </c>
      <c r="G394" s="437" t="s">
        <v>298</v>
      </c>
      <c r="H394" s="437">
        <f t="shared" si="237"/>
        <v>2</v>
      </c>
      <c r="I394" s="445">
        <v>810.27</v>
      </c>
      <c r="J394" s="462"/>
      <c r="K394" s="450"/>
      <c r="L394" s="462"/>
      <c r="M394" s="493"/>
      <c r="N394" s="493"/>
      <c r="O394" s="516">
        <f t="shared" si="238"/>
        <v>6.6600474715232852E-2</v>
      </c>
      <c r="P394" s="516">
        <f t="shared" si="238"/>
        <v>6.4998760445679871E-2</v>
      </c>
      <c r="Q394" s="450">
        <f t="shared" si="238"/>
        <v>45996</v>
      </c>
      <c r="R394" s="450">
        <v>46636</v>
      </c>
      <c r="S394" s="509" t="s">
        <v>146</v>
      </c>
      <c r="T394" s="510">
        <f>Tabla33[[#This Row],[Cantidad]]*Tabla33[[#This Row],[Cortes]]</f>
        <v>1620.54</v>
      </c>
      <c r="U394" s="511">
        <f t="shared" si="209"/>
        <v>1453.7130404836055</v>
      </c>
      <c r="V394" s="511">
        <f t="shared" si="210"/>
        <v>1453.4562678842706</v>
      </c>
      <c r="W394" s="497">
        <f>IF(Tabla33[[#This Row],[Fecha de operación]]=$C$1,0,U394-V394)</f>
        <v>0.25677259933490859</v>
      </c>
      <c r="X394" s="512" t="str">
        <f t="shared" si="216"/>
        <v>Vigente</v>
      </c>
      <c r="Y394" s="517" t="s">
        <v>450</v>
      </c>
      <c r="Z394" s="449">
        <f t="shared" si="217"/>
        <v>615</v>
      </c>
      <c r="AA394" s="518">
        <f t="shared" si="239"/>
        <v>2.6796184722332725</v>
      </c>
      <c r="AB394" s="518">
        <f t="shared" si="239"/>
        <v>2.6357332016206141</v>
      </c>
      <c r="AC394" s="449" t="s">
        <v>451</v>
      </c>
      <c r="AD394" s="449" t="s">
        <v>454</v>
      </c>
      <c r="AF394" s="444">
        <f>+IF(Tabla33[[#This Row],[Amortización k | cupón de intereses]]="Amortización de K",Tabla33[[#This Row],[Valor Nominal]],0)</f>
        <v>0</v>
      </c>
      <c r="AG394" s="444">
        <f>+IF(AND(Tabla33[[#This Row],[Amortización k | cupón de intereses]]="Cupón de interés",Tabla33[[#This Row],[Estado]]="Vigente"),Tabla33[[#This Row],[Valor Nominal]],0)</f>
        <v>1620.54</v>
      </c>
      <c r="AH394" s="444">
        <f>+IF(Tabla33[[#This Row],[Amortización k | cupón de intereses]]="Amortización de K",SUMIFS($AG$7:$AG$418,Tabla33[Código Emisión],Tabla33[[#This Row],[Código Emisión]],Tabla33[Fecha de operación],Tabla33[[#This Row],[Fecha de operación]]),0)-Tabla33[[#This Row],[Accrued]]*Tabla33[[#This Row],[Valor Nominal]]</f>
        <v>0</v>
      </c>
      <c r="AI394" s="444">
        <f>+IF(Tabla33[[#This Row],[Amortización k | cupón de intereses]]="Amortización de K",IF(Tabla33[[#This Row],[Precio Clean]]&gt;1,Tabla33[[#This Row],[Valor Nominal]]*(Tabla33[[#This Row],[Precio Clean]]-1),0),0)</f>
        <v>0</v>
      </c>
      <c r="AJ394" s="444">
        <f>+IF(Tabla33[[#This Row],[Amortización k | cupón de intereses]]="Amortización de K",IF(Tabla33[[#This Row],[Precio Clean]]&lt;1,Tabla33[[#This Row],[Valor Nominal]]*(Tabla33[[#This Row],[Precio Clean]]-1),0),0)</f>
        <v>0</v>
      </c>
    </row>
    <row r="395" spans="1:36">
      <c r="A395" s="502"/>
      <c r="B395" s="437" t="str">
        <f t="shared" si="235"/>
        <v>Banco Nacional de Fomento</v>
      </c>
      <c r="C395" s="437" t="str">
        <f t="shared" si="235"/>
        <v>BNF_6,50%_05122028_BB3247-52_50K</v>
      </c>
      <c r="D395" s="437" t="s">
        <v>453</v>
      </c>
      <c r="E395" s="437" t="str">
        <f t="shared" si="236"/>
        <v>AA+py</v>
      </c>
      <c r="F395" s="437" t="s">
        <v>297</v>
      </c>
      <c r="G395" s="437" t="s">
        <v>298</v>
      </c>
      <c r="H395" s="437">
        <f t="shared" si="237"/>
        <v>2</v>
      </c>
      <c r="I395" s="445">
        <v>836.98</v>
      </c>
      <c r="J395" s="462"/>
      <c r="K395" s="450"/>
      <c r="L395" s="462"/>
      <c r="M395" s="493"/>
      <c r="N395" s="493"/>
      <c r="O395" s="516">
        <f t="shared" si="238"/>
        <v>6.6600474715232852E-2</v>
      </c>
      <c r="P395" s="516">
        <f t="shared" si="238"/>
        <v>6.4998760445679871E-2</v>
      </c>
      <c r="Q395" s="450">
        <f t="shared" si="238"/>
        <v>45996</v>
      </c>
      <c r="R395" s="450">
        <v>46545</v>
      </c>
      <c r="S395" s="509" t="s">
        <v>146</v>
      </c>
      <c r="T395" s="510">
        <f>Tabla33[[#This Row],[Cantidad]]*Tabla33[[#This Row],[Cortes]]</f>
        <v>1673.96</v>
      </c>
      <c r="U395" s="511">
        <f t="shared" si="209"/>
        <v>1525.9674539436126</v>
      </c>
      <c r="V395" s="511">
        <f t="shared" si="210"/>
        <v>1525.6979188849473</v>
      </c>
      <c r="W395" s="497">
        <f>IF(Tabla33[[#This Row],[Fecha de operación]]=$C$1,0,U395-V395)</f>
        <v>0.26953505866526939</v>
      </c>
      <c r="X395" s="512" t="str">
        <f t="shared" si="216"/>
        <v>Vigente</v>
      </c>
      <c r="Y395" s="517" t="s">
        <v>450</v>
      </c>
      <c r="Z395" s="449">
        <f t="shared" si="217"/>
        <v>524</v>
      </c>
      <c r="AA395" s="518">
        <f t="shared" si="239"/>
        <v>2.6796184722332725</v>
      </c>
      <c r="AB395" s="518">
        <f t="shared" si="239"/>
        <v>2.6357332016206141</v>
      </c>
      <c r="AC395" s="449" t="s">
        <v>451</v>
      </c>
      <c r="AD395" s="449" t="s">
        <v>454</v>
      </c>
      <c r="AF395" s="444">
        <f>+IF(Tabla33[[#This Row],[Amortización k | cupón de intereses]]="Amortización de K",Tabla33[[#This Row],[Valor Nominal]],0)</f>
        <v>0</v>
      </c>
      <c r="AG395" s="444">
        <f>+IF(AND(Tabla33[[#This Row],[Amortización k | cupón de intereses]]="Cupón de interés",Tabla33[[#This Row],[Estado]]="Vigente"),Tabla33[[#This Row],[Valor Nominal]],0)</f>
        <v>1673.96</v>
      </c>
      <c r="AH395" s="444">
        <f>+IF(Tabla33[[#This Row],[Amortización k | cupón de intereses]]="Amortización de K",SUMIFS($AG$7:$AG$418,Tabla33[Código Emisión],Tabla33[[#This Row],[Código Emisión]],Tabla33[Fecha de operación],Tabla33[[#This Row],[Fecha de operación]]),0)-Tabla33[[#This Row],[Accrued]]*Tabla33[[#This Row],[Valor Nominal]]</f>
        <v>0</v>
      </c>
      <c r="AI395" s="444">
        <f>+IF(Tabla33[[#This Row],[Amortización k | cupón de intereses]]="Amortización de K",IF(Tabla33[[#This Row],[Precio Clean]]&gt;1,Tabla33[[#This Row],[Valor Nominal]]*(Tabla33[[#This Row],[Precio Clean]]-1),0),0)</f>
        <v>0</v>
      </c>
      <c r="AJ395" s="444">
        <f>+IF(Tabla33[[#This Row],[Amortización k | cupón de intereses]]="Amortización de K",IF(Tabla33[[#This Row],[Precio Clean]]&lt;1,Tabla33[[#This Row],[Valor Nominal]]*(Tabla33[[#This Row],[Precio Clean]]-1),0),0)</f>
        <v>0</v>
      </c>
    </row>
    <row r="396" spans="1:36">
      <c r="A396" s="502"/>
      <c r="B396" s="437" t="str">
        <f t="shared" si="235"/>
        <v>Banco Nacional de Fomento</v>
      </c>
      <c r="C396" s="437" t="str">
        <f t="shared" si="235"/>
        <v>BNF_6,50%_05122028_BB3247-52_50K</v>
      </c>
      <c r="D396" s="437" t="s">
        <v>453</v>
      </c>
      <c r="E396" s="437" t="str">
        <f t="shared" si="236"/>
        <v>AA+py</v>
      </c>
      <c r="F396" s="437" t="s">
        <v>297</v>
      </c>
      <c r="G396" s="437" t="s">
        <v>298</v>
      </c>
      <c r="H396" s="437">
        <f t="shared" si="237"/>
        <v>2</v>
      </c>
      <c r="I396" s="445">
        <v>783.56</v>
      </c>
      <c r="J396" s="462"/>
      <c r="K396" s="450"/>
      <c r="L396" s="462"/>
      <c r="M396" s="493"/>
      <c r="N396" s="493"/>
      <c r="O396" s="516">
        <f t="shared" si="238"/>
        <v>6.6600474715232852E-2</v>
      </c>
      <c r="P396" s="516">
        <f t="shared" si="238"/>
        <v>6.4998760445679871E-2</v>
      </c>
      <c r="Q396" s="450">
        <f t="shared" si="238"/>
        <v>45996</v>
      </c>
      <c r="R396" s="450">
        <v>46451</v>
      </c>
      <c r="S396" s="509" t="s">
        <v>146</v>
      </c>
      <c r="T396" s="510">
        <f>Tabla33[[#This Row],[Cantidad]]*Tabla33[[#This Row],[Cortes]]</f>
        <v>1567.12</v>
      </c>
      <c r="U396" s="511">
        <f t="shared" si="209"/>
        <v>1452.4923828458957</v>
      </c>
      <c r="V396" s="511">
        <f t="shared" si="210"/>
        <v>1452.235825854061</v>
      </c>
      <c r="W396" s="497">
        <f>IF(Tabla33[[#This Row],[Fecha de operación]]=$C$1,0,U396-V396)</f>
        <v>0.2565569918347137</v>
      </c>
      <c r="X396" s="512" t="str">
        <f t="shared" si="216"/>
        <v>Vigente</v>
      </c>
      <c r="Y396" s="517" t="s">
        <v>450</v>
      </c>
      <c r="Z396" s="449">
        <f t="shared" si="217"/>
        <v>430</v>
      </c>
      <c r="AA396" s="518">
        <f t="shared" si="239"/>
        <v>2.6796184722332725</v>
      </c>
      <c r="AB396" s="518">
        <f t="shared" si="239"/>
        <v>2.6357332016206141</v>
      </c>
      <c r="AC396" s="449" t="s">
        <v>451</v>
      </c>
      <c r="AD396" s="449" t="s">
        <v>454</v>
      </c>
      <c r="AF396" s="444">
        <f>+IF(Tabla33[[#This Row],[Amortización k | cupón de intereses]]="Amortización de K",Tabla33[[#This Row],[Valor Nominal]],0)</f>
        <v>0</v>
      </c>
      <c r="AG396" s="444">
        <f>+IF(AND(Tabla33[[#This Row],[Amortización k | cupón de intereses]]="Cupón de interés",Tabla33[[#This Row],[Estado]]="Vigente"),Tabla33[[#This Row],[Valor Nominal]],0)</f>
        <v>1567.12</v>
      </c>
      <c r="AH396" s="444">
        <f>+IF(Tabla33[[#This Row],[Amortización k | cupón de intereses]]="Amortización de K",SUMIFS($AG$7:$AG$418,Tabla33[Código Emisión],Tabla33[[#This Row],[Código Emisión]],Tabla33[Fecha de operación],Tabla33[[#This Row],[Fecha de operación]]),0)-Tabla33[[#This Row],[Accrued]]*Tabla33[[#This Row],[Valor Nominal]]</f>
        <v>0</v>
      </c>
      <c r="AI396" s="444">
        <f>+IF(Tabla33[[#This Row],[Amortización k | cupón de intereses]]="Amortización de K",IF(Tabla33[[#This Row],[Precio Clean]]&gt;1,Tabla33[[#This Row],[Valor Nominal]]*(Tabla33[[#This Row],[Precio Clean]]-1),0),0)</f>
        <v>0</v>
      </c>
      <c r="AJ396" s="444">
        <f>+IF(Tabla33[[#This Row],[Amortización k | cupón de intereses]]="Amortización de K",IF(Tabla33[[#This Row],[Precio Clean]]&lt;1,Tabla33[[#This Row],[Valor Nominal]]*(Tabla33[[#This Row],[Precio Clean]]-1),0),0)</f>
        <v>0</v>
      </c>
    </row>
    <row r="397" spans="1:36">
      <c r="A397" s="502"/>
      <c r="B397" s="437" t="str">
        <f t="shared" si="235"/>
        <v>Banco Nacional de Fomento</v>
      </c>
      <c r="C397" s="437" t="str">
        <f t="shared" si="235"/>
        <v>BNF_6,50%_05122028_BB3247-52_50K</v>
      </c>
      <c r="D397" s="437" t="s">
        <v>453</v>
      </c>
      <c r="E397" s="437" t="str">
        <f t="shared" si="236"/>
        <v>AA+py</v>
      </c>
      <c r="F397" s="437" t="s">
        <v>297</v>
      </c>
      <c r="G397" s="437" t="s">
        <v>298</v>
      </c>
      <c r="H397" s="437">
        <f t="shared" si="237"/>
        <v>2</v>
      </c>
      <c r="I397" s="445">
        <v>810.27</v>
      </c>
      <c r="J397" s="462"/>
      <c r="K397" s="450"/>
      <c r="L397" s="462"/>
      <c r="M397" s="493"/>
      <c r="N397" s="493"/>
      <c r="O397" s="516">
        <f t="shared" si="238"/>
        <v>6.6600474715232852E-2</v>
      </c>
      <c r="P397" s="516">
        <f t="shared" si="238"/>
        <v>6.4998760445679871E-2</v>
      </c>
      <c r="Q397" s="450">
        <f t="shared" si="238"/>
        <v>45996</v>
      </c>
      <c r="R397" s="450">
        <v>46363</v>
      </c>
      <c r="S397" s="509" t="s">
        <v>146</v>
      </c>
      <c r="T397" s="510">
        <f>Tabla33[[#This Row],[Cantidad]]*Tabla33[[#This Row],[Cortes]]</f>
        <v>1620.54</v>
      </c>
      <c r="U397" s="511">
        <f t="shared" si="209"/>
        <v>1525.5360603320012</v>
      </c>
      <c r="V397" s="511">
        <f t="shared" si="210"/>
        <v>1525.2666014713582</v>
      </c>
      <c r="W397" s="497">
        <f>IF(Tabla33[[#This Row],[Fecha de operación]]=$C$1,0,U397-V397)</f>
        <v>0.26945886064299884</v>
      </c>
      <c r="X397" s="512" t="str">
        <f t="shared" si="216"/>
        <v>Vigente</v>
      </c>
      <c r="Y397" s="517" t="s">
        <v>450</v>
      </c>
      <c r="Z397" s="449">
        <f t="shared" si="217"/>
        <v>342</v>
      </c>
      <c r="AA397" s="518">
        <f t="shared" si="239"/>
        <v>2.6796184722332725</v>
      </c>
      <c r="AB397" s="518">
        <f t="shared" si="239"/>
        <v>2.6357332016206141</v>
      </c>
      <c r="AC397" s="449" t="s">
        <v>451</v>
      </c>
      <c r="AD397" s="449" t="s">
        <v>454</v>
      </c>
      <c r="AF397" s="444">
        <f>+IF(Tabla33[[#This Row],[Amortización k | cupón de intereses]]="Amortización de K",Tabla33[[#This Row],[Valor Nominal]],0)</f>
        <v>0</v>
      </c>
      <c r="AG397" s="444">
        <f>+IF(AND(Tabla33[[#This Row],[Amortización k | cupón de intereses]]="Cupón de interés",Tabla33[[#This Row],[Estado]]="Vigente"),Tabla33[[#This Row],[Valor Nominal]],0)</f>
        <v>1620.54</v>
      </c>
      <c r="AH397" s="444">
        <f>+IF(Tabla33[[#This Row],[Amortización k | cupón de intereses]]="Amortización de K",SUMIFS($AG$7:$AG$418,Tabla33[Código Emisión],Tabla33[[#This Row],[Código Emisión]],Tabla33[Fecha de operación],Tabla33[[#This Row],[Fecha de operación]]),0)-Tabla33[[#This Row],[Accrued]]*Tabla33[[#This Row],[Valor Nominal]]</f>
        <v>0</v>
      </c>
      <c r="AI397" s="444">
        <f>+IF(Tabla33[[#This Row],[Amortización k | cupón de intereses]]="Amortización de K",IF(Tabla33[[#This Row],[Precio Clean]]&gt;1,Tabla33[[#This Row],[Valor Nominal]]*(Tabla33[[#This Row],[Precio Clean]]-1),0),0)</f>
        <v>0</v>
      </c>
      <c r="AJ397" s="444">
        <f>+IF(Tabla33[[#This Row],[Amortización k | cupón de intereses]]="Amortización de K",IF(Tabla33[[#This Row],[Precio Clean]]&lt;1,Tabla33[[#This Row],[Valor Nominal]]*(Tabla33[[#This Row],[Precio Clean]]-1),0),0)</f>
        <v>0</v>
      </c>
    </row>
    <row r="398" spans="1:36">
      <c r="A398" s="502"/>
      <c r="B398" s="437" t="str">
        <f t="shared" si="235"/>
        <v>Banco Nacional de Fomento</v>
      </c>
      <c r="C398" s="437" t="str">
        <f t="shared" si="235"/>
        <v>BNF_6,50%_05122028_BB3247-52_50K</v>
      </c>
      <c r="D398" s="437" t="s">
        <v>453</v>
      </c>
      <c r="E398" s="437" t="str">
        <f t="shared" si="236"/>
        <v>AA+py</v>
      </c>
      <c r="F398" s="437" t="s">
        <v>297</v>
      </c>
      <c r="G398" s="437" t="s">
        <v>298</v>
      </c>
      <c r="H398" s="437">
        <f t="shared" si="237"/>
        <v>2</v>
      </c>
      <c r="I398" s="445">
        <v>836.98</v>
      </c>
      <c r="J398" s="462"/>
      <c r="K398" s="450"/>
      <c r="L398" s="462"/>
      <c r="M398" s="493"/>
      <c r="N398" s="493"/>
      <c r="O398" s="516">
        <f t="shared" si="238"/>
        <v>6.6600474715232852E-2</v>
      </c>
      <c r="P398" s="516">
        <f t="shared" si="238"/>
        <v>6.4998760445679871E-2</v>
      </c>
      <c r="Q398" s="450">
        <f t="shared" si="238"/>
        <v>45996</v>
      </c>
      <c r="R398" s="450">
        <v>46272</v>
      </c>
      <c r="S398" s="509" t="s">
        <v>146</v>
      </c>
      <c r="T398" s="510">
        <f>Tabla33[[#This Row],[Cantidad]]*Tabla33[[#This Row],[Cortes]]</f>
        <v>1673.96</v>
      </c>
      <c r="U398" s="511">
        <f t="shared" si="209"/>
        <v>1601.3603187528447</v>
      </c>
      <c r="V398" s="511">
        <f t="shared" si="210"/>
        <v>1601.077466883138</v>
      </c>
      <c r="W398" s="497">
        <f>IF(Tabla33[[#This Row],[Fecha de operación]]=$C$1,0,U398-V398)</f>
        <v>0.28285186970674658</v>
      </c>
      <c r="X398" s="512" t="str">
        <f t="shared" si="216"/>
        <v>Vigente</v>
      </c>
      <c r="Y398" s="517" t="s">
        <v>450</v>
      </c>
      <c r="Z398" s="449">
        <f t="shared" si="217"/>
        <v>251</v>
      </c>
      <c r="AA398" s="518">
        <f t="shared" si="239"/>
        <v>2.6796184722332725</v>
      </c>
      <c r="AB398" s="518">
        <f t="shared" si="239"/>
        <v>2.6357332016206141</v>
      </c>
      <c r="AC398" s="449" t="s">
        <v>451</v>
      </c>
      <c r="AD398" s="449" t="s">
        <v>454</v>
      </c>
      <c r="AF398" s="444">
        <f>+IF(Tabla33[[#This Row],[Amortización k | cupón de intereses]]="Amortización de K",Tabla33[[#This Row],[Valor Nominal]],0)</f>
        <v>0</v>
      </c>
      <c r="AG398" s="444">
        <f>+IF(AND(Tabla33[[#This Row],[Amortización k | cupón de intereses]]="Cupón de interés",Tabla33[[#This Row],[Estado]]="Vigente"),Tabla33[[#This Row],[Valor Nominal]],0)</f>
        <v>1673.96</v>
      </c>
      <c r="AH398" s="444">
        <f>+IF(Tabla33[[#This Row],[Amortización k | cupón de intereses]]="Amortización de K",SUMIFS($AG$7:$AG$418,Tabla33[Código Emisión],Tabla33[[#This Row],[Código Emisión]],Tabla33[Fecha de operación],Tabla33[[#This Row],[Fecha de operación]]),0)-Tabla33[[#This Row],[Accrued]]*Tabla33[[#This Row],[Valor Nominal]]</f>
        <v>0</v>
      </c>
      <c r="AI398" s="444">
        <f>+IF(Tabla33[[#This Row],[Amortización k | cupón de intereses]]="Amortización de K",IF(Tabla33[[#This Row],[Precio Clean]]&gt;1,Tabla33[[#This Row],[Valor Nominal]]*(Tabla33[[#This Row],[Precio Clean]]-1),0),0)</f>
        <v>0</v>
      </c>
      <c r="AJ398" s="444">
        <f>+IF(Tabla33[[#This Row],[Amortización k | cupón de intereses]]="Amortización de K",IF(Tabla33[[#This Row],[Precio Clean]]&lt;1,Tabla33[[#This Row],[Valor Nominal]]*(Tabla33[[#This Row],[Precio Clean]]-1),0),0)</f>
        <v>0</v>
      </c>
    </row>
    <row r="399" spans="1:36">
      <c r="A399" s="502"/>
      <c r="B399" s="437" t="str">
        <f t="shared" si="235"/>
        <v>Banco Nacional de Fomento</v>
      </c>
      <c r="C399" s="437" t="str">
        <f t="shared" si="235"/>
        <v>BNF_6,50%_05122028_BB3247-52_50K</v>
      </c>
      <c r="D399" s="437" t="s">
        <v>453</v>
      </c>
      <c r="E399" s="437" t="str">
        <f t="shared" si="236"/>
        <v>AA+py</v>
      </c>
      <c r="F399" s="437" t="s">
        <v>297</v>
      </c>
      <c r="G399" s="437" t="s">
        <v>298</v>
      </c>
      <c r="H399" s="437">
        <f t="shared" si="237"/>
        <v>2</v>
      </c>
      <c r="I399" s="445">
        <v>819.17</v>
      </c>
      <c r="J399" s="462"/>
      <c r="K399" s="450"/>
      <c r="L399" s="462"/>
      <c r="M399" s="493"/>
      <c r="N399" s="493"/>
      <c r="O399" s="516">
        <f t="shared" si="238"/>
        <v>6.6600474715232852E-2</v>
      </c>
      <c r="P399" s="516">
        <f t="shared" si="238"/>
        <v>6.4998760445679871E-2</v>
      </c>
      <c r="Q399" s="450">
        <f t="shared" si="238"/>
        <v>45996</v>
      </c>
      <c r="R399" s="450">
        <v>46178</v>
      </c>
      <c r="S399" s="509" t="s">
        <v>146</v>
      </c>
      <c r="T399" s="510">
        <f>Tabla33[[#This Row],[Cantidad]]*Tabla33[[#This Row],[Cortes]]</f>
        <v>1638.34</v>
      </c>
      <c r="U399" s="511">
        <f t="shared" si="209"/>
        <v>1593.5270374631175</v>
      </c>
      <c r="V399" s="511">
        <f t="shared" si="210"/>
        <v>1593.2455692034785</v>
      </c>
      <c r="W399" s="497">
        <f>IF(Tabla33[[#This Row],[Fecha de operación]]=$C$1,0,U399-V399)</f>
        <v>0.28146825963904121</v>
      </c>
      <c r="X399" s="512" t="str">
        <f t="shared" si="216"/>
        <v>Vigente</v>
      </c>
      <c r="Y399" s="517" t="s">
        <v>450</v>
      </c>
      <c r="Z399" s="449">
        <f t="shared" si="217"/>
        <v>157</v>
      </c>
      <c r="AA399" s="518">
        <f t="shared" si="239"/>
        <v>2.6796184722332725</v>
      </c>
      <c r="AB399" s="518">
        <f t="shared" si="239"/>
        <v>2.6357332016206141</v>
      </c>
      <c r="AC399" s="449" t="s">
        <v>451</v>
      </c>
      <c r="AD399" s="449" t="s">
        <v>454</v>
      </c>
      <c r="AF399" s="444">
        <f>+IF(Tabla33[[#This Row],[Amortización k | cupón de intereses]]="Amortización de K",Tabla33[[#This Row],[Valor Nominal]],0)</f>
        <v>0</v>
      </c>
      <c r="AG399" s="444">
        <f>+IF(AND(Tabla33[[#This Row],[Amortización k | cupón de intereses]]="Cupón de interés",Tabla33[[#This Row],[Estado]]="Vigente"),Tabla33[[#This Row],[Valor Nominal]],0)</f>
        <v>1638.34</v>
      </c>
      <c r="AH399" s="444">
        <f>+IF(Tabla33[[#This Row],[Amortización k | cupón de intereses]]="Amortización de K",SUMIFS($AG$7:$AG$418,Tabla33[Código Emisión],Tabla33[[#This Row],[Código Emisión]],Tabla33[Fecha de operación],Tabla33[[#This Row],[Fecha de operación]]),0)-Tabla33[[#This Row],[Accrued]]*Tabla33[[#This Row],[Valor Nominal]]</f>
        <v>0</v>
      </c>
      <c r="AI399" s="444">
        <f>+IF(Tabla33[[#This Row],[Amortización k | cupón de intereses]]="Amortización de K",IF(Tabla33[[#This Row],[Precio Clean]]&gt;1,Tabla33[[#This Row],[Valor Nominal]]*(Tabla33[[#This Row],[Precio Clean]]-1),0),0)</f>
        <v>0</v>
      </c>
      <c r="AJ399" s="444">
        <f>+IF(Tabla33[[#This Row],[Amortización k | cupón de intereses]]="Amortización de K",IF(Tabla33[[#This Row],[Precio Clean]]&lt;1,Tabla33[[#This Row],[Valor Nominal]]*(Tabla33[[#This Row],[Precio Clean]]-1),0),0)</f>
        <v>0</v>
      </c>
    </row>
    <row r="400" spans="1:36">
      <c r="A400" s="502"/>
      <c r="B400" s="437" t="str">
        <f t="shared" si="235"/>
        <v>Banco Nacional de Fomento</v>
      </c>
      <c r="C400" s="437" t="str">
        <f t="shared" si="235"/>
        <v>BNF_6,50%_05122028_BB3247-52_50K</v>
      </c>
      <c r="D400" s="437" t="s">
        <v>453</v>
      </c>
      <c r="E400" s="437" t="str">
        <f t="shared" si="236"/>
        <v>AA+py</v>
      </c>
      <c r="F400" s="437" t="s">
        <v>297</v>
      </c>
      <c r="G400" s="437" t="s">
        <v>298</v>
      </c>
      <c r="H400" s="437">
        <f t="shared" si="237"/>
        <v>2</v>
      </c>
      <c r="I400" s="445">
        <v>801.36</v>
      </c>
      <c r="J400" s="462"/>
      <c r="K400" s="450"/>
      <c r="L400" s="462"/>
      <c r="M400" s="493"/>
      <c r="N400" s="493"/>
      <c r="O400" s="516">
        <f t="shared" si="238"/>
        <v>6.6600474715232852E-2</v>
      </c>
      <c r="P400" s="516">
        <f t="shared" si="238"/>
        <v>6.4998760445679871E-2</v>
      </c>
      <c r="Q400" s="450">
        <f t="shared" si="238"/>
        <v>45996</v>
      </c>
      <c r="R400" s="450">
        <v>46086</v>
      </c>
      <c r="S400" s="509" t="s">
        <v>146</v>
      </c>
      <c r="T400" s="510">
        <f>Tabla33[[#This Row],[Cantidad]]*Tabla33[[#This Row],[Cortes]]</f>
        <v>1602.72</v>
      </c>
      <c r="U400" s="511">
        <f t="shared" si="209"/>
        <v>1584.422639720558</v>
      </c>
      <c r="V400" s="511">
        <f t="shared" si="210"/>
        <v>1584.1427795911404</v>
      </c>
      <c r="W400" s="497">
        <f>IF(Tabla33[[#This Row],[Fecha de operación]]=$C$1,0,U400-V400)</f>
        <v>0.27986012941755689</v>
      </c>
      <c r="X400" s="512" t="str">
        <f t="shared" si="216"/>
        <v>Vigente</v>
      </c>
      <c r="Y400" s="517" t="s">
        <v>450</v>
      </c>
      <c r="Z400" s="449">
        <f t="shared" si="217"/>
        <v>65</v>
      </c>
      <c r="AA400" s="518">
        <f t="shared" si="239"/>
        <v>2.6796184722332725</v>
      </c>
      <c r="AB400" s="518">
        <f t="shared" si="239"/>
        <v>2.6357332016206141</v>
      </c>
      <c r="AC400" s="449" t="s">
        <v>451</v>
      </c>
      <c r="AD400" s="449" t="s">
        <v>454</v>
      </c>
      <c r="AF400" s="444">
        <f>+IF(Tabla33[[#This Row],[Amortización k | cupón de intereses]]="Amortización de K",Tabla33[[#This Row],[Valor Nominal]],0)</f>
        <v>0</v>
      </c>
      <c r="AG400" s="444">
        <f>+IF(AND(Tabla33[[#This Row],[Amortización k | cupón de intereses]]="Cupón de interés",Tabla33[[#This Row],[Estado]]="Vigente"),Tabla33[[#This Row],[Valor Nominal]],0)</f>
        <v>1602.72</v>
      </c>
      <c r="AH400" s="444">
        <f>+IF(Tabla33[[#This Row],[Amortización k | cupón de intereses]]="Amortización de K",SUMIFS($AG$7:$AG$418,Tabla33[Código Emisión],Tabla33[[#This Row],[Código Emisión]],Tabla33[Fecha de operación],Tabla33[[#This Row],[Fecha de operación]]),0)-Tabla33[[#This Row],[Accrued]]*Tabla33[[#This Row],[Valor Nominal]]</f>
        <v>0</v>
      </c>
      <c r="AI400" s="444">
        <f>+IF(Tabla33[[#This Row],[Amortización k | cupón de intereses]]="Amortización de K",IF(Tabla33[[#This Row],[Precio Clean]]&gt;1,Tabla33[[#This Row],[Valor Nominal]]*(Tabla33[[#This Row],[Precio Clean]]-1),0),0)</f>
        <v>0</v>
      </c>
      <c r="AJ400" s="444">
        <f>+IF(Tabla33[[#This Row],[Amortización k | cupón de intereses]]="Amortización de K",IF(Tabla33[[#This Row],[Precio Clean]]&lt;1,Tabla33[[#This Row],[Valor Nominal]]*(Tabla33[[#This Row],[Precio Clean]]-1),0),0)</f>
        <v>0</v>
      </c>
    </row>
    <row r="401" spans="1:38">
      <c r="A401" s="554">
        <f>+A388+1</f>
        <v>40</v>
      </c>
      <c r="B401" s="555" t="s">
        <v>519</v>
      </c>
      <c r="C401" s="555" t="s">
        <v>572</v>
      </c>
      <c r="D401" s="555" t="s">
        <v>560</v>
      </c>
      <c r="E401" s="555" t="s">
        <v>573</v>
      </c>
      <c r="F401" s="555" t="s">
        <v>520</v>
      </c>
      <c r="G401" s="555" t="s">
        <v>403</v>
      </c>
      <c r="H401" s="555">
        <v>700</v>
      </c>
      <c r="I401" s="556">
        <v>1000</v>
      </c>
      <c r="J401" s="557">
        <v>0</v>
      </c>
      <c r="K401" s="558">
        <v>1</v>
      </c>
      <c r="L401" s="557">
        <f>+(1*(J401/365)*(Q401-K401))</f>
        <v>0</v>
      </c>
      <c r="M401" s="577">
        <f>(SUM(U401)/Tabla33[[#This Row],[Valor Nominal]])-Tabla33[[#This Row],[Accrued]]</f>
        <v>0.99721453355748391</v>
      </c>
      <c r="N401" s="578">
        <f>(SUM(U401)/Tabla33[[#This Row],[Valor Nominal]])</f>
        <v>0.99721453355748391</v>
      </c>
      <c r="O401" s="557">
        <v>3.7030364278689332E-2</v>
      </c>
      <c r="P401" s="557">
        <v>3.6435567948340124E-2</v>
      </c>
      <c r="Q401" s="558">
        <v>46008</v>
      </c>
      <c r="R401" s="558">
        <v>46049</v>
      </c>
      <c r="S401" s="559" t="s">
        <v>146</v>
      </c>
      <c r="T401" s="560">
        <f>Tabla33[[#This Row],[Cantidad]]*Tabla33[[#This Row],[Cortes]]</f>
        <v>700000</v>
      </c>
      <c r="U401" s="561">
        <f>IF(X401="VIgente",(T401/(1+O401)^((R401-$U$5)/365)))</f>
        <v>698050.17349023873</v>
      </c>
      <c r="V401" s="561">
        <f>IF(X401="VIgente",(T401/(1+O401)^((R401-$V$5)/365)))</f>
        <v>697980.63736828556</v>
      </c>
      <c r="W401" s="562">
        <f>IF(Tabla33[[#This Row],[Fecha de operación]]=$C$1,0,U401-V401)</f>
        <v>69.536121953162365</v>
      </c>
      <c r="X401" s="563" t="str">
        <f>IF(R401&lt;=$U$5,"Vencido","Vigente")</f>
        <v>Vigente</v>
      </c>
      <c r="Y401" s="564" t="s">
        <v>521</v>
      </c>
      <c r="Z401" s="564">
        <f>+R401-$U$5</f>
        <v>28</v>
      </c>
      <c r="AA401" s="556">
        <v>0</v>
      </c>
      <c r="AB401" s="556">
        <v>0</v>
      </c>
      <c r="AC401" s="564" t="s">
        <v>451</v>
      </c>
      <c r="AD401" s="564" t="s">
        <v>452</v>
      </c>
      <c r="AF401" s="444">
        <f>+IF(Tabla33[[#This Row],[Amortización k | cupón de intereses]]="Amortización de K",Tabla33[[#This Row],[Valor Nominal]],0)</f>
        <v>700000</v>
      </c>
      <c r="AG401" s="444">
        <f>+IF(AND(Tabla33[[#This Row],[Amortización k | cupón de intereses]]="Cupón de interés",Tabla33[[#This Row],[Estado]]="Vigente"),Tabla33[[#This Row],[Valor Nominal]],0)</f>
        <v>0</v>
      </c>
      <c r="AH401" s="444">
        <f>+IF(Tabla33[[#This Row],[Amortización k | cupón de intereses]]="Amortización de K",SUMIFS($AG$7:$AG$418,Tabla33[Código Emisión],Tabla33[[#This Row],[Código Emisión]],Tabla33[Fecha de operación],Tabla33[[#This Row],[Fecha de operación]]),0)-Tabla33[[#This Row],[Accrued]]*Tabla33[[#This Row],[Valor Nominal]]</f>
        <v>0</v>
      </c>
      <c r="AI401" s="444">
        <f>+IF(Tabla33[[#This Row],[Amortización k | cupón de intereses]]="Amortización de K",IF(Tabla33[[#This Row],[Precio Clean]]&gt;1,Tabla33[[#This Row],[Valor Nominal]]*(Tabla33[[#This Row],[Precio Clean]]-1),0),0)</f>
        <v>0</v>
      </c>
      <c r="AJ401" s="444">
        <f>+IF(Tabla33[[#This Row],[Amortización k | cupón de intereses]]="Amortización de K",IF(Tabla33[[#This Row],[Precio Clean]]&lt;1,Tabla33[[#This Row],[Valor Nominal]]*(Tabla33[[#This Row],[Precio Clean]]-1),0),0)</f>
        <v>-1949.8265097612655</v>
      </c>
      <c r="AK401" s="444"/>
    </row>
    <row r="402" spans="1:38">
      <c r="A402" s="530">
        <f>+A401+1</f>
        <v>41</v>
      </c>
      <c r="B402" s="531" t="s">
        <v>522</v>
      </c>
      <c r="C402" s="531" t="s">
        <v>574</v>
      </c>
      <c r="D402" s="531" t="s">
        <v>481</v>
      </c>
      <c r="E402" s="531" t="s">
        <v>523</v>
      </c>
      <c r="F402" s="531" t="s">
        <v>297</v>
      </c>
      <c r="G402" s="531" t="s">
        <v>298</v>
      </c>
      <c r="H402" s="531"/>
      <c r="I402" s="532"/>
      <c r="J402" s="533"/>
      <c r="K402" s="534"/>
      <c r="L402" s="533"/>
      <c r="M402" s="577">
        <f>(SUM(U402)/Tabla33[[#This Row],[Valor Nominal]])-Tabla33[[#This Row],[Accrued]]</f>
        <v>0.99893274061320547</v>
      </c>
      <c r="N402" s="578">
        <f>(SUM(U402)/Tabla33[[#This Row],[Valor Nominal]])</f>
        <v>0.99893274061320547</v>
      </c>
      <c r="O402" s="482">
        <v>6.7115929722785975E-2</v>
      </c>
      <c r="P402" s="482">
        <v>6.5000000000000002E-2</v>
      </c>
      <c r="Q402" s="534">
        <v>46020</v>
      </c>
      <c r="R402" s="534">
        <v>46027</v>
      </c>
      <c r="S402" s="535" t="s">
        <v>146</v>
      </c>
      <c r="T402" s="579">
        <v>1586947.76</v>
      </c>
      <c r="U402" s="580">
        <f>IF(X402="VIgente",(T402/(1+O402)^((R402-$U$5)/365)))</f>
        <v>1585254.0751067875</v>
      </c>
      <c r="V402" s="580">
        <f>IF(X402="VIgente",(T402/(1+O402)^((R402-$V$5)/365)))</f>
        <v>1584971.9700823734</v>
      </c>
      <c r="W402" s="581">
        <f>IF(Tabla33[[#This Row],[Fecha de operación]]=$C$1,0,U402-V402)</f>
        <v>282.10502441413701</v>
      </c>
      <c r="X402" s="536" t="str">
        <f>IF(R402&lt;=$U$5,"Vencido","Vigente")</f>
        <v>Vigente</v>
      </c>
      <c r="Y402" s="489" t="s">
        <v>498</v>
      </c>
      <c r="Z402" s="537">
        <f>+R402-$U$5</f>
        <v>6</v>
      </c>
      <c r="AA402" s="508">
        <v>0</v>
      </c>
      <c r="AB402" s="508">
        <v>0</v>
      </c>
      <c r="AC402" s="537" t="s">
        <v>451</v>
      </c>
      <c r="AD402" s="582" t="s">
        <v>452</v>
      </c>
      <c r="AF402" s="444">
        <v>1584971.97</v>
      </c>
      <c r="AG402" s="444">
        <v>1975.79</v>
      </c>
      <c r="AH402" s="444">
        <f>+(AG402/7)*6</f>
        <v>1693.5342857142859</v>
      </c>
      <c r="AI402" s="444">
        <f>+IF(Tabla33[[#This Row],[Amortización k | cupón de intereses]]="Amortización de K",IF(Tabla33[[#This Row],[Precio Clean]]&gt;1,Tabla33[[#This Row],[Valor Nominal]]*(Tabla33[[#This Row],[Precio Clean]]-1),0),0)</f>
        <v>0</v>
      </c>
      <c r="AJ402" s="444">
        <v>0</v>
      </c>
      <c r="AK402" s="444"/>
      <c r="AL402" s="444"/>
    </row>
    <row r="403" spans="1:38" ht="15">
      <c r="A403" s="500">
        <f>+A402+1</f>
        <v>42</v>
      </c>
      <c r="B403" s="475" t="s">
        <v>485</v>
      </c>
      <c r="C403" s="475" t="s">
        <v>575</v>
      </c>
      <c r="D403" s="475" t="s">
        <v>453</v>
      </c>
      <c r="E403" s="475" t="s">
        <v>487</v>
      </c>
      <c r="F403" s="475" t="s">
        <v>297</v>
      </c>
      <c r="G403" s="475" t="s">
        <v>298</v>
      </c>
      <c r="H403" s="475">
        <v>4</v>
      </c>
      <c r="I403" s="477">
        <v>250000</v>
      </c>
      <c r="J403" s="478">
        <v>6.5000000000000002E-2</v>
      </c>
      <c r="K403" s="479">
        <v>45996</v>
      </c>
      <c r="L403" s="478">
        <f>+Tabla33[[#This Row],[Tasa de Interés]]*($U$5-Tabla33[[#This Row],[Last coupon]])/365</f>
        <v>4.4520547945205479E-3</v>
      </c>
      <c r="M403" s="480">
        <f>+Tabla33[[#This Row],[Precio Dirty]]-Tabla33[[#This Row],[Accrued]]</f>
        <v>0.99997345913530977</v>
      </c>
      <c r="N403" s="481">
        <f>SUMIFS(U:U,C:C,C403,Q:Q,Q403)/SUMIFS(T:T,C:C,C403,Q:Q,Q403,AD:AD,"Amortización de K")</f>
        <v>1.0044255139298304</v>
      </c>
      <c r="O403" s="482">
        <v>6.6596600413322452E-2</v>
      </c>
      <c r="P403" s="482">
        <v>6.4995228046491604E-2</v>
      </c>
      <c r="Q403" s="484">
        <v>46021</v>
      </c>
      <c r="R403" s="484">
        <v>47092</v>
      </c>
      <c r="S403" s="504" t="s">
        <v>146</v>
      </c>
      <c r="T403" s="510">
        <f>Tabla33[[#This Row],[Cantidad]]*Tabla33[[#This Row],[Cortes]]</f>
        <v>1000000</v>
      </c>
      <c r="U403" s="583">
        <f t="shared" ref="U403:U418" si="240">IF(X403="VIgente",(T403/(1+O403)^((R403-$U$5)/365)))</f>
        <v>827638.19213900447</v>
      </c>
      <c r="V403" s="583">
        <f t="shared" ref="V403:V418" si="241">IF(X403="VIgente",(T403/(1+O403)^((R403-$V$5)/365)))</f>
        <v>827492.01278127392</v>
      </c>
      <c r="W403" s="510">
        <f>IF(Tabla33[[#This Row],[Fecha de operación]]=$C$1,0,U403-V403)</f>
        <v>0</v>
      </c>
      <c r="X403" s="507" t="str">
        <f t="shared" ref="X403:X418" si="242">IF(R403&lt;=$U$5,"Vencido","Vigente")</f>
        <v>Vigente</v>
      </c>
      <c r="Y403" s="489" t="s">
        <v>450</v>
      </c>
      <c r="Z403" s="488">
        <f t="shared" ref="Z403:Z418" si="243">+R403-$U$5</f>
        <v>1071</v>
      </c>
      <c r="AA403" s="508">
        <f>IF(Y403="Mensual",DURATION($C$1,$C$1+Z403*12,J403/12,O403/12,1)/12,DURATION($C$1,R403,J403,O403,IF(Y403="Cupón cero",1,IF(Y403="Al vencimiento",1,IF(Y403="Anual",1,IF(Y403="Semestral",2,IF(Y403="Trimestral",4,"")))))))</f>
        <v>2.6796200932841741</v>
      </c>
      <c r="AB403" s="508">
        <f>IF(Y403="Mensual",MDURATION($C$1,$C$1+Z403*12,J403/12,O403/12,1)/12,MDURATION($C$1,R403,J403,O403,IF(Y403="Cupón cero",1,IF(Y403="Al vencimiento",1,IF(Y403="Anual",1,IF(Y403="Semestral",2,IF(Y403="Trimestral",4,"")))))))</f>
        <v>2.6357373072232657</v>
      </c>
      <c r="AC403" s="488" t="s">
        <v>451</v>
      </c>
      <c r="AD403" s="488" t="s">
        <v>452</v>
      </c>
      <c r="AF403" s="444">
        <f>+IF(Tabla33[[#This Row],[Amortización k | cupón de intereses]]="Amortización de K",Tabla33[[#This Row],[Valor Nominal]],0)</f>
        <v>1000000</v>
      </c>
      <c r="AG403" s="444">
        <f>+IF(AND(Tabla33[[#This Row],[Amortización k | cupón de intereses]]="Cupón de interés",Tabla33[[#This Row],[Estado]]="Vigente"),Tabla33[[#This Row],[Valor Nominal]],0)</f>
        <v>0</v>
      </c>
      <c r="AH403" s="444">
        <f>+IF(Tabla33[[#This Row],[Amortización k | cupón de intereses]]="Amortización de K",SUMIFS($AG$7:$AG$418,Tabla33[Código Emisión],Tabla33[[#This Row],[Código Emisión]],Tabla33[Fecha de operación],Tabla33[[#This Row],[Fecha de operación]]),0)-Tabla33[[#This Row],[Accrued]]*Tabla33[[#This Row],[Valor Nominal]]</f>
        <v>190713.70520547946</v>
      </c>
      <c r="AI403" s="444">
        <f>+IF(Tabla33[[#This Row],[Amortización k | cupón de intereses]]="Amortización de K",IF(Tabla33[[#This Row],[Precio Clean]]&gt;1,Tabla33[[#This Row],[Valor Nominal]]*(Tabla33[[#This Row],[Precio Clean]]-1),0),0)</f>
        <v>0</v>
      </c>
      <c r="AJ403" s="444">
        <f>+IF(Tabla33[[#This Row],[Amortización k | cupón de intereses]]="Amortización de K",IF(Tabla33[[#This Row],[Precio Clean]]&lt;1,Tabla33[[#This Row],[Valor Nominal]]*(Tabla33[[#This Row],[Precio Clean]]-1),0),0)</f>
        <v>-26.54086469022765</v>
      </c>
      <c r="AK403" s="444"/>
    </row>
    <row r="404" spans="1:38">
      <c r="A404" s="502"/>
      <c r="B404" s="437" t="str">
        <f t="shared" ref="B404:C415" si="244">+B403</f>
        <v>Banco Nacional de Fomento</v>
      </c>
      <c r="C404" s="437" t="str">
        <f t="shared" si="244"/>
        <v>BNF_6,50%_05122028_BB3255-58_250K</v>
      </c>
      <c r="D404" s="437" t="s">
        <v>453</v>
      </c>
      <c r="E404" s="437" t="str">
        <f t="shared" ref="E404:E418" si="245">+E403</f>
        <v>AA+py</v>
      </c>
      <c r="F404" s="437" t="s">
        <v>297</v>
      </c>
      <c r="G404" s="437" t="s">
        <v>298</v>
      </c>
      <c r="H404" s="437">
        <f t="shared" ref="H404:H418" si="246">+H403</f>
        <v>4</v>
      </c>
      <c r="I404" s="445">
        <v>4051.36</v>
      </c>
      <c r="J404" s="462"/>
      <c r="K404" s="450"/>
      <c r="L404" s="462"/>
      <c r="M404" s="493"/>
      <c r="N404" s="493"/>
      <c r="O404" s="516">
        <f t="shared" ref="O404:Q415" si="247">+O403</f>
        <v>6.6596600413322452E-2</v>
      </c>
      <c r="P404" s="516">
        <f t="shared" si="247"/>
        <v>6.4995228046491604E-2</v>
      </c>
      <c r="Q404" s="450">
        <f t="shared" si="247"/>
        <v>46021</v>
      </c>
      <c r="R404" s="450">
        <v>47092</v>
      </c>
      <c r="S404" s="509" t="s">
        <v>146</v>
      </c>
      <c r="T404" s="510">
        <f>Tabla33[[#This Row],[Cantidad]]*Tabla33[[#This Row],[Cortes]]</f>
        <v>16205.44</v>
      </c>
      <c r="U404" s="511">
        <f t="shared" si="240"/>
        <v>13412.241064417109</v>
      </c>
      <c r="V404" s="511">
        <f t="shared" si="241"/>
        <v>13409.872163606167</v>
      </c>
      <c r="W404" s="497">
        <f>IF(Tabla33[[#This Row],[Fecha de operación]]=$C$1,0,U404-V404)</f>
        <v>0</v>
      </c>
      <c r="X404" s="512" t="str">
        <f t="shared" si="242"/>
        <v>Vigente</v>
      </c>
      <c r="Y404" s="517" t="s">
        <v>450</v>
      </c>
      <c r="Z404" s="449">
        <f t="shared" si="243"/>
        <v>1071</v>
      </c>
      <c r="AA404" s="518">
        <f t="shared" ref="AA404:AB415" si="248">+AA403</f>
        <v>2.6796200932841741</v>
      </c>
      <c r="AB404" s="518">
        <f t="shared" si="248"/>
        <v>2.6357373072232657</v>
      </c>
      <c r="AC404" s="449" t="s">
        <v>451</v>
      </c>
      <c r="AD404" s="449" t="s">
        <v>454</v>
      </c>
      <c r="AF404" s="444">
        <f>+IF(Tabla33[[#This Row],[Amortización k | cupón de intereses]]="Amortización de K",Tabla33[[#This Row],[Valor Nominal]],0)</f>
        <v>0</v>
      </c>
      <c r="AG404" s="444">
        <f>+IF(AND(Tabla33[[#This Row],[Amortización k | cupón de intereses]]="Cupón de interés",Tabla33[[#This Row],[Estado]]="Vigente"),Tabla33[[#This Row],[Valor Nominal]],0)</f>
        <v>16205.44</v>
      </c>
      <c r="AH404" s="444">
        <f>+IF(Tabla33[[#This Row],[Amortización k | cupón de intereses]]="Amortización de K",SUMIFS($AG$7:$AG$418,Tabla33[Código Emisión],Tabla33[[#This Row],[Código Emisión]],Tabla33[Fecha de operación],Tabla33[[#This Row],[Fecha de operación]]),0)-Tabla33[[#This Row],[Accrued]]*Tabla33[[#This Row],[Valor Nominal]]</f>
        <v>0</v>
      </c>
      <c r="AI404" s="444">
        <f>+IF(Tabla33[[#This Row],[Amortización k | cupón de intereses]]="Amortización de K",IF(Tabla33[[#This Row],[Precio Clean]]&gt;1,Tabla33[[#This Row],[Valor Nominal]]*(Tabla33[[#This Row],[Precio Clean]]-1),0),0)</f>
        <v>0</v>
      </c>
      <c r="AJ404" s="444">
        <f>+IF(Tabla33[[#This Row],[Amortización k | cupón de intereses]]="Amortización de K",IF(Tabla33[[#This Row],[Precio Clean]]&lt;1,Tabla33[[#This Row],[Valor Nominal]]*(Tabla33[[#This Row],[Precio Clean]]-1),0),0)</f>
        <v>0</v>
      </c>
      <c r="AK404" s="444"/>
    </row>
    <row r="405" spans="1:38">
      <c r="A405" s="502"/>
      <c r="B405" s="437" t="str">
        <f t="shared" si="244"/>
        <v>Banco Nacional de Fomento</v>
      </c>
      <c r="C405" s="437" t="str">
        <f t="shared" si="244"/>
        <v>BNF_6,50%_05122028_BB3255-58_250K</v>
      </c>
      <c r="D405" s="437" t="s">
        <v>453</v>
      </c>
      <c r="E405" s="437" t="str">
        <f t="shared" si="245"/>
        <v>AA+py</v>
      </c>
      <c r="F405" s="437" t="s">
        <v>297</v>
      </c>
      <c r="G405" s="437" t="s">
        <v>298</v>
      </c>
      <c r="H405" s="437">
        <f t="shared" si="246"/>
        <v>4</v>
      </c>
      <c r="I405" s="445">
        <v>4095.89</v>
      </c>
      <c r="J405" s="462"/>
      <c r="K405" s="450"/>
      <c r="L405" s="462"/>
      <c r="M405" s="493"/>
      <c r="N405" s="493"/>
      <c r="O405" s="516">
        <f t="shared" si="247"/>
        <v>6.6596600413322452E-2</v>
      </c>
      <c r="P405" s="516">
        <f t="shared" si="247"/>
        <v>6.4995228046491604E-2</v>
      </c>
      <c r="Q405" s="450">
        <f t="shared" si="247"/>
        <v>46021</v>
      </c>
      <c r="R405" s="450">
        <v>47001</v>
      </c>
      <c r="S405" s="509" t="s">
        <v>146</v>
      </c>
      <c r="T405" s="510">
        <f>Tabla33[[#This Row],[Cantidad]]*Tabla33[[#This Row],[Cortes]]</f>
        <v>16383.56</v>
      </c>
      <c r="U405" s="511">
        <f t="shared" si="240"/>
        <v>13779.379773749439</v>
      </c>
      <c r="V405" s="511">
        <f t="shared" si="241"/>
        <v>13776.946028056715</v>
      </c>
      <c r="W405" s="497">
        <f>IF(Tabla33[[#This Row],[Fecha de operación]]=$C$1,0,U405-V405)</f>
        <v>0</v>
      </c>
      <c r="X405" s="512" t="str">
        <f t="shared" si="242"/>
        <v>Vigente</v>
      </c>
      <c r="Y405" s="517" t="s">
        <v>450</v>
      </c>
      <c r="Z405" s="449">
        <f t="shared" si="243"/>
        <v>980</v>
      </c>
      <c r="AA405" s="518">
        <f t="shared" si="248"/>
        <v>2.6796200932841741</v>
      </c>
      <c r="AB405" s="518">
        <f t="shared" si="248"/>
        <v>2.6357373072232657</v>
      </c>
      <c r="AC405" s="449" t="s">
        <v>451</v>
      </c>
      <c r="AD405" s="449" t="s">
        <v>454</v>
      </c>
      <c r="AF405" s="444">
        <f>+IF(Tabla33[[#This Row],[Amortización k | cupón de intereses]]="Amortización de K",Tabla33[[#This Row],[Valor Nominal]],0)</f>
        <v>0</v>
      </c>
      <c r="AG405" s="444">
        <f>+IF(AND(Tabla33[[#This Row],[Amortización k | cupón de intereses]]="Cupón de interés",Tabla33[[#This Row],[Estado]]="Vigente"),Tabla33[[#This Row],[Valor Nominal]],0)</f>
        <v>16383.56</v>
      </c>
      <c r="AH405" s="444">
        <f>+IF(Tabla33[[#This Row],[Amortización k | cupón de intereses]]="Amortización de K",SUMIFS($AG$7:$AG$418,Tabla33[Código Emisión],Tabla33[[#This Row],[Código Emisión]],Tabla33[Fecha de operación],Tabla33[[#This Row],[Fecha de operación]]),0)-Tabla33[[#This Row],[Accrued]]*Tabla33[[#This Row],[Valor Nominal]]</f>
        <v>0</v>
      </c>
      <c r="AI405" s="444">
        <f>+IF(Tabla33[[#This Row],[Amortización k | cupón de intereses]]="Amortización de K",IF(Tabla33[[#This Row],[Precio Clean]]&gt;1,Tabla33[[#This Row],[Valor Nominal]]*(Tabla33[[#This Row],[Precio Clean]]-1),0),0)</f>
        <v>0</v>
      </c>
      <c r="AJ405" s="444">
        <f>+IF(Tabla33[[#This Row],[Amortización k | cupón de intereses]]="Amortización de K",IF(Tabla33[[#This Row],[Precio Clean]]&lt;1,Tabla33[[#This Row],[Valor Nominal]]*(Tabla33[[#This Row],[Precio Clean]]-1),0),0)</f>
        <v>0</v>
      </c>
    </row>
    <row r="406" spans="1:38">
      <c r="A406" s="502"/>
      <c r="B406" s="437" t="str">
        <f t="shared" si="244"/>
        <v>Banco Nacional de Fomento</v>
      </c>
      <c r="C406" s="437" t="str">
        <f t="shared" si="244"/>
        <v>BNF_6,50%_05122028_BB3255-58_250K</v>
      </c>
      <c r="D406" s="437" t="s">
        <v>453</v>
      </c>
      <c r="E406" s="437" t="str">
        <f t="shared" si="245"/>
        <v>AA+py</v>
      </c>
      <c r="F406" s="437" t="s">
        <v>297</v>
      </c>
      <c r="G406" s="437" t="s">
        <v>298</v>
      </c>
      <c r="H406" s="437">
        <f t="shared" si="246"/>
        <v>4</v>
      </c>
      <c r="I406" s="445">
        <v>4051.36</v>
      </c>
      <c r="J406" s="462"/>
      <c r="K406" s="450"/>
      <c r="L406" s="462"/>
      <c r="M406" s="493"/>
      <c r="N406" s="493"/>
      <c r="O406" s="516">
        <f t="shared" si="247"/>
        <v>6.6596600413322452E-2</v>
      </c>
      <c r="P406" s="516">
        <f t="shared" si="247"/>
        <v>6.4995228046491604E-2</v>
      </c>
      <c r="Q406" s="450">
        <f t="shared" si="247"/>
        <v>46021</v>
      </c>
      <c r="R406" s="450">
        <v>46909</v>
      </c>
      <c r="S406" s="509" t="s">
        <v>146</v>
      </c>
      <c r="T406" s="510">
        <f>Tabla33[[#This Row],[Cantidad]]*Tabla33[[#This Row],[Cortes]]</f>
        <v>16205.44</v>
      </c>
      <c r="U406" s="511">
        <f t="shared" si="240"/>
        <v>13852.87146462439</v>
      </c>
      <c r="V406" s="511">
        <f t="shared" si="241"/>
        <v>13850.424738660487</v>
      </c>
      <c r="W406" s="497">
        <f>IF(Tabla33[[#This Row],[Fecha de operación]]=$C$1,0,U406-V406)</f>
        <v>0</v>
      </c>
      <c r="X406" s="512" t="str">
        <f t="shared" si="242"/>
        <v>Vigente</v>
      </c>
      <c r="Y406" s="517" t="s">
        <v>450</v>
      </c>
      <c r="Z406" s="449">
        <f t="shared" si="243"/>
        <v>888</v>
      </c>
      <c r="AA406" s="518">
        <f t="shared" si="248"/>
        <v>2.6796200932841741</v>
      </c>
      <c r="AB406" s="518">
        <f t="shared" si="248"/>
        <v>2.6357373072232657</v>
      </c>
      <c r="AC406" s="449" t="s">
        <v>451</v>
      </c>
      <c r="AD406" s="449" t="s">
        <v>454</v>
      </c>
      <c r="AF406" s="444">
        <f>+IF(Tabla33[[#This Row],[Amortización k | cupón de intereses]]="Amortización de K",Tabla33[[#This Row],[Valor Nominal]],0)</f>
        <v>0</v>
      </c>
      <c r="AG406" s="444">
        <f>+IF(AND(Tabla33[[#This Row],[Amortización k | cupón de intereses]]="Cupón de interés",Tabla33[[#This Row],[Estado]]="Vigente"),Tabla33[[#This Row],[Valor Nominal]],0)</f>
        <v>16205.44</v>
      </c>
      <c r="AH406" s="444">
        <f>+IF(Tabla33[[#This Row],[Amortización k | cupón de intereses]]="Amortización de K",SUMIFS($AG$7:$AG$418,Tabla33[Código Emisión],Tabla33[[#This Row],[Código Emisión]],Tabla33[Fecha de operación],Tabla33[[#This Row],[Fecha de operación]]),0)-Tabla33[[#This Row],[Accrued]]*Tabla33[[#This Row],[Valor Nominal]]</f>
        <v>0</v>
      </c>
      <c r="AI406" s="444">
        <f>+IF(Tabla33[[#This Row],[Amortización k | cupón de intereses]]="Amortización de K",IF(Tabla33[[#This Row],[Precio Clean]]&gt;1,Tabla33[[#This Row],[Valor Nominal]]*(Tabla33[[#This Row],[Precio Clean]]-1),0),0)</f>
        <v>0</v>
      </c>
      <c r="AJ406" s="444">
        <f>+IF(Tabla33[[#This Row],[Amortización k | cupón de intereses]]="Amortización de K",IF(Tabla33[[#This Row],[Precio Clean]]&lt;1,Tabla33[[#This Row],[Valor Nominal]]*(Tabla33[[#This Row],[Precio Clean]]-1),0),0)</f>
        <v>0</v>
      </c>
    </row>
    <row r="407" spans="1:38">
      <c r="A407" s="502"/>
      <c r="B407" s="437" t="str">
        <f t="shared" si="244"/>
        <v>Banco Nacional de Fomento</v>
      </c>
      <c r="C407" s="437" t="str">
        <f t="shared" si="244"/>
        <v>BNF_6,50%_05122028_BB3255-58_250K</v>
      </c>
      <c r="D407" s="437" t="s">
        <v>453</v>
      </c>
      <c r="E407" s="437" t="str">
        <f t="shared" si="245"/>
        <v>AA+py</v>
      </c>
      <c r="F407" s="437" t="s">
        <v>297</v>
      </c>
      <c r="G407" s="437" t="s">
        <v>298</v>
      </c>
      <c r="H407" s="437">
        <f t="shared" si="246"/>
        <v>4</v>
      </c>
      <c r="I407" s="445">
        <v>4051.36</v>
      </c>
      <c r="J407" s="462"/>
      <c r="K407" s="450"/>
      <c r="L407" s="462"/>
      <c r="M407" s="493"/>
      <c r="N407" s="493"/>
      <c r="O407" s="516">
        <f t="shared" si="247"/>
        <v>6.6596600413322452E-2</v>
      </c>
      <c r="P407" s="516">
        <f t="shared" si="247"/>
        <v>6.4995228046491604E-2</v>
      </c>
      <c r="Q407" s="450">
        <f t="shared" si="247"/>
        <v>46021</v>
      </c>
      <c r="R407" s="450">
        <v>46818</v>
      </c>
      <c r="S407" s="509" t="s">
        <v>146</v>
      </c>
      <c r="T407" s="510">
        <f>Tabla33[[#This Row],[Cantidad]]*Tabla33[[#This Row],[Cortes]]</f>
        <v>16205.44</v>
      </c>
      <c r="U407" s="511">
        <f t="shared" si="240"/>
        <v>14077.34243784815</v>
      </c>
      <c r="V407" s="511">
        <f t="shared" si="241"/>
        <v>14074.856065305577</v>
      </c>
      <c r="W407" s="497">
        <f>IF(Tabla33[[#This Row],[Fecha de operación]]=$C$1,0,U407-V407)</f>
        <v>0</v>
      </c>
      <c r="X407" s="512" t="str">
        <f t="shared" si="242"/>
        <v>Vigente</v>
      </c>
      <c r="Y407" s="517" t="s">
        <v>450</v>
      </c>
      <c r="Z407" s="449">
        <f t="shared" si="243"/>
        <v>797</v>
      </c>
      <c r="AA407" s="518">
        <f t="shared" si="248"/>
        <v>2.6796200932841741</v>
      </c>
      <c r="AB407" s="518">
        <f t="shared" si="248"/>
        <v>2.6357373072232657</v>
      </c>
      <c r="AC407" s="449" t="s">
        <v>451</v>
      </c>
      <c r="AD407" s="449" t="s">
        <v>454</v>
      </c>
      <c r="AF407" s="444">
        <f>+IF(Tabla33[[#This Row],[Amortización k | cupón de intereses]]="Amortización de K",Tabla33[[#This Row],[Valor Nominal]],0)</f>
        <v>0</v>
      </c>
      <c r="AG407" s="444">
        <f>+IF(AND(Tabla33[[#This Row],[Amortización k | cupón de intereses]]="Cupón de interés",Tabla33[[#This Row],[Estado]]="Vigente"),Tabla33[[#This Row],[Valor Nominal]],0)</f>
        <v>16205.44</v>
      </c>
      <c r="AH407" s="444">
        <f>+IF(Tabla33[[#This Row],[Amortización k | cupón de intereses]]="Amortización de K",SUMIFS($AG$7:$AG$418,Tabla33[Código Emisión],Tabla33[[#This Row],[Código Emisión]],Tabla33[Fecha de operación],Tabla33[[#This Row],[Fecha de operación]]),0)-Tabla33[[#This Row],[Accrued]]*Tabla33[[#This Row],[Valor Nominal]]</f>
        <v>0</v>
      </c>
      <c r="AI407" s="444">
        <f>+IF(Tabla33[[#This Row],[Amortización k | cupón de intereses]]="Amortización de K",IF(Tabla33[[#This Row],[Precio Clean]]&gt;1,Tabla33[[#This Row],[Valor Nominal]]*(Tabla33[[#This Row],[Precio Clean]]-1),0),0)</f>
        <v>0</v>
      </c>
      <c r="AJ407" s="444">
        <f>+IF(Tabla33[[#This Row],[Amortización k | cupón de intereses]]="Amortización de K",IF(Tabla33[[#This Row],[Precio Clean]]&lt;1,Tabla33[[#This Row],[Valor Nominal]]*(Tabla33[[#This Row],[Precio Clean]]-1),0),0)</f>
        <v>0</v>
      </c>
    </row>
    <row r="408" spans="1:38">
      <c r="A408" s="502"/>
      <c r="B408" s="437" t="str">
        <f t="shared" si="244"/>
        <v>Banco Nacional de Fomento</v>
      </c>
      <c r="C408" s="437" t="str">
        <f t="shared" si="244"/>
        <v>BNF_6,50%_05122028_BB3255-58_250K</v>
      </c>
      <c r="D408" s="437" t="s">
        <v>453</v>
      </c>
      <c r="E408" s="437" t="str">
        <f t="shared" si="245"/>
        <v>AA+py</v>
      </c>
      <c r="F408" s="437" t="s">
        <v>297</v>
      </c>
      <c r="G408" s="437" t="s">
        <v>298</v>
      </c>
      <c r="H408" s="437">
        <f t="shared" si="246"/>
        <v>4</v>
      </c>
      <c r="I408" s="445">
        <v>4051.36</v>
      </c>
      <c r="J408" s="462"/>
      <c r="K408" s="450"/>
      <c r="L408" s="462"/>
      <c r="M408" s="493"/>
      <c r="N408" s="493"/>
      <c r="O408" s="516">
        <f t="shared" si="247"/>
        <v>6.6596600413322452E-2</v>
      </c>
      <c r="P408" s="516">
        <f t="shared" si="247"/>
        <v>6.4995228046491604E-2</v>
      </c>
      <c r="Q408" s="450">
        <f t="shared" si="247"/>
        <v>46021</v>
      </c>
      <c r="R408" s="450">
        <v>46727</v>
      </c>
      <c r="S408" s="509" t="s">
        <v>146</v>
      </c>
      <c r="T408" s="510">
        <f>Tabla33[[#This Row],[Cantidad]]*Tabla33[[#This Row],[Cortes]]</f>
        <v>16205.44</v>
      </c>
      <c r="U408" s="511">
        <f t="shared" si="240"/>
        <v>14305.450723231248</v>
      </c>
      <c r="V408" s="511">
        <f t="shared" si="241"/>
        <v>14302.924061679583</v>
      </c>
      <c r="W408" s="497">
        <f>IF(Tabla33[[#This Row],[Fecha de operación]]=$C$1,0,U408-V408)</f>
        <v>0</v>
      </c>
      <c r="X408" s="512" t="str">
        <f t="shared" si="242"/>
        <v>Vigente</v>
      </c>
      <c r="Y408" s="517" t="s">
        <v>450</v>
      </c>
      <c r="Z408" s="449">
        <f t="shared" si="243"/>
        <v>706</v>
      </c>
      <c r="AA408" s="518">
        <f t="shared" si="248"/>
        <v>2.6796200932841741</v>
      </c>
      <c r="AB408" s="518">
        <f t="shared" si="248"/>
        <v>2.6357373072232657</v>
      </c>
      <c r="AC408" s="449" t="s">
        <v>451</v>
      </c>
      <c r="AD408" s="449" t="s">
        <v>454</v>
      </c>
      <c r="AF408" s="444">
        <f>+IF(Tabla33[[#This Row],[Amortización k | cupón de intereses]]="Amortización de K",Tabla33[[#This Row],[Valor Nominal]],0)</f>
        <v>0</v>
      </c>
      <c r="AG408" s="444">
        <f>+IF(AND(Tabla33[[#This Row],[Amortización k | cupón de intereses]]="Cupón de interés",Tabla33[[#This Row],[Estado]]="Vigente"),Tabla33[[#This Row],[Valor Nominal]],0)</f>
        <v>16205.44</v>
      </c>
      <c r="AH408" s="444">
        <f>+IF(Tabla33[[#This Row],[Amortización k | cupón de intereses]]="Amortización de K",SUMIFS($AG$7:$AG$418,Tabla33[Código Emisión],Tabla33[[#This Row],[Código Emisión]],Tabla33[Fecha de operación],Tabla33[[#This Row],[Fecha de operación]]),0)-Tabla33[[#This Row],[Accrued]]*Tabla33[[#This Row],[Valor Nominal]]</f>
        <v>0</v>
      </c>
      <c r="AI408" s="444">
        <f>+IF(Tabla33[[#This Row],[Amortización k | cupón de intereses]]="Amortización de K",IF(Tabla33[[#This Row],[Precio Clean]]&gt;1,Tabla33[[#This Row],[Valor Nominal]]*(Tabla33[[#This Row],[Precio Clean]]-1),0),0)</f>
        <v>0</v>
      </c>
      <c r="AJ408" s="444">
        <f>+IF(Tabla33[[#This Row],[Amortización k | cupón de intereses]]="Amortización de K",IF(Tabla33[[#This Row],[Precio Clean]]&lt;1,Tabla33[[#This Row],[Valor Nominal]]*(Tabla33[[#This Row],[Precio Clean]]-1),0),0)</f>
        <v>0</v>
      </c>
    </row>
    <row r="409" spans="1:38">
      <c r="A409" s="502"/>
      <c r="B409" s="437" t="str">
        <f t="shared" si="244"/>
        <v>Banco Nacional de Fomento</v>
      </c>
      <c r="C409" s="437" t="str">
        <f t="shared" si="244"/>
        <v>BNF_6,50%_05122028_BB3255-58_250K</v>
      </c>
      <c r="D409" s="437" t="s">
        <v>453</v>
      </c>
      <c r="E409" s="437" t="str">
        <f t="shared" si="245"/>
        <v>AA+py</v>
      </c>
      <c r="F409" s="437" t="s">
        <v>297</v>
      </c>
      <c r="G409" s="437" t="s">
        <v>298</v>
      </c>
      <c r="H409" s="437">
        <f t="shared" si="246"/>
        <v>4</v>
      </c>
      <c r="I409" s="445">
        <v>4051.36</v>
      </c>
      <c r="J409" s="462"/>
      <c r="K409" s="450"/>
      <c r="L409" s="462"/>
      <c r="M409" s="493"/>
      <c r="N409" s="493"/>
      <c r="O409" s="516">
        <f t="shared" si="247"/>
        <v>6.6596600413322452E-2</v>
      </c>
      <c r="P409" s="516">
        <f t="shared" si="247"/>
        <v>6.4995228046491604E-2</v>
      </c>
      <c r="Q409" s="450">
        <f t="shared" si="247"/>
        <v>46021</v>
      </c>
      <c r="R409" s="450">
        <v>46636</v>
      </c>
      <c r="S409" s="509" t="s">
        <v>146</v>
      </c>
      <c r="T409" s="510">
        <f>Tabla33[[#This Row],[Cantidad]]*Tabla33[[#This Row],[Cortes]]</f>
        <v>16205.44</v>
      </c>
      <c r="U409" s="511">
        <f t="shared" si="240"/>
        <v>14537.255259528903</v>
      </c>
      <c r="V409" s="511">
        <f t="shared" si="241"/>
        <v>14534.68765612782</v>
      </c>
      <c r="W409" s="497">
        <f>IF(Tabla33[[#This Row],[Fecha de operación]]=$C$1,0,U409-V409)</f>
        <v>0</v>
      </c>
      <c r="X409" s="512" t="str">
        <f t="shared" si="242"/>
        <v>Vigente</v>
      </c>
      <c r="Y409" s="517" t="s">
        <v>450</v>
      </c>
      <c r="Z409" s="449">
        <f t="shared" si="243"/>
        <v>615</v>
      </c>
      <c r="AA409" s="518">
        <f t="shared" si="248"/>
        <v>2.6796200932841741</v>
      </c>
      <c r="AB409" s="518">
        <f t="shared" si="248"/>
        <v>2.6357373072232657</v>
      </c>
      <c r="AC409" s="449" t="s">
        <v>451</v>
      </c>
      <c r="AD409" s="449" t="s">
        <v>454</v>
      </c>
      <c r="AF409" s="444">
        <f>+IF(Tabla33[[#This Row],[Amortización k | cupón de intereses]]="Amortización de K",Tabla33[[#This Row],[Valor Nominal]],0)</f>
        <v>0</v>
      </c>
      <c r="AG409" s="444">
        <f>+IF(AND(Tabla33[[#This Row],[Amortización k | cupón de intereses]]="Cupón de interés",Tabla33[[#This Row],[Estado]]="Vigente"),Tabla33[[#This Row],[Valor Nominal]],0)</f>
        <v>16205.44</v>
      </c>
      <c r="AH409" s="444">
        <f>+IF(Tabla33[[#This Row],[Amortización k | cupón de intereses]]="Amortización de K",SUMIFS($AG$7:$AG$418,Tabla33[Código Emisión],Tabla33[[#This Row],[Código Emisión]],Tabla33[Fecha de operación],Tabla33[[#This Row],[Fecha de operación]]),0)-Tabla33[[#This Row],[Accrued]]*Tabla33[[#This Row],[Valor Nominal]]</f>
        <v>0</v>
      </c>
      <c r="AI409" s="444">
        <f>+IF(Tabla33[[#This Row],[Amortización k | cupón de intereses]]="Amortización de K",IF(Tabla33[[#This Row],[Precio Clean]]&gt;1,Tabla33[[#This Row],[Valor Nominal]]*(Tabla33[[#This Row],[Precio Clean]]-1),0),0)</f>
        <v>0</v>
      </c>
      <c r="AJ409" s="444">
        <f>+IF(Tabla33[[#This Row],[Amortización k | cupón de intereses]]="Amortización de K",IF(Tabla33[[#This Row],[Precio Clean]]&lt;1,Tabla33[[#This Row],[Valor Nominal]]*(Tabla33[[#This Row],[Precio Clean]]-1),0),0)</f>
        <v>0</v>
      </c>
    </row>
    <row r="410" spans="1:38">
      <c r="A410" s="502"/>
      <c r="B410" s="437" t="str">
        <f t="shared" si="244"/>
        <v>Banco Nacional de Fomento</v>
      </c>
      <c r="C410" s="437" t="str">
        <f t="shared" si="244"/>
        <v>BNF_6,50%_05122028_BB3255-58_250K</v>
      </c>
      <c r="D410" s="437" t="s">
        <v>453</v>
      </c>
      <c r="E410" s="437" t="str">
        <f t="shared" si="245"/>
        <v>AA+py</v>
      </c>
      <c r="F410" s="437" t="s">
        <v>297</v>
      </c>
      <c r="G410" s="437" t="s">
        <v>298</v>
      </c>
      <c r="H410" s="437">
        <f t="shared" si="246"/>
        <v>4</v>
      </c>
      <c r="I410" s="445">
        <v>4184.93</v>
      </c>
      <c r="J410" s="462"/>
      <c r="K410" s="450"/>
      <c r="L410" s="462"/>
      <c r="M410" s="493"/>
      <c r="N410" s="493"/>
      <c r="O410" s="516">
        <f t="shared" si="247"/>
        <v>6.6596600413322452E-2</v>
      </c>
      <c r="P410" s="516">
        <f t="shared" si="247"/>
        <v>6.4995228046491604E-2</v>
      </c>
      <c r="Q410" s="450">
        <f t="shared" si="247"/>
        <v>46021</v>
      </c>
      <c r="R410" s="450">
        <v>46545</v>
      </c>
      <c r="S410" s="509" t="s">
        <v>146</v>
      </c>
      <c r="T410" s="510">
        <f>Tabla33[[#This Row],[Cantidad]]*Tabla33[[#This Row],[Cortes]]</f>
        <v>16739.72</v>
      </c>
      <c r="U410" s="511">
        <f t="shared" si="240"/>
        <v>15259.863506088504</v>
      </c>
      <c r="V410" s="511">
        <f t="shared" si="241"/>
        <v>15257.168273959824</v>
      </c>
      <c r="W410" s="497">
        <f>IF(Tabla33[[#This Row],[Fecha de operación]]=$C$1,0,U410-V410)</f>
        <v>0</v>
      </c>
      <c r="X410" s="512" t="str">
        <f t="shared" si="242"/>
        <v>Vigente</v>
      </c>
      <c r="Y410" s="517" t="s">
        <v>450</v>
      </c>
      <c r="Z410" s="449">
        <f t="shared" si="243"/>
        <v>524</v>
      </c>
      <c r="AA410" s="518">
        <f t="shared" si="248"/>
        <v>2.6796200932841741</v>
      </c>
      <c r="AB410" s="518">
        <f t="shared" si="248"/>
        <v>2.6357373072232657</v>
      </c>
      <c r="AC410" s="449" t="s">
        <v>451</v>
      </c>
      <c r="AD410" s="449" t="s">
        <v>454</v>
      </c>
      <c r="AF410" s="444">
        <f>+IF(Tabla33[[#This Row],[Amortización k | cupón de intereses]]="Amortización de K",Tabla33[[#This Row],[Valor Nominal]],0)</f>
        <v>0</v>
      </c>
      <c r="AG410" s="444">
        <f>+IF(AND(Tabla33[[#This Row],[Amortización k | cupón de intereses]]="Cupón de interés",Tabla33[[#This Row],[Estado]]="Vigente"),Tabla33[[#This Row],[Valor Nominal]],0)</f>
        <v>16739.72</v>
      </c>
      <c r="AH410" s="444">
        <f>+IF(Tabla33[[#This Row],[Amortización k | cupón de intereses]]="Amortización de K",SUMIFS($AG$7:$AG$418,Tabla33[Código Emisión],Tabla33[[#This Row],[Código Emisión]],Tabla33[Fecha de operación],Tabla33[[#This Row],[Fecha de operación]]),0)-Tabla33[[#This Row],[Accrued]]*Tabla33[[#This Row],[Valor Nominal]]</f>
        <v>0</v>
      </c>
      <c r="AI410" s="444">
        <f>+IF(Tabla33[[#This Row],[Amortización k | cupón de intereses]]="Amortización de K",IF(Tabla33[[#This Row],[Precio Clean]]&gt;1,Tabla33[[#This Row],[Valor Nominal]]*(Tabla33[[#This Row],[Precio Clean]]-1),0),0)</f>
        <v>0</v>
      </c>
      <c r="AJ410" s="444">
        <f>+IF(Tabla33[[#This Row],[Amortización k | cupón de intereses]]="Amortización de K",IF(Tabla33[[#This Row],[Precio Clean]]&lt;1,Tabla33[[#This Row],[Valor Nominal]]*(Tabla33[[#This Row],[Precio Clean]]-1),0),0)</f>
        <v>0</v>
      </c>
    </row>
    <row r="411" spans="1:38">
      <c r="A411" s="502"/>
      <c r="B411" s="437" t="str">
        <f t="shared" si="244"/>
        <v>Banco Nacional de Fomento</v>
      </c>
      <c r="C411" s="437" t="str">
        <f t="shared" si="244"/>
        <v>BNF_6,50%_05122028_BB3255-58_250K</v>
      </c>
      <c r="D411" s="437" t="s">
        <v>453</v>
      </c>
      <c r="E411" s="437" t="str">
        <f t="shared" si="245"/>
        <v>AA+py</v>
      </c>
      <c r="F411" s="437" t="s">
        <v>297</v>
      </c>
      <c r="G411" s="437" t="s">
        <v>298</v>
      </c>
      <c r="H411" s="437">
        <f t="shared" si="246"/>
        <v>4</v>
      </c>
      <c r="I411" s="445">
        <v>3914.8</v>
      </c>
      <c r="J411" s="462"/>
      <c r="K411" s="450"/>
      <c r="L411" s="462"/>
      <c r="M411" s="493"/>
      <c r="N411" s="493"/>
      <c r="O411" s="516">
        <f t="shared" si="247"/>
        <v>6.6596600413322452E-2</v>
      </c>
      <c r="P411" s="516">
        <f t="shared" si="247"/>
        <v>6.4995228046491604E-2</v>
      </c>
      <c r="Q411" s="450">
        <f t="shared" si="247"/>
        <v>46021</v>
      </c>
      <c r="R411" s="450">
        <v>46451</v>
      </c>
      <c r="S411" s="509" t="s">
        <v>146</v>
      </c>
      <c r="T411" s="510">
        <f>Tabla33[[#This Row],[Cantidad]]*Tabla33[[#This Row],[Cortes]]</f>
        <v>15659.2</v>
      </c>
      <c r="U411" s="511">
        <f t="shared" si="240"/>
        <v>14513.863681619632</v>
      </c>
      <c r="V411" s="511">
        <f t="shared" si="241"/>
        <v>14511.300209692745</v>
      </c>
      <c r="W411" s="497">
        <f>IF(Tabla33[[#This Row],[Fecha de operación]]=$C$1,0,U411-V411)</f>
        <v>0</v>
      </c>
      <c r="X411" s="512" t="str">
        <f t="shared" si="242"/>
        <v>Vigente</v>
      </c>
      <c r="Y411" s="517" t="s">
        <v>450</v>
      </c>
      <c r="Z411" s="449">
        <f t="shared" si="243"/>
        <v>430</v>
      </c>
      <c r="AA411" s="518">
        <f t="shared" si="248"/>
        <v>2.6796200932841741</v>
      </c>
      <c r="AB411" s="518">
        <f t="shared" si="248"/>
        <v>2.6357373072232657</v>
      </c>
      <c r="AC411" s="449" t="s">
        <v>451</v>
      </c>
      <c r="AD411" s="449" t="s">
        <v>454</v>
      </c>
      <c r="AF411" s="444">
        <f>+IF(Tabla33[[#This Row],[Amortización k | cupón de intereses]]="Amortización de K",Tabla33[[#This Row],[Valor Nominal]],0)</f>
        <v>0</v>
      </c>
      <c r="AG411" s="444">
        <f>+IF(AND(Tabla33[[#This Row],[Amortización k | cupón de intereses]]="Cupón de interés",Tabla33[[#This Row],[Estado]]="Vigente"),Tabla33[[#This Row],[Valor Nominal]],0)</f>
        <v>15659.2</v>
      </c>
      <c r="AH411" s="444">
        <f>+IF(Tabla33[[#This Row],[Amortización k | cupón de intereses]]="Amortización de K",SUMIFS($AG$7:$AG$418,Tabla33[Código Emisión],Tabla33[[#This Row],[Código Emisión]],Tabla33[Fecha de operación],Tabla33[[#This Row],[Fecha de operación]]),0)-Tabla33[[#This Row],[Accrued]]*Tabla33[[#This Row],[Valor Nominal]]</f>
        <v>0</v>
      </c>
      <c r="AI411" s="444">
        <f>+IF(Tabla33[[#This Row],[Amortización k | cupón de intereses]]="Amortización de K",IF(Tabla33[[#This Row],[Precio Clean]]&gt;1,Tabla33[[#This Row],[Valor Nominal]]*(Tabla33[[#This Row],[Precio Clean]]-1),0),0)</f>
        <v>0</v>
      </c>
      <c r="AJ411" s="444">
        <f>+IF(Tabla33[[#This Row],[Amortización k | cupón de intereses]]="Amortización de K",IF(Tabla33[[#This Row],[Precio Clean]]&lt;1,Tabla33[[#This Row],[Valor Nominal]]*(Tabla33[[#This Row],[Precio Clean]]-1),0),0)</f>
        <v>0</v>
      </c>
    </row>
    <row r="412" spans="1:38">
      <c r="A412" s="502"/>
      <c r="B412" s="437" t="str">
        <f t="shared" si="244"/>
        <v>Banco Nacional de Fomento</v>
      </c>
      <c r="C412" s="437" t="str">
        <f t="shared" si="244"/>
        <v>BNF_6,50%_05122028_BB3255-58_250K</v>
      </c>
      <c r="D412" s="437" t="s">
        <v>453</v>
      </c>
      <c r="E412" s="437" t="str">
        <f t="shared" si="245"/>
        <v>AA+py</v>
      </c>
      <c r="F412" s="437" t="s">
        <v>297</v>
      </c>
      <c r="G412" s="437" t="s">
        <v>298</v>
      </c>
      <c r="H412" s="437">
        <f t="shared" si="246"/>
        <v>4</v>
      </c>
      <c r="I412" s="445">
        <v>4051.36</v>
      </c>
      <c r="J412" s="462"/>
      <c r="K412" s="450"/>
      <c r="L412" s="462"/>
      <c r="M412" s="493"/>
      <c r="N412" s="493"/>
      <c r="O412" s="516">
        <f t="shared" si="247"/>
        <v>6.6596600413322452E-2</v>
      </c>
      <c r="P412" s="516">
        <f t="shared" si="247"/>
        <v>6.4995228046491604E-2</v>
      </c>
      <c r="Q412" s="450">
        <f t="shared" si="247"/>
        <v>46021</v>
      </c>
      <c r="R412" s="450">
        <v>46363</v>
      </c>
      <c r="S412" s="509" t="s">
        <v>146</v>
      </c>
      <c r="T412" s="510">
        <f>Tabla33[[#This Row],[Cantidad]]*Tabla33[[#This Row],[Cortes]]</f>
        <v>16205.44</v>
      </c>
      <c r="U412" s="511">
        <f t="shared" si="240"/>
        <v>15255.450180157353</v>
      </c>
      <c r="V412" s="511">
        <f t="shared" si="241"/>
        <v>15252.755727520433</v>
      </c>
      <c r="W412" s="497">
        <f>IF(Tabla33[[#This Row],[Fecha de operación]]=$C$1,0,U412-V412)</f>
        <v>0</v>
      </c>
      <c r="X412" s="512" t="str">
        <f t="shared" si="242"/>
        <v>Vigente</v>
      </c>
      <c r="Y412" s="517" t="s">
        <v>450</v>
      </c>
      <c r="Z412" s="449">
        <f t="shared" si="243"/>
        <v>342</v>
      </c>
      <c r="AA412" s="518">
        <f t="shared" si="248"/>
        <v>2.6796200932841741</v>
      </c>
      <c r="AB412" s="518">
        <f t="shared" si="248"/>
        <v>2.6357373072232657</v>
      </c>
      <c r="AC412" s="449" t="s">
        <v>451</v>
      </c>
      <c r="AD412" s="449" t="s">
        <v>454</v>
      </c>
      <c r="AF412" s="444">
        <f>+IF(Tabla33[[#This Row],[Amortización k | cupón de intereses]]="Amortización de K",Tabla33[[#This Row],[Valor Nominal]],0)</f>
        <v>0</v>
      </c>
      <c r="AG412" s="444">
        <f>+IF(AND(Tabla33[[#This Row],[Amortización k | cupón de intereses]]="Cupón de interés",Tabla33[[#This Row],[Estado]]="Vigente"),Tabla33[[#This Row],[Valor Nominal]],0)</f>
        <v>16205.44</v>
      </c>
      <c r="AH412" s="444">
        <f>+IF(Tabla33[[#This Row],[Amortización k | cupón de intereses]]="Amortización de K",SUMIFS($AG$7:$AG$418,Tabla33[Código Emisión],Tabla33[[#This Row],[Código Emisión]],Tabla33[Fecha de operación],Tabla33[[#This Row],[Fecha de operación]]),0)-Tabla33[[#This Row],[Accrued]]*Tabla33[[#This Row],[Valor Nominal]]</f>
        <v>0</v>
      </c>
      <c r="AI412" s="444">
        <f>+IF(Tabla33[[#This Row],[Amortización k | cupón de intereses]]="Amortización de K",IF(Tabla33[[#This Row],[Precio Clean]]&gt;1,Tabla33[[#This Row],[Valor Nominal]]*(Tabla33[[#This Row],[Precio Clean]]-1),0),0)</f>
        <v>0</v>
      </c>
      <c r="AJ412" s="444">
        <f>+IF(Tabla33[[#This Row],[Amortización k | cupón de intereses]]="Amortización de K",IF(Tabla33[[#This Row],[Precio Clean]]&lt;1,Tabla33[[#This Row],[Valor Nominal]]*(Tabla33[[#This Row],[Precio Clean]]-1),0),0)</f>
        <v>0</v>
      </c>
    </row>
    <row r="413" spans="1:38">
      <c r="A413" s="502"/>
      <c r="B413" s="437" t="str">
        <f t="shared" si="244"/>
        <v>Banco Nacional de Fomento</v>
      </c>
      <c r="C413" s="437" t="str">
        <f t="shared" si="244"/>
        <v>BNF_6,50%_05122028_BB3255-58_250K</v>
      </c>
      <c r="D413" s="437" t="s">
        <v>453</v>
      </c>
      <c r="E413" s="437" t="str">
        <f t="shared" si="245"/>
        <v>AA+py</v>
      </c>
      <c r="F413" s="437" t="s">
        <v>297</v>
      </c>
      <c r="G413" s="437" t="s">
        <v>298</v>
      </c>
      <c r="H413" s="437">
        <f t="shared" si="246"/>
        <v>4</v>
      </c>
      <c r="I413" s="445">
        <v>4184.93</v>
      </c>
      <c r="J413" s="462"/>
      <c r="K413" s="450"/>
      <c r="L413" s="462"/>
      <c r="M413" s="493"/>
      <c r="N413" s="493"/>
      <c r="O413" s="516">
        <f t="shared" si="247"/>
        <v>6.6596600413322452E-2</v>
      </c>
      <c r="P413" s="516">
        <f t="shared" si="247"/>
        <v>6.4995228046491604E-2</v>
      </c>
      <c r="Q413" s="450">
        <f t="shared" si="247"/>
        <v>46021</v>
      </c>
      <c r="R413" s="450">
        <v>46272</v>
      </c>
      <c r="S413" s="509" t="s">
        <v>146</v>
      </c>
      <c r="T413" s="510">
        <f>Tabla33[[#This Row],[Cantidad]]*Tabla33[[#This Row],[Cortes]]</f>
        <v>16739.72</v>
      </c>
      <c r="U413" s="511">
        <f t="shared" si="240"/>
        <v>16013.757983684089</v>
      </c>
      <c r="V413" s="511">
        <f t="shared" si="241"/>
        <v>16010.929596981854</v>
      </c>
      <c r="W413" s="497">
        <f>IF(Tabla33[[#This Row],[Fecha de operación]]=$C$1,0,U413-V413)</f>
        <v>0</v>
      </c>
      <c r="X413" s="512" t="str">
        <f t="shared" si="242"/>
        <v>Vigente</v>
      </c>
      <c r="Y413" s="517" t="s">
        <v>450</v>
      </c>
      <c r="Z413" s="449">
        <f t="shared" si="243"/>
        <v>251</v>
      </c>
      <c r="AA413" s="518">
        <f t="shared" si="248"/>
        <v>2.6796200932841741</v>
      </c>
      <c r="AB413" s="518">
        <f t="shared" si="248"/>
        <v>2.6357373072232657</v>
      </c>
      <c r="AC413" s="449" t="s">
        <v>451</v>
      </c>
      <c r="AD413" s="449" t="s">
        <v>454</v>
      </c>
      <c r="AF413" s="444">
        <f>+IF(Tabla33[[#This Row],[Amortización k | cupón de intereses]]="Amortización de K",Tabla33[[#This Row],[Valor Nominal]],0)</f>
        <v>0</v>
      </c>
      <c r="AG413" s="444">
        <f>+IF(AND(Tabla33[[#This Row],[Amortización k | cupón de intereses]]="Cupón de interés",Tabla33[[#This Row],[Estado]]="Vigente"),Tabla33[[#This Row],[Valor Nominal]],0)</f>
        <v>16739.72</v>
      </c>
      <c r="AH413" s="444">
        <f>+IF(Tabla33[[#This Row],[Amortización k | cupón de intereses]]="Amortización de K",SUMIFS($AG$7:$AG$418,Tabla33[Código Emisión],Tabla33[[#This Row],[Código Emisión]],Tabla33[Fecha de operación],Tabla33[[#This Row],[Fecha de operación]]),0)-Tabla33[[#This Row],[Accrued]]*Tabla33[[#This Row],[Valor Nominal]]</f>
        <v>0</v>
      </c>
      <c r="AI413" s="444">
        <f>+IF(Tabla33[[#This Row],[Amortización k | cupón de intereses]]="Amortización de K",IF(Tabla33[[#This Row],[Precio Clean]]&gt;1,Tabla33[[#This Row],[Valor Nominal]]*(Tabla33[[#This Row],[Precio Clean]]-1),0),0)</f>
        <v>0</v>
      </c>
      <c r="AJ413" s="444">
        <f>+IF(Tabla33[[#This Row],[Amortización k | cupón de intereses]]="Amortización de K",IF(Tabla33[[#This Row],[Precio Clean]]&lt;1,Tabla33[[#This Row],[Valor Nominal]]*(Tabla33[[#This Row],[Precio Clean]]-1),0),0)</f>
        <v>0</v>
      </c>
    </row>
    <row r="414" spans="1:38">
      <c r="A414" s="502"/>
      <c r="B414" s="437" t="str">
        <f t="shared" si="244"/>
        <v>Banco Nacional de Fomento</v>
      </c>
      <c r="C414" s="437" t="str">
        <f t="shared" si="244"/>
        <v>BNF_6,50%_05122028_BB3255-58_250K</v>
      </c>
      <c r="D414" s="437" t="s">
        <v>453</v>
      </c>
      <c r="E414" s="437" t="str">
        <f t="shared" si="245"/>
        <v>AA+py</v>
      </c>
      <c r="F414" s="437" t="s">
        <v>297</v>
      </c>
      <c r="G414" s="437" t="s">
        <v>298</v>
      </c>
      <c r="H414" s="437">
        <f t="shared" si="246"/>
        <v>4</v>
      </c>
      <c r="I414" s="445">
        <v>4095.89</v>
      </c>
      <c r="J414" s="462"/>
      <c r="K414" s="450"/>
      <c r="L414" s="462"/>
      <c r="M414" s="493"/>
      <c r="N414" s="493"/>
      <c r="O414" s="516">
        <f t="shared" si="247"/>
        <v>6.6596600413322452E-2</v>
      </c>
      <c r="P414" s="516">
        <f t="shared" si="247"/>
        <v>6.4995228046491604E-2</v>
      </c>
      <c r="Q414" s="450">
        <f t="shared" si="247"/>
        <v>46021</v>
      </c>
      <c r="R414" s="450">
        <v>46178</v>
      </c>
      <c r="S414" s="509" t="s">
        <v>146</v>
      </c>
      <c r="T414" s="510">
        <f>Tabla33[[#This Row],[Cantidad]]*Tabla33[[#This Row],[Cortes]]</f>
        <v>16383.56</v>
      </c>
      <c r="U414" s="511">
        <f t="shared" si="240"/>
        <v>15935.450896137345</v>
      </c>
      <c r="V414" s="511">
        <f t="shared" si="241"/>
        <v>15932.636340212704</v>
      </c>
      <c r="W414" s="497">
        <f>IF(Tabla33[[#This Row],[Fecha de operación]]=$C$1,0,U414-V414)</f>
        <v>0</v>
      </c>
      <c r="X414" s="512" t="str">
        <f t="shared" si="242"/>
        <v>Vigente</v>
      </c>
      <c r="Y414" s="517" t="s">
        <v>450</v>
      </c>
      <c r="Z414" s="449">
        <f t="shared" si="243"/>
        <v>157</v>
      </c>
      <c r="AA414" s="518">
        <f t="shared" si="248"/>
        <v>2.6796200932841741</v>
      </c>
      <c r="AB414" s="518">
        <f t="shared" si="248"/>
        <v>2.6357373072232657</v>
      </c>
      <c r="AC414" s="449" t="s">
        <v>451</v>
      </c>
      <c r="AD414" s="449" t="s">
        <v>454</v>
      </c>
      <c r="AF414" s="444">
        <f>+IF(Tabla33[[#This Row],[Amortización k | cupón de intereses]]="Amortización de K",Tabla33[[#This Row],[Valor Nominal]],0)</f>
        <v>0</v>
      </c>
      <c r="AG414" s="444">
        <f>+IF(AND(Tabla33[[#This Row],[Amortización k | cupón de intereses]]="Cupón de interés",Tabla33[[#This Row],[Estado]]="Vigente"),Tabla33[[#This Row],[Valor Nominal]],0)</f>
        <v>16383.56</v>
      </c>
      <c r="AH414" s="444">
        <f>+IF(Tabla33[[#This Row],[Amortización k | cupón de intereses]]="Amortización de K",SUMIFS($AG$7:$AG$418,Tabla33[Código Emisión],Tabla33[[#This Row],[Código Emisión]],Tabla33[Fecha de operación],Tabla33[[#This Row],[Fecha de operación]]),0)-Tabla33[[#This Row],[Accrued]]*Tabla33[[#This Row],[Valor Nominal]]</f>
        <v>0</v>
      </c>
      <c r="AI414" s="444">
        <f>+IF(Tabla33[[#This Row],[Amortización k | cupón de intereses]]="Amortización de K",IF(Tabla33[[#This Row],[Precio Clean]]&gt;1,Tabla33[[#This Row],[Valor Nominal]]*(Tabla33[[#This Row],[Precio Clean]]-1),0),0)</f>
        <v>0</v>
      </c>
      <c r="AJ414" s="444">
        <f>+IF(Tabla33[[#This Row],[Amortización k | cupón de intereses]]="Amortización de K",IF(Tabla33[[#This Row],[Precio Clean]]&lt;1,Tabla33[[#This Row],[Valor Nominal]]*(Tabla33[[#This Row],[Precio Clean]]-1),0),0)</f>
        <v>0</v>
      </c>
    </row>
    <row r="415" spans="1:38">
      <c r="A415" s="502"/>
      <c r="B415" s="437" t="str">
        <f t="shared" si="244"/>
        <v>Banco Nacional de Fomento</v>
      </c>
      <c r="C415" s="437" t="str">
        <f t="shared" si="244"/>
        <v>BNF_6,50%_05122028_BB3255-58_250K</v>
      </c>
      <c r="D415" s="437" t="s">
        <v>453</v>
      </c>
      <c r="E415" s="437" t="str">
        <f t="shared" si="245"/>
        <v>AA+py</v>
      </c>
      <c r="F415" s="437" t="s">
        <v>297</v>
      </c>
      <c r="G415" s="437" t="s">
        <v>298</v>
      </c>
      <c r="H415" s="437">
        <f t="shared" si="246"/>
        <v>4</v>
      </c>
      <c r="I415" s="445">
        <v>4006.84</v>
      </c>
      <c r="J415" s="462"/>
      <c r="K415" s="450"/>
      <c r="L415" s="462"/>
      <c r="M415" s="493"/>
      <c r="N415" s="493"/>
      <c r="O415" s="516">
        <f t="shared" si="247"/>
        <v>6.6596600413322452E-2</v>
      </c>
      <c r="P415" s="516">
        <f t="shared" si="247"/>
        <v>6.4995228046491604E-2</v>
      </c>
      <c r="Q415" s="450">
        <f t="shared" si="247"/>
        <v>46021</v>
      </c>
      <c r="R415" s="450">
        <v>46086</v>
      </c>
      <c r="S415" s="509" t="s">
        <v>146</v>
      </c>
      <c r="T415" s="510">
        <f>Tabla33[[#This Row],[Cantidad]]*Tabla33[[#This Row],[Cortes]]</f>
        <v>16027.36</v>
      </c>
      <c r="U415" s="511">
        <f t="shared" si="240"/>
        <v>15844.394819739815</v>
      </c>
      <c r="V415" s="511">
        <f t="shared" si="241"/>
        <v>15841.596346348451</v>
      </c>
      <c r="W415" s="497">
        <f>IF(Tabla33[[#This Row],[Fecha de operación]]=$C$1,0,U415-V415)</f>
        <v>0</v>
      </c>
      <c r="X415" s="512" t="str">
        <f t="shared" si="242"/>
        <v>Vigente</v>
      </c>
      <c r="Y415" s="517" t="s">
        <v>450</v>
      </c>
      <c r="Z415" s="449">
        <f t="shared" si="243"/>
        <v>65</v>
      </c>
      <c r="AA415" s="518">
        <f t="shared" si="248"/>
        <v>2.6796200932841741</v>
      </c>
      <c r="AB415" s="518">
        <f t="shared" si="248"/>
        <v>2.6357373072232657</v>
      </c>
      <c r="AC415" s="449" t="s">
        <v>451</v>
      </c>
      <c r="AD415" s="449" t="s">
        <v>454</v>
      </c>
      <c r="AF415" s="444">
        <f>+IF(Tabla33[[#This Row],[Amortización k | cupón de intereses]]="Amortización de K",Tabla33[[#This Row],[Valor Nominal]],0)</f>
        <v>0</v>
      </c>
      <c r="AG415" s="444">
        <f>+IF(AND(Tabla33[[#This Row],[Amortización k | cupón de intereses]]="Cupón de interés",Tabla33[[#This Row],[Estado]]="Vigente"),Tabla33[[#This Row],[Valor Nominal]],0)</f>
        <v>16027.36</v>
      </c>
      <c r="AH415" s="444">
        <f>+IF(Tabla33[[#This Row],[Amortización k | cupón de intereses]]="Amortización de K",SUMIFS($AG$7:$AG$418,Tabla33[Código Emisión],Tabla33[[#This Row],[Código Emisión]],Tabla33[Fecha de operación],Tabla33[[#This Row],[Fecha de operación]]),0)-Tabla33[[#This Row],[Accrued]]*Tabla33[[#This Row],[Valor Nominal]]</f>
        <v>0</v>
      </c>
      <c r="AI415" s="444">
        <f>+IF(Tabla33[[#This Row],[Amortización k | cupón de intereses]]="Amortización de K",IF(Tabla33[[#This Row],[Precio Clean]]&gt;1,Tabla33[[#This Row],[Valor Nominal]]*(Tabla33[[#This Row],[Precio Clean]]-1),0),0)</f>
        <v>0</v>
      </c>
      <c r="AJ415" s="444">
        <f>+IF(Tabla33[[#This Row],[Amortización k | cupón de intereses]]="Amortización de K",IF(Tabla33[[#This Row],[Precio Clean]]&lt;1,Tabla33[[#This Row],[Valor Nominal]]*(Tabla33[[#This Row],[Precio Clean]]-1),0),0)</f>
        <v>0</v>
      </c>
    </row>
    <row r="416" spans="1:38" ht="15">
      <c r="A416" s="500">
        <f>+A403+1</f>
        <v>43</v>
      </c>
      <c r="B416" s="475" t="s">
        <v>485</v>
      </c>
      <c r="C416" s="475" t="s">
        <v>576</v>
      </c>
      <c r="D416" s="475" t="s">
        <v>453</v>
      </c>
      <c r="E416" s="475" t="s">
        <v>487</v>
      </c>
      <c r="F416" s="475" t="s">
        <v>297</v>
      </c>
      <c r="G416" s="475" t="s">
        <v>298</v>
      </c>
      <c r="H416" s="475">
        <v>3</v>
      </c>
      <c r="I416" s="477">
        <v>100000</v>
      </c>
      <c r="J416" s="478">
        <v>6.0999999999999999E-2</v>
      </c>
      <c r="K416" s="479">
        <v>45918</v>
      </c>
      <c r="L416" s="478">
        <f>+Tabla33[[#This Row],[Tasa de Interés]]*($U$5-Tabla33[[#This Row],[Last coupon]])/365</f>
        <v>1.7213698630136984E-2</v>
      </c>
      <c r="M416" s="480">
        <f>+Tabla33[[#This Row],[Precio Dirty]]-Tabla33[[#This Row],[Accrued]]</f>
        <v>0.99970339929646879</v>
      </c>
      <c r="N416" s="481">
        <f>SUMIFS(U:U,C:C,C416,Q:Q,Q416)/SUMIFS(T:T,C:C,C416,Q:Q,Q416,AD:AD,"Amortización de K")</f>
        <v>1.0169170979266058</v>
      </c>
      <c r="O416" s="482">
        <v>6.0951927304267878E-2</v>
      </c>
      <c r="P416" s="482">
        <v>6.0951927304267794E-2</v>
      </c>
      <c r="Q416" s="484">
        <v>46021</v>
      </c>
      <c r="R416" s="484">
        <v>46650</v>
      </c>
      <c r="S416" s="504" t="s">
        <v>146</v>
      </c>
      <c r="T416" s="505">
        <f>Tabla33[[#This Row],[Cantidad]]*Tabla33[[#This Row],[Cortes]]</f>
        <v>300000</v>
      </c>
      <c r="U416" s="576">
        <f t="shared" si="240"/>
        <v>270919.4350175836</v>
      </c>
      <c r="V416" s="576">
        <f t="shared" si="241"/>
        <v>270875.52249944943</v>
      </c>
      <c r="W416" s="505">
        <f>IF(Tabla33[[#This Row],[Fecha de operación]]=$C$1,0,U416-V416)</f>
        <v>0</v>
      </c>
      <c r="X416" s="507" t="str">
        <f t="shared" si="242"/>
        <v>Vigente</v>
      </c>
      <c r="Y416" s="489" t="s">
        <v>577</v>
      </c>
      <c r="Z416" s="488">
        <f t="shared" si="243"/>
        <v>629</v>
      </c>
      <c r="AA416" s="508">
        <f>IF(Y416="Mensual",DURATION($C$1,$C$1+Z416*12,J416/12,O416/12,1)/12,DURATION($C$1,R416,J416,O416,IF(Y416="Cupón cero",1,IF(Y416="Al vencimiento",1,IF(Y416="Anual",1,IF(Y416="Semestral",2,IF(Y416="Trimestral",4,"")))))))</f>
        <v>1.6647317462049744</v>
      </c>
      <c r="AB416" s="508">
        <f>IF(Y416="Mensual",MDURATION($C$1,$C$1+Z416*12,J416/12,O416/12,1)/12,MDURATION($C$1,R416,J416,O416,IF(Y416="Cupón cero",1,IF(Y416="Al vencimiento",1,IF(Y416="Anual",1,IF(Y416="Semestral",2,IF(Y416="Trimestral",4,"")))))))</f>
        <v>1.5690925322458555</v>
      </c>
      <c r="AC416" s="488" t="s">
        <v>451</v>
      </c>
      <c r="AD416" s="488" t="s">
        <v>452</v>
      </c>
      <c r="AF416" s="444">
        <f>+IF(Tabla33[[#This Row],[Amortización k | cupón de intereses]]="Amortización de K",Tabla33[[#This Row],[Valor Nominal]],0)</f>
        <v>300000</v>
      </c>
      <c r="AG416" s="444">
        <f>+IF(AND(Tabla33[[#This Row],[Amortización k | cupón de intereses]]="Cupón de interés",Tabla33[[#This Row],[Estado]]="Vigente"),Tabla33[[#This Row],[Valor Nominal]],0)</f>
        <v>0</v>
      </c>
      <c r="AH416" s="444">
        <f>+IF(Tabla33[[#This Row],[Amortización k | cupón de intereses]]="Amortización de K",SUMIFS($AG$7:$AG$418,Tabla33[Código Emisión],Tabla33[[#This Row],[Código Emisión]],Tabla33[Fecha de operación],Tabla33[[#This Row],[Fecha de operación]]),0)-Tabla33[[#This Row],[Accrued]]*Tabla33[[#This Row],[Valor Nominal]]</f>
        <v>31536.150410958908</v>
      </c>
      <c r="AI416" s="444">
        <f>+IF(Tabla33[[#This Row],[Amortización k | cupón de intereses]]="Amortización de K",IF(Tabla33[[#This Row],[Precio Clean]]&gt;1,Tabla33[[#This Row],[Valor Nominal]]*(Tabla33[[#This Row],[Precio Clean]]-1),0),0)</f>
        <v>0</v>
      </c>
      <c r="AJ416" s="444">
        <f>+IF(Tabla33[[#This Row],[Amortización k | cupón de intereses]]="Amortización de K",IF(Tabla33[[#This Row],[Precio Clean]]&lt;1,Tabla33[[#This Row],[Valor Nominal]]*(Tabla33[[#This Row],[Precio Clean]]-1),0),0)</f>
        <v>-88.980211059364052</v>
      </c>
    </row>
    <row r="417" spans="1:36">
      <c r="A417" s="502"/>
      <c r="B417" s="437" t="str">
        <f t="shared" ref="B417:C418" si="249">+B416</f>
        <v>Banco Nacional de Fomento</v>
      </c>
      <c r="C417" s="437" t="str">
        <f t="shared" si="249"/>
        <v>BNF_6,10%_20092027_BB2646-50_100K</v>
      </c>
      <c r="D417" s="437" t="s">
        <v>453</v>
      </c>
      <c r="E417" s="437" t="str">
        <f t="shared" si="245"/>
        <v>AA+py</v>
      </c>
      <c r="F417" s="437" t="s">
        <v>297</v>
      </c>
      <c r="G417" s="437" t="s">
        <v>298</v>
      </c>
      <c r="H417" s="437">
        <f t="shared" si="246"/>
        <v>3</v>
      </c>
      <c r="I417" s="445">
        <v>6133.42</v>
      </c>
      <c r="J417" s="462"/>
      <c r="K417" s="450"/>
      <c r="L417" s="462"/>
      <c r="M417" s="493"/>
      <c r="N417" s="493"/>
      <c r="O417" s="516">
        <f t="shared" ref="O417:Q418" si="250">+O416</f>
        <v>6.0951927304267878E-2</v>
      </c>
      <c r="P417" s="516">
        <f t="shared" si="250"/>
        <v>6.0951927304267794E-2</v>
      </c>
      <c r="Q417" s="450">
        <f t="shared" si="250"/>
        <v>46021</v>
      </c>
      <c r="R417" s="450">
        <v>46650</v>
      </c>
      <c r="S417" s="509" t="s">
        <v>146</v>
      </c>
      <c r="T417" s="510">
        <f>Tabla33[[#This Row],[Cantidad]]*Tabla33[[#This Row],[Cortes]]</f>
        <v>18400.260000000002</v>
      </c>
      <c r="U417" s="511">
        <f t="shared" si="240"/>
        <v>16616.626811255479</v>
      </c>
      <c r="V417" s="511">
        <f t="shared" si="241"/>
        <v>16613.933472085733</v>
      </c>
      <c r="W417" s="497">
        <f>IF(Tabla33[[#This Row],[Fecha de operación]]=$C$1,0,U417-V417)</f>
        <v>0</v>
      </c>
      <c r="X417" s="512" t="str">
        <f t="shared" si="242"/>
        <v>Vigente</v>
      </c>
      <c r="Y417" s="489" t="s">
        <v>577</v>
      </c>
      <c r="Z417" s="449">
        <f t="shared" si="243"/>
        <v>629</v>
      </c>
      <c r="AA417" s="518">
        <f t="shared" ref="AA417:AB418" si="251">+AA416</f>
        <v>1.6647317462049744</v>
      </c>
      <c r="AB417" s="518">
        <f t="shared" si="251"/>
        <v>1.5690925322458555</v>
      </c>
      <c r="AC417" s="449" t="s">
        <v>451</v>
      </c>
      <c r="AD417" s="449" t="s">
        <v>454</v>
      </c>
      <c r="AF417" s="444">
        <f>+IF(Tabla33[[#This Row],[Amortización k | cupón de intereses]]="Amortización de K",Tabla33[[#This Row],[Valor Nominal]],0)</f>
        <v>0</v>
      </c>
      <c r="AG417" s="444">
        <f>+IF(AND(Tabla33[[#This Row],[Amortización k | cupón de intereses]]="Cupón de interés",Tabla33[[#This Row],[Estado]]="Vigente"),Tabla33[[#This Row],[Valor Nominal]],0)</f>
        <v>18400.260000000002</v>
      </c>
      <c r="AH417" s="444">
        <f>+IF(Tabla33[[#This Row],[Amortización k | cupón de intereses]]="Amortización de K",SUMIFS($AG$7:$AG$418,Tabla33[Código Emisión],Tabla33[[#This Row],[Código Emisión]],Tabla33[Fecha de operación],Tabla33[[#This Row],[Fecha de operación]]),0)-Tabla33[[#This Row],[Accrued]]*Tabla33[[#This Row],[Valor Nominal]]</f>
        <v>0</v>
      </c>
      <c r="AI417" s="444">
        <f>+IF(Tabla33[[#This Row],[Amortización k | cupón de intereses]]="Amortización de K",IF(Tabla33[[#This Row],[Precio Clean]]&gt;1,Tabla33[[#This Row],[Valor Nominal]]*(Tabla33[[#This Row],[Precio Clean]]-1),0),0)</f>
        <v>0</v>
      </c>
      <c r="AJ417" s="444">
        <f>+IF(Tabla33[[#This Row],[Amortización k | cupón de intereses]]="Amortización de K",IF(Tabla33[[#This Row],[Precio Clean]]&lt;1,Tabla33[[#This Row],[Valor Nominal]]*(Tabla33[[#This Row],[Precio Clean]]-1),0),0)</f>
        <v>0</v>
      </c>
    </row>
    <row r="418" spans="1:36">
      <c r="A418" s="502"/>
      <c r="B418" s="437" t="str">
        <f t="shared" si="249"/>
        <v>Banco Nacional de Fomento</v>
      </c>
      <c r="C418" s="437" t="str">
        <f t="shared" si="249"/>
        <v>BNF_6,10%_20092027_BB2646-50_100K</v>
      </c>
      <c r="D418" s="437" t="s">
        <v>453</v>
      </c>
      <c r="E418" s="437" t="str">
        <f t="shared" si="245"/>
        <v>AA+py</v>
      </c>
      <c r="F418" s="437" t="s">
        <v>297</v>
      </c>
      <c r="G418" s="437" t="s">
        <v>298</v>
      </c>
      <c r="H418" s="437">
        <f t="shared" si="246"/>
        <v>3</v>
      </c>
      <c r="I418" s="445">
        <v>6100</v>
      </c>
      <c r="J418" s="462"/>
      <c r="K418" s="450"/>
      <c r="L418" s="462"/>
      <c r="M418" s="493"/>
      <c r="N418" s="493"/>
      <c r="O418" s="516">
        <f t="shared" si="250"/>
        <v>6.0951927304267878E-2</v>
      </c>
      <c r="P418" s="516">
        <f t="shared" si="250"/>
        <v>6.0951927304267794E-2</v>
      </c>
      <c r="Q418" s="450">
        <f t="shared" si="250"/>
        <v>46021</v>
      </c>
      <c r="R418" s="450">
        <v>46283</v>
      </c>
      <c r="S418" s="509" t="s">
        <v>146</v>
      </c>
      <c r="T418" s="525">
        <f>Tabla33[[#This Row],[Cantidad]]*Tabla33[[#This Row],[Cortes]]</f>
        <v>18300</v>
      </c>
      <c r="U418" s="526">
        <f t="shared" si="240"/>
        <v>17539.067549142612</v>
      </c>
      <c r="V418" s="526">
        <f t="shared" si="241"/>
        <v>17536.224694322107</v>
      </c>
      <c r="W418" s="527">
        <f>IF(Tabla33[[#This Row],[Fecha de operación]]=$C$1,0,U418-V418)</f>
        <v>0</v>
      </c>
      <c r="X418" s="512" t="str">
        <f t="shared" si="242"/>
        <v>Vigente</v>
      </c>
      <c r="Y418" s="489" t="s">
        <v>577</v>
      </c>
      <c r="Z418" s="449">
        <f t="shared" si="243"/>
        <v>262</v>
      </c>
      <c r="AA418" s="518">
        <f t="shared" si="251"/>
        <v>1.6647317462049744</v>
      </c>
      <c r="AB418" s="518">
        <f t="shared" si="251"/>
        <v>1.5690925322458555</v>
      </c>
      <c r="AC418" s="449" t="s">
        <v>451</v>
      </c>
      <c r="AD418" s="449" t="s">
        <v>454</v>
      </c>
      <c r="AF418" s="444">
        <f>+IF(Tabla33[[#This Row],[Amortización k | cupón de intereses]]="Amortización de K",Tabla33[[#This Row],[Valor Nominal]],0)</f>
        <v>0</v>
      </c>
      <c r="AG418" s="444">
        <f>+IF(AND(Tabla33[[#This Row],[Amortización k | cupón de intereses]]="Cupón de interés",Tabla33[[#This Row],[Estado]]="Vigente"),Tabla33[[#This Row],[Valor Nominal]],0)</f>
        <v>18300</v>
      </c>
      <c r="AH418" s="444">
        <f>+IF(Tabla33[[#This Row],[Amortización k | cupón de intereses]]="Amortización de K",SUMIFS($AG$7:$AG$418,Tabla33[Código Emisión],Tabla33[[#This Row],[Código Emisión]],Tabla33[Fecha de operación],Tabla33[[#This Row],[Fecha de operación]]),0)-Tabla33[[#This Row],[Accrued]]*Tabla33[[#This Row],[Valor Nominal]]</f>
        <v>0</v>
      </c>
      <c r="AI418" s="444">
        <f>+IF(Tabla33[[#This Row],[Amortización k | cupón de intereses]]="Amortización de K",IF(Tabla33[[#This Row],[Precio Clean]]&gt;1,Tabla33[[#This Row],[Valor Nominal]]*(Tabla33[[#This Row],[Precio Clean]]-1),0),0)</f>
        <v>0</v>
      </c>
      <c r="AJ418" s="444">
        <f>+IF(Tabla33[[#This Row],[Amortización k | cupón de intereses]]="Amortización de K",IF(Tabla33[[#This Row],[Precio Clean]]&lt;1,Tabla33[[#This Row],[Valor Nominal]]*(Tabla33[[#This Row],[Precio Clean]]-1),0),0)</f>
        <v>0</v>
      </c>
    </row>
  </sheetData>
  <autoFilter ref="AF5:AQ418" xr:uid="{3104C1DD-8A67-4DF8-BAB2-CD1A6EFB2E9F}"/>
  <mergeCells count="1">
    <mergeCell ref="D2:F2"/>
  </mergeCells>
  <conditionalFormatting sqref="O7:P418">
    <cfRule type="colorScale" priority="50">
      <colorScale>
        <cfvo type="min"/>
        <cfvo type="percentile" val="50"/>
        <cfvo type="max"/>
        <color rgb="FFF8696B"/>
        <color rgb="FFFFEB84"/>
        <color rgb="FF63BE7B"/>
      </colorScale>
    </cfRule>
  </conditionalFormatting>
  <conditionalFormatting sqref="O236:P255">
    <cfRule type="colorScale" priority="48">
      <colorScale>
        <cfvo type="min"/>
        <cfvo type="percentile" val="50"/>
        <cfvo type="max"/>
        <color rgb="FFF8696B"/>
        <color rgb="FFFFEB84"/>
        <color rgb="FF63BE7B"/>
      </colorScale>
    </cfRule>
  </conditionalFormatting>
  <conditionalFormatting sqref="O256:P292">
    <cfRule type="colorScale" priority="47">
      <colorScale>
        <cfvo type="min"/>
        <cfvo type="percentile" val="50"/>
        <cfvo type="max"/>
        <color rgb="FFF8696B"/>
        <color rgb="FFFFEB84"/>
        <color rgb="FF63BE7B"/>
      </colorScale>
    </cfRule>
    <cfRule type="colorScale" priority="46">
      <colorScale>
        <cfvo type="min"/>
        <cfvo type="percentile" val="50"/>
        <cfvo type="max"/>
        <color rgb="FFF8696B"/>
        <color rgb="FFFFEB84"/>
        <color rgb="FF63BE7B"/>
      </colorScale>
    </cfRule>
    <cfRule type="colorScale" priority="45">
      <colorScale>
        <cfvo type="min"/>
        <cfvo type="percentile" val="50"/>
        <cfvo type="max"/>
        <color rgb="FFF8696B"/>
        <color rgb="FFFFEB84"/>
        <color rgb="FF63BE7B"/>
      </colorScale>
    </cfRule>
  </conditionalFormatting>
  <conditionalFormatting sqref="O293:P329">
    <cfRule type="colorScale" priority="44">
      <colorScale>
        <cfvo type="min"/>
        <cfvo type="percentile" val="50"/>
        <cfvo type="max"/>
        <color rgb="FFF8696B"/>
        <color rgb="FFFFEB84"/>
        <color rgb="FF63BE7B"/>
      </colorScale>
    </cfRule>
    <cfRule type="colorScale" priority="43">
      <colorScale>
        <cfvo type="min"/>
        <cfvo type="percentile" val="50"/>
        <cfvo type="max"/>
        <color rgb="FFF8696B"/>
        <color rgb="FFFFEB84"/>
        <color rgb="FF63BE7B"/>
      </colorScale>
    </cfRule>
    <cfRule type="colorScale" priority="42">
      <colorScale>
        <cfvo type="min"/>
        <cfvo type="percentile" val="50"/>
        <cfvo type="max"/>
        <color rgb="FFF8696B"/>
        <color rgb="FFFFEB84"/>
        <color rgb="FF63BE7B"/>
      </colorScale>
    </cfRule>
    <cfRule type="colorScale" priority="41">
      <colorScale>
        <cfvo type="min"/>
        <cfvo type="percentile" val="50"/>
        <cfvo type="max"/>
        <color rgb="FFF8696B"/>
        <color rgb="FFFFEB84"/>
        <color rgb="FF63BE7B"/>
      </colorScale>
    </cfRule>
  </conditionalFormatting>
  <conditionalFormatting sqref="O350:P358">
    <cfRule type="colorScale" priority="40">
      <colorScale>
        <cfvo type="min"/>
        <cfvo type="percentile" val="50"/>
        <cfvo type="max"/>
        <color rgb="FFF8696B"/>
        <color rgb="FFFFEB84"/>
        <color rgb="FF63BE7B"/>
      </colorScale>
    </cfRule>
  </conditionalFormatting>
  <conditionalFormatting sqref="O359:P363">
    <cfRule type="colorScale" priority="49">
      <colorScale>
        <cfvo type="min"/>
        <cfvo type="percentile" val="50"/>
        <cfvo type="max"/>
        <color rgb="FFF8696B"/>
        <color rgb="FFFFEB84"/>
        <color rgb="FF63BE7B"/>
      </colorScale>
    </cfRule>
  </conditionalFormatting>
  <conditionalFormatting sqref="O364:P368">
    <cfRule type="colorScale" priority="39">
      <colorScale>
        <cfvo type="min"/>
        <cfvo type="percentile" val="50"/>
        <cfvo type="max"/>
        <color rgb="FFF8696B"/>
        <color rgb="FFFFEB84"/>
        <color rgb="FF63BE7B"/>
      </colorScale>
    </cfRule>
    <cfRule type="colorScale" priority="38">
      <colorScale>
        <cfvo type="min"/>
        <cfvo type="percentile" val="50"/>
        <cfvo type="max"/>
        <color rgb="FFF8696B"/>
        <color rgb="FFFFEB84"/>
        <color rgb="FF63BE7B"/>
      </colorScale>
    </cfRule>
  </conditionalFormatting>
  <conditionalFormatting sqref="O369:P373">
    <cfRule type="colorScale" priority="36">
      <colorScale>
        <cfvo type="min"/>
        <cfvo type="percentile" val="50"/>
        <cfvo type="max"/>
        <color rgb="FFF8696B"/>
        <color rgb="FFFFEB84"/>
        <color rgb="FF63BE7B"/>
      </colorScale>
    </cfRule>
    <cfRule type="colorScale" priority="35">
      <colorScale>
        <cfvo type="min"/>
        <cfvo type="percentile" val="50"/>
        <cfvo type="max"/>
        <color rgb="FFF8696B"/>
        <color rgb="FFFFEB84"/>
        <color rgb="FF63BE7B"/>
      </colorScale>
    </cfRule>
    <cfRule type="colorScale" priority="37">
      <colorScale>
        <cfvo type="min"/>
        <cfvo type="percentile" val="50"/>
        <cfvo type="max"/>
        <color rgb="FFF8696B"/>
        <color rgb="FFFFEB84"/>
        <color rgb="FF63BE7B"/>
      </colorScale>
    </cfRule>
  </conditionalFormatting>
  <conditionalFormatting sqref="O374:P380">
    <cfRule type="colorScale" priority="34">
      <colorScale>
        <cfvo type="min"/>
        <cfvo type="percentile" val="50"/>
        <cfvo type="max"/>
        <color rgb="FFF8696B"/>
        <color rgb="FFFFEB84"/>
        <color rgb="FF63BE7B"/>
      </colorScale>
    </cfRule>
    <cfRule type="colorScale" priority="33">
      <colorScale>
        <cfvo type="min"/>
        <cfvo type="percentile" val="50"/>
        <cfvo type="max"/>
        <color rgb="FFF8696B"/>
        <color rgb="FFFFEB84"/>
        <color rgb="FF63BE7B"/>
      </colorScale>
    </cfRule>
    <cfRule type="colorScale" priority="31">
      <colorScale>
        <cfvo type="min"/>
        <cfvo type="percentile" val="50"/>
        <cfvo type="max"/>
        <color rgb="FFF8696B"/>
        <color rgb="FFFFEB84"/>
        <color rgb="FF63BE7B"/>
      </colorScale>
    </cfRule>
    <cfRule type="colorScale" priority="32">
      <colorScale>
        <cfvo type="min"/>
        <cfvo type="percentile" val="50"/>
        <cfvo type="max"/>
        <color rgb="FFF8696B"/>
        <color rgb="FFFFEB84"/>
        <color rgb="FF63BE7B"/>
      </colorScale>
    </cfRule>
  </conditionalFormatting>
  <conditionalFormatting sqref="O381:P387">
    <cfRule type="colorScale" priority="26">
      <colorScale>
        <cfvo type="min"/>
        <cfvo type="percentile" val="50"/>
        <cfvo type="max"/>
        <color rgb="FFF8696B"/>
        <color rgb="FFFFEB84"/>
        <color rgb="FF63BE7B"/>
      </colorScale>
    </cfRule>
    <cfRule type="colorScale" priority="27">
      <colorScale>
        <cfvo type="min"/>
        <cfvo type="percentile" val="50"/>
        <cfvo type="max"/>
        <color rgb="FFF8696B"/>
        <color rgb="FFFFEB84"/>
        <color rgb="FF63BE7B"/>
      </colorScale>
    </cfRule>
    <cfRule type="colorScale" priority="28">
      <colorScale>
        <cfvo type="min"/>
        <cfvo type="percentile" val="50"/>
        <cfvo type="max"/>
        <color rgb="FFF8696B"/>
        <color rgb="FFFFEB84"/>
        <color rgb="FF63BE7B"/>
      </colorScale>
    </cfRule>
    <cfRule type="colorScale" priority="29">
      <colorScale>
        <cfvo type="min"/>
        <cfvo type="percentile" val="50"/>
        <cfvo type="max"/>
        <color rgb="FFF8696B"/>
        <color rgb="FFFFEB84"/>
        <color rgb="FF63BE7B"/>
      </colorScale>
    </cfRule>
    <cfRule type="colorScale" priority="30">
      <colorScale>
        <cfvo type="min"/>
        <cfvo type="percentile" val="50"/>
        <cfvo type="max"/>
        <color rgb="FFF8696B"/>
        <color rgb="FFFFEB84"/>
        <color rgb="FF63BE7B"/>
      </colorScale>
    </cfRule>
  </conditionalFormatting>
  <conditionalFormatting sqref="O388:P400">
    <cfRule type="colorScale" priority="25">
      <colorScale>
        <cfvo type="min"/>
        <cfvo type="percentile" val="50"/>
        <cfvo type="max"/>
        <color rgb="FFF8696B"/>
        <color rgb="FFFFEB84"/>
        <color rgb="FF63BE7B"/>
      </colorScale>
    </cfRule>
    <cfRule type="colorScale" priority="24">
      <colorScale>
        <cfvo type="min"/>
        <cfvo type="percentile" val="50"/>
        <cfvo type="max"/>
        <color rgb="FFF8696B"/>
        <color rgb="FFFFEB84"/>
        <color rgb="FF63BE7B"/>
      </colorScale>
    </cfRule>
    <cfRule type="colorScale" priority="23">
      <colorScale>
        <cfvo type="min"/>
        <cfvo type="percentile" val="50"/>
        <cfvo type="max"/>
        <color rgb="FFF8696B"/>
        <color rgb="FFFFEB84"/>
        <color rgb="FF63BE7B"/>
      </colorScale>
    </cfRule>
    <cfRule type="colorScale" priority="22">
      <colorScale>
        <cfvo type="min"/>
        <cfvo type="percentile" val="50"/>
        <cfvo type="max"/>
        <color rgb="FFF8696B"/>
        <color rgb="FFFFEB84"/>
        <color rgb="FF63BE7B"/>
      </colorScale>
    </cfRule>
  </conditionalFormatting>
  <conditionalFormatting sqref="O401:P401">
    <cfRule type="colorScale" priority="21">
      <colorScale>
        <cfvo type="min"/>
        <cfvo type="percentile" val="50"/>
        <cfvo type="max"/>
        <color rgb="FFF8696B"/>
        <color rgb="FFFFEB84"/>
        <color rgb="FF63BE7B"/>
      </colorScale>
    </cfRule>
  </conditionalFormatting>
  <conditionalFormatting sqref="O402:P402">
    <cfRule type="colorScale" priority="13">
      <colorScale>
        <cfvo type="min"/>
        <cfvo type="percentile" val="50"/>
        <cfvo type="max"/>
        <color rgb="FFF8696B"/>
        <color rgb="FFFFEB84"/>
        <color rgb="FF63BE7B"/>
      </colorScale>
    </cfRule>
    <cfRule type="colorScale" priority="20">
      <colorScale>
        <cfvo type="min"/>
        <cfvo type="percentile" val="50"/>
        <cfvo type="max"/>
        <color rgb="FFF8696B"/>
        <color rgb="FFFFEB84"/>
        <color rgb="FF63BE7B"/>
      </colorScale>
    </cfRule>
    <cfRule type="colorScale" priority="19">
      <colorScale>
        <cfvo type="min"/>
        <cfvo type="percentile" val="50"/>
        <cfvo type="max"/>
        <color rgb="FFF8696B"/>
        <color rgb="FFFFEB84"/>
        <color rgb="FF63BE7B"/>
      </colorScale>
    </cfRule>
    <cfRule type="colorScale" priority="18">
      <colorScale>
        <cfvo type="min"/>
        <cfvo type="percentile" val="50"/>
        <cfvo type="max"/>
        <color rgb="FFF8696B"/>
        <color rgb="FFFFEB84"/>
        <color rgb="FF63BE7B"/>
      </colorScale>
    </cfRule>
    <cfRule type="colorScale" priority="17">
      <colorScale>
        <cfvo type="min"/>
        <cfvo type="percentile" val="50"/>
        <cfvo type="max"/>
        <color rgb="FFF8696B"/>
        <color rgb="FFFFEB84"/>
        <color rgb="FF63BE7B"/>
      </colorScale>
    </cfRule>
    <cfRule type="colorScale" priority="16">
      <colorScale>
        <cfvo type="min"/>
        <cfvo type="percentile" val="50"/>
        <cfvo type="max"/>
        <color rgb="FFF8696B"/>
        <color rgb="FFFFEB84"/>
        <color rgb="FF63BE7B"/>
      </colorScale>
    </cfRule>
    <cfRule type="colorScale" priority="15">
      <colorScale>
        <cfvo type="min"/>
        <cfvo type="percentile" val="50"/>
        <cfvo type="max"/>
        <color rgb="FFF8696B"/>
        <color rgb="FFFFEB84"/>
        <color rgb="FF63BE7B"/>
      </colorScale>
    </cfRule>
    <cfRule type="colorScale" priority="14">
      <colorScale>
        <cfvo type="min"/>
        <cfvo type="percentile" val="50"/>
        <cfvo type="max"/>
        <color rgb="FFF8696B"/>
        <color rgb="FFFFEB84"/>
        <color rgb="FF63BE7B"/>
      </colorScale>
    </cfRule>
    <cfRule type="colorScale" priority="12">
      <colorScale>
        <cfvo type="min"/>
        <cfvo type="percentile" val="50"/>
        <cfvo type="max"/>
        <color rgb="FFF8696B"/>
        <color rgb="FFFFEB84"/>
        <color rgb="FF63BE7B"/>
      </colorScale>
    </cfRule>
    <cfRule type="colorScale" priority="11">
      <colorScale>
        <cfvo type="min"/>
        <cfvo type="percentile" val="50"/>
        <cfvo type="max"/>
        <color rgb="FFF8696B"/>
        <color rgb="FFFFEB84"/>
        <color rgb="FF63BE7B"/>
      </colorScale>
    </cfRule>
    <cfRule type="colorScale" priority="10">
      <colorScale>
        <cfvo type="min"/>
        <cfvo type="percentile" val="50"/>
        <cfvo type="max"/>
        <color rgb="FFF8696B"/>
        <color rgb="FFFFEB84"/>
        <color rgb="FF63BE7B"/>
      </colorScale>
    </cfRule>
  </conditionalFormatting>
  <conditionalFormatting sqref="O403:P415">
    <cfRule type="colorScale" priority="7">
      <colorScale>
        <cfvo type="min"/>
        <cfvo type="percentile" val="50"/>
        <cfvo type="max"/>
        <color rgb="FFF8696B"/>
        <color rgb="FFFFEB84"/>
        <color rgb="FF63BE7B"/>
      </colorScale>
    </cfRule>
    <cfRule type="colorScale" priority="9">
      <colorScale>
        <cfvo type="min"/>
        <cfvo type="percentile" val="50"/>
        <cfvo type="max"/>
        <color rgb="FFF8696B"/>
        <color rgb="FFFFEB84"/>
        <color rgb="FF63BE7B"/>
      </colorScale>
    </cfRule>
    <cfRule type="colorScale" priority="8">
      <colorScale>
        <cfvo type="min"/>
        <cfvo type="percentile" val="50"/>
        <cfvo type="max"/>
        <color rgb="FFF8696B"/>
        <color rgb="FFFFEB84"/>
        <color rgb="FF63BE7B"/>
      </colorScale>
    </cfRule>
    <cfRule type="colorScale" priority="6">
      <colorScale>
        <cfvo type="min"/>
        <cfvo type="percentile" val="50"/>
        <cfvo type="max"/>
        <color rgb="FFF8696B"/>
        <color rgb="FFFFEB84"/>
        <color rgb="FF63BE7B"/>
      </colorScale>
    </cfRule>
  </conditionalFormatting>
  <conditionalFormatting sqref="O416:P418">
    <cfRule type="colorScale" priority="2">
      <colorScale>
        <cfvo type="min"/>
        <cfvo type="percentile" val="50"/>
        <cfvo type="max"/>
        <color rgb="FFF8696B"/>
        <color rgb="FFFFEB84"/>
        <color rgb="FF63BE7B"/>
      </colorScale>
    </cfRule>
    <cfRule type="colorScale" priority="3">
      <colorScale>
        <cfvo type="min"/>
        <cfvo type="percentile" val="50"/>
        <cfvo type="max"/>
        <color rgb="FFF8696B"/>
        <color rgb="FFFFEB84"/>
        <color rgb="FF63BE7B"/>
      </colorScale>
    </cfRule>
    <cfRule type="colorScale" priority="4">
      <colorScale>
        <cfvo type="min"/>
        <cfvo type="percentile" val="50"/>
        <cfvo type="max"/>
        <color rgb="FFF8696B"/>
        <color rgb="FFFFEB84"/>
        <color rgb="FF63BE7B"/>
      </colorScale>
    </cfRule>
    <cfRule type="colorScale" priority="5">
      <colorScale>
        <cfvo type="min"/>
        <cfvo type="percentile" val="50"/>
        <cfvo type="max"/>
        <color rgb="FFF8696B"/>
        <color rgb="FFFFEB84"/>
        <color rgb="FF63BE7B"/>
      </colorScale>
    </cfRule>
    <cfRule type="colorScale" priority="1">
      <colorScale>
        <cfvo type="min"/>
        <cfvo type="percentile" val="50"/>
        <cfvo type="max"/>
        <color rgb="FFF8696B"/>
        <color rgb="FFFFEB84"/>
        <color rgb="FF63BE7B"/>
      </colorScale>
    </cfRule>
  </conditionalFormatting>
  <conditionalFormatting sqref="Z7:Z418">
    <cfRule type="colorScale" priority="51">
      <colorScale>
        <cfvo type="min"/>
        <cfvo type="percentile" val="50"/>
        <cfvo type="max"/>
        <color rgb="FF63BE7B"/>
        <color rgb="FFFFEB84"/>
        <color rgb="FFF8696B"/>
      </colorScale>
    </cfRule>
  </conditionalFormatting>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C44E1-61FE-4E95-8C87-2828CF617C84}">
  <sheetPr codeName="Hoja11">
    <tabColor rgb="FFFFC000"/>
  </sheetPr>
  <dimension ref="A1:M62"/>
  <sheetViews>
    <sheetView showGridLines="0" topLeftCell="F1" zoomScale="90" workbookViewId="0">
      <pane ySplit="5" topLeftCell="A50" activePane="bottomLeft" state="frozen"/>
      <selection activeCell="AP40" sqref="AP40"/>
      <selection pane="bottomLeft" activeCell="AP40" sqref="AP40"/>
    </sheetView>
  </sheetViews>
  <sheetFormatPr baseColWidth="10" defaultColWidth="9.140625" defaultRowHeight="15"/>
  <cols>
    <col min="1" max="1" width="20.28515625" bestFit="1" customWidth="1"/>
    <col min="2" max="2" width="31.5703125" style="665" bestFit="1" customWidth="1"/>
    <col min="3" max="3" width="33.42578125" style="339" customWidth="1"/>
    <col min="4" max="4" width="22.85546875" style="340" customWidth="1"/>
    <col min="5" max="5" width="18.5703125" style="340" customWidth="1"/>
    <col min="6" max="6" width="18.28515625" style="339" customWidth="1"/>
    <col min="7" max="7" width="20.42578125" style="339" customWidth="1"/>
    <col min="8" max="8" width="23.42578125" style="348" customWidth="1"/>
    <col min="9" max="9" width="14.85546875" customWidth="1"/>
    <col min="10" max="10" width="14.5703125" customWidth="1"/>
    <col min="11" max="11" width="21" bestFit="1" customWidth="1"/>
    <col min="12" max="12" width="14.28515625" customWidth="1"/>
    <col min="13" max="13" width="15.5703125" customWidth="1"/>
    <col min="14" max="14" width="14" customWidth="1"/>
    <col min="15" max="15" width="15.5703125" customWidth="1"/>
  </cols>
  <sheetData>
    <row r="1" spans="1:13" ht="21">
      <c r="A1" s="338" t="s">
        <v>247</v>
      </c>
      <c r="B1" s="339"/>
    </row>
    <row r="2" spans="1:13" ht="21">
      <c r="B2" s="338"/>
    </row>
    <row r="3" spans="1:13" ht="15.75">
      <c r="A3" s="341" t="s">
        <v>248</v>
      </c>
      <c r="B3" s="342">
        <v>45809</v>
      </c>
    </row>
    <row r="4" spans="1:13" ht="15.75">
      <c r="A4" s="341" t="s">
        <v>249</v>
      </c>
      <c r="B4" s="342">
        <v>45838</v>
      </c>
      <c r="K4" s="344"/>
    </row>
    <row r="5" spans="1:13" ht="15.75">
      <c r="A5" s="339"/>
      <c r="B5" s="339"/>
      <c r="I5" s="346" t="s">
        <v>289</v>
      </c>
      <c r="J5" s="347" t="s">
        <v>290</v>
      </c>
      <c r="K5" s="345" t="s">
        <v>291</v>
      </c>
    </row>
    <row r="6" spans="1:13" ht="15.75">
      <c r="A6" s="343" t="s">
        <v>250</v>
      </c>
      <c r="B6" s="343" t="s">
        <v>251</v>
      </c>
      <c r="C6" s="343" t="s">
        <v>252</v>
      </c>
      <c r="D6" s="343" t="s">
        <v>253</v>
      </c>
      <c r="E6" s="343" t="s">
        <v>254</v>
      </c>
      <c r="F6" s="343" t="s">
        <v>255</v>
      </c>
      <c r="G6" s="343" t="s">
        <v>256</v>
      </c>
      <c r="H6" s="381" t="s">
        <v>257</v>
      </c>
    </row>
    <row r="7" spans="1:13">
      <c r="A7" t="s">
        <v>258</v>
      </c>
      <c r="B7" s="602">
        <v>1</v>
      </c>
      <c r="C7" s="600" t="s">
        <v>326</v>
      </c>
      <c r="D7" s="340" t="s">
        <v>259</v>
      </c>
      <c r="E7" s="340" t="s">
        <v>259</v>
      </c>
      <c r="F7" s="339">
        <v>0</v>
      </c>
      <c r="G7" s="664">
        <v>16150485114.02</v>
      </c>
      <c r="H7" s="348">
        <v>2027462.67</v>
      </c>
      <c r="I7">
        <v>0</v>
      </c>
      <c r="J7">
        <v>0</v>
      </c>
      <c r="K7" s="344">
        <f>+H7+I7-J7</f>
        <v>2027462.67</v>
      </c>
      <c r="L7" s="348"/>
    </row>
    <row r="8" spans="1:13">
      <c r="A8" t="s">
        <v>258</v>
      </c>
      <c r="B8" s="602">
        <v>1001</v>
      </c>
      <c r="C8" s="600" t="s">
        <v>327</v>
      </c>
      <c r="D8" s="340" t="s">
        <v>259</v>
      </c>
      <c r="E8" s="340" t="s">
        <v>259</v>
      </c>
      <c r="F8" s="339">
        <v>0</v>
      </c>
      <c r="G8" s="664">
        <v>618877238.85000002</v>
      </c>
      <c r="H8" s="348">
        <v>78170.009999999995</v>
      </c>
      <c r="I8">
        <v>0</v>
      </c>
      <c r="J8">
        <v>0</v>
      </c>
      <c r="K8" s="344">
        <f t="shared" ref="K8:K23" si="0">+H8+I8-J8</f>
        <v>78170.009999999995</v>
      </c>
      <c r="L8" s="348"/>
    </row>
    <row r="9" spans="1:13">
      <c r="A9" t="s">
        <v>258</v>
      </c>
      <c r="B9" s="602">
        <v>1001001</v>
      </c>
      <c r="C9" s="600" t="s">
        <v>328</v>
      </c>
      <c r="D9" s="340" t="s">
        <v>259</v>
      </c>
      <c r="E9" s="340" t="s">
        <v>259</v>
      </c>
      <c r="F9" s="339">
        <v>0</v>
      </c>
      <c r="G9" s="664">
        <v>618877238.85000002</v>
      </c>
      <c r="H9" s="348">
        <v>78170.009999999995</v>
      </c>
      <c r="I9">
        <v>0</v>
      </c>
      <c r="J9">
        <v>0</v>
      </c>
      <c r="K9" s="344">
        <f t="shared" si="0"/>
        <v>78170.009999999995</v>
      </c>
      <c r="L9" s="348"/>
    </row>
    <row r="10" spans="1:13">
      <c r="A10" t="s">
        <v>258</v>
      </c>
      <c r="B10" s="602">
        <v>1001001001</v>
      </c>
      <c r="C10" s="600" t="s">
        <v>329</v>
      </c>
      <c r="D10" s="340" t="s">
        <v>259</v>
      </c>
      <c r="E10" s="340" t="s">
        <v>259</v>
      </c>
      <c r="F10" s="339">
        <v>0</v>
      </c>
      <c r="G10" s="664">
        <v>618877238.85000002</v>
      </c>
      <c r="H10" s="348">
        <v>78170.009999999995</v>
      </c>
      <c r="I10">
        <v>0</v>
      </c>
      <c r="J10">
        <v>0</v>
      </c>
      <c r="K10" s="344">
        <f t="shared" si="0"/>
        <v>78170.009999999995</v>
      </c>
      <c r="L10" s="348"/>
    </row>
    <row r="11" spans="1:13">
      <c r="A11" t="s">
        <v>258</v>
      </c>
      <c r="B11" s="602">
        <v>1001001001001</v>
      </c>
      <c r="C11" s="600" t="s">
        <v>194</v>
      </c>
      <c r="D11" s="340" t="s">
        <v>146</v>
      </c>
      <c r="E11" s="340" t="s">
        <v>260</v>
      </c>
      <c r="F11" s="339">
        <v>78170.009999999995</v>
      </c>
      <c r="G11" s="664">
        <v>618877238.85000002</v>
      </c>
      <c r="H11" s="348">
        <v>78170.009999999995</v>
      </c>
      <c r="I11">
        <v>1326.1599999999999</v>
      </c>
      <c r="J11">
        <v>0</v>
      </c>
      <c r="K11" s="344">
        <f t="shared" si="0"/>
        <v>79496.17</v>
      </c>
      <c r="L11" s="348"/>
    </row>
    <row r="12" spans="1:13">
      <c r="A12" t="s">
        <v>258</v>
      </c>
      <c r="B12" s="602">
        <v>1002</v>
      </c>
      <c r="C12" s="600" t="s">
        <v>330</v>
      </c>
      <c r="D12" s="340" t="s">
        <v>259</v>
      </c>
      <c r="E12" s="340" t="s">
        <v>259</v>
      </c>
      <c r="F12" s="339">
        <v>0</v>
      </c>
      <c r="G12" s="664">
        <v>15530396888.17</v>
      </c>
      <c r="H12" s="348">
        <v>1949140.39</v>
      </c>
      <c r="I12">
        <v>0</v>
      </c>
      <c r="J12">
        <v>0</v>
      </c>
      <c r="K12" s="344">
        <f t="shared" si="0"/>
        <v>1949140.39</v>
      </c>
      <c r="L12" s="348"/>
    </row>
    <row r="13" spans="1:13">
      <c r="A13" t="s">
        <v>258</v>
      </c>
      <c r="B13" s="602">
        <v>1002001</v>
      </c>
      <c r="C13" s="600" t="s">
        <v>331</v>
      </c>
      <c r="D13" s="340" t="s">
        <v>259</v>
      </c>
      <c r="E13" s="340" t="s">
        <v>259</v>
      </c>
      <c r="F13" s="339">
        <v>0</v>
      </c>
      <c r="G13" s="664">
        <v>15530396888.17</v>
      </c>
      <c r="H13" s="348">
        <v>1949140.39</v>
      </c>
      <c r="I13">
        <v>0</v>
      </c>
      <c r="J13">
        <v>0</v>
      </c>
      <c r="K13" s="344">
        <f t="shared" si="0"/>
        <v>1949140.39</v>
      </c>
      <c r="L13" s="348"/>
    </row>
    <row r="14" spans="1:13">
      <c r="A14" t="s">
        <v>258</v>
      </c>
      <c r="B14" s="602">
        <v>1002001002</v>
      </c>
      <c r="C14" s="600" t="s">
        <v>332</v>
      </c>
      <c r="D14" s="340" t="s">
        <v>259</v>
      </c>
      <c r="E14" s="340" t="s">
        <v>259</v>
      </c>
      <c r="F14" s="339">
        <v>0</v>
      </c>
      <c r="G14" s="664">
        <v>2051697319.21</v>
      </c>
      <c r="H14" s="348">
        <v>257814.79</v>
      </c>
      <c r="I14">
        <v>0</v>
      </c>
      <c r="J14">
        <v>0</v>
      </c>
      <c r="K14" s="344">
        <f t="shared" si="0"/>
        <v>257814.79</v>
      </c>
      <c r="L14" s="348"/>
    </row>
    <row r="15" spans="1:13">
      <c r="A15" t="s">
        <v>258</v>
      </c>
      <c r="B15" s="602">
        <v>1002001002001</v>
      </c>
      <c r="C15" s="600" t="s">
        <v>333</v>
      </c>
      <c r="D15" s="340" t="s">
        <v>146</v>
      </c>
      <c r="E15" s="340" t="s">
        <v>260</v>
      </c>
      <c r="F15" s="339">
        <v>257814.79</v>
      </c>
      <c r="G15" s="664">
        <v>2051697319.21</v>
      </c>
      <c r="H15" s="348">
        <v>257814.79</v>
      </c>
      <c r="I15">
        <v>0</v>
      </c>
      <c r="J15">
        <v>0</v>
      </c>
      <c r="K15" s="344">
        <f t="shared" si="0"/>
        <v>257814.79</v>
      </c>
      <c r="L15" s="348"/>
      <c r="M15" s="588"/>
    </row>
    <row r="16" spans="1:13">
      <c r="A16" t="s">
        <v>258</v>
      </c>
      <c r="B16" s="602">
        <v>1002001005</v>
      </c>
      <c r="C16" s="600" t="s">
        <v>334</v>
      </c>
      <c r="D16" s="340" t="s">
        <v>259</v>
      </c>
      <c r="E16" s="340" t="s">
        <v>259</v>
      </c>
      <c r="F16" s="339">
        <v>0</v>
      </c>
      <c r="G16" s="664">
        <v>1612170160.05</v>
      </c>
      <c r="H16" s="348">
        <v>202262.24</v>
      </c>
      <c r="I16">
        <v>0</v>
      </c>
      <c r="J16">
        <v>0</v>
      </c>
      <c r="K16" s="344">
        <f t="shared" si="0"/>
        <v>202262.24</v>
      </c>
      <c r="L16" s="348"/>
      <c r="M16" s="588"/>
    </row>
    <row r="17" spans="1:13">
      <c r="A17" t="s">
        <v>258</v>
      </c>
      <c r="B17" s="602">
        <v>1002001005001</v>
      </c>
      <c r="C17" s="600" t="s">
        <v>262</v>
      </c>
      <c r="D17" s="340" t="s">
        <v>146</v>
      </c>
      <c r="E17" s="340" t="s">
        <v>260</v>
      </c>
      <c r="F17" s="339">
        <v>202262.24</v>
      </c>
      <c r="G17" s="664">
        <v>1612170160.05</v>
      </c>
      <c r="H17" s="348">
        <v>202262.24</v>
      </c>
      <c r="I17">
        <v>0</v>
      </c>
      <c r="J17">
        <v>0</v>
      </c>
      <c r="K17" s="344">
        <f t="shared" si="0"/>
        <v>202262.24</v>
      </c>
      <c r="L17" s="348"/>
      <c r="M17" s="588"/>
    </row>
    <row r="18" spans="1:13">
      <c r="A18" t="s">
        <v>258</v>
      </c>
      <c r="B18" s="602">
        <v>1002001007</v>
      </c>
      <c r="C18" s="600" t="s">
        <v>335</v>
      </c>
      <c r="D18" s="340" t="s">
        <v>259</v>
      </c>
      <c r="E18" s="340" t="s">
        <v>259</v>
      </c>
      <c r="F18" s="339">
        <v>0</v>
      </c>
      <c r="G18" s="664">
        <v>11866529408.91</v>
      </c>
      <c r="H18" s="348">
        <v>1489063.36</v>
      </c>
      <c r="I18">
        <v>0</v>
      </c>
      <c r="J18">
        <v>0</v>
      </c>
      <c r="K18" s="344">
        <f t="shared" si="0"/>
        <v>1489063.36</v>
      </c>
      <c r="L18" s="348"/>
      <c r="M18" s="588"/>
    </row>
    <row r="19" spans="1:13">
      <c r="A19" t="s">
        <v>258</v>
      </c>
      <c r="B19" s="602">
        <v>1002001007001</v>
      </c>
      <c r="C19" s="600" t="s">
        <v>195</v>
      </c>
      <c r="D19" s="340" t="s">
        <v>146</v>
      </c>
      <c r="E19" s="340" t="s">
        <v>260</v>
      </c>
      <c r="F19" s="339">
        <v>1489063.36</v>
      </c>
      <c r="G19" s="664">
        <v>11866529408.91</v>
      </c>
      <c r="H19" s="348">
        <v>1489063.36</v>
      </c>
      <c r="I19" s="344">
        <v>6777.5609393639916</v>
      </c>
      <c r="J19">
        <v>0</v>
      </c>
      <c r="K19" s="344">
        <f t="shared" si="0"/>
        <v>1495840.920939364</v>
      </c>
      <c r="L19" s="348"/>
      <c r="M19" s="588"/>
    </row>
    <row r="20" spans="1:13">
      <c r="A20" t="s">
        <v>258</v>
      </c>
      <c r="B20" s="602">
        <v>1003</v>
      </c>
      <c r="C20" s="600" t="s">
        <v>336</v>
      </c>
      <c r="D20" s="340" t="s">
        <v>259</v>
      </c>
      <c r="E20" s="340" t="s">
        <v>259</v>
      </c>
      <c r="F20" s="339">
        <v>0</v>
      </c>
      <c r="G20" s="664">
        <v>1210987</v>
      </c>
      <c r="H20" s="348">
        <v>152.27000000000001</v>
      </c>
      <c r="I20">
        <v>0</v>
      </c>
      <c r="J20">
        <v>0</v>
      </c>
      <c r="K20" s="344">
        <f t="shared" si="0"/>
        <v>152.27000000000001</v>
      </c>
      <c r="L20" s="348"/>
      <c r="M20" s="588"/>
    </row>
    <row r="21" spans="1:13">
      <c r="A21" t="s">
        <v>258</v>
      </c>
      <c r="B21" s="602">
        <v>1003001</v>
      </c>
      <c r="C21" s="600" t="s">
        <v>336</v>
      </c>
      <c r="D21" s="340" t="s">
        <v>259</v>
      </c>
      <c r="E21" s="340" t="s">
        <v>259</v>
      </c>
      <c r="F21" s="339">
        <v>0</v>
      </c>
      <c r="G21" s="664">
        <v>1210987</v>
      </c>
      <c r="H21" s="348">
        <v>152.27000000000001</v>
      </c>
      <c r="I21">
        <v>0</v>
      </c>
      <c r="J21">
        <v>0</v>
      </c>
      <c r="K21" s="344">
        <f t="shared" si="0"/>
        <v>152.27000000000001</v>
      </c>
      <c r="L21" s="348"/>
      <c r="M21" s="588"/>
    </row>
    <row r="22" spans="1:13">
      <c r="A22" t="s">
        <v>258</v>
      </c>
      <c r="B22" s="602">
        <v>1003001001</v>
      </c>
      <c r="C22" s="600" t="s">
        <v>337</v>
      </c>
      <c r="D22" s="340" t="s">
        <v>259</v>
      </c>
      <c r="E22" s="340" t="s">
        <v>259</v>
      </c>
      <c r="F22" s="339">
        <v>0</v>
      </c>
      <c r="G22" s="664">
        <v>1210987</v>
      </c>
      <c r="H22" s="348">
        <v>152.27000000000001</v>
      </c>
      <c r="I22">
        <v>0</v>
      </c>
      <c r="J22">
        <v>0</v>
      </c>
      <c r="K22" s="344">
        <f t="shared" si="0"/>
        <v>152.27000000000001</v>
      </c>
      <c r="L22" s="348"/>
      <c r="M22" s="588"/>
    </row>
    <row r="23" spans="1:13">
      <c r="A23" t="s">
        <v>258</v>
      </c>
      <c r="B23" s="602">
        <v>1003001001001</v>
      </c>
      <c r="C23" s="600" t="s">
        <v>197</v>
      </c>
      <c r="D23" s="340" t="s">
        <v>146</v>
      </c>
      <c r="E23" s="340" t="s">
        <v>260</v>
      </c>
      <c r="F23" s="339">
        <v>152.27000000000001</v>
      </c>
      <c r="G23" s="664">
        <v>1210987</v>
      </c>
      <c r="H23" s="348">
        <v>152.27000000000001</v>
      </c>
      <c r="I23">
        <v>0</v>
      </c>
      <c r="J23">
        <v>0</v>
      </c>
      <c r="K23" s="344">
        <f t="shared" si="0"/>
        <v>152.27000000000001</v>
      </c>
      <c r="L23" s="348"/>
      <c r="M23" s="588"/>
    </row>
    <row r="24" spans="1:13">
      <c r="A24" t="s">
        <v>267</v>
      </c>
      <c r="B24" s="602">
        <v>2</v>
      </c>
      <c r="C24" s="600" t="s">
        <v>338</v>
      </c>
      <c r="D24" s="340" t="s">
        <v>259</v>
      </c>
      <c r="E24" s="340" t="s">
        <v>259</v>
      </c>
      <c r="F24" s="339">
        <v>0</v>
      </c>
      <c r="G24" s="664">
        <v>517936502.97000003</v>
      </c>
      <c r="H24" s="348">
        <v>65044.57</v>
      </c>
      <c r="I24">
        <v>0</v>
      </c>
      <c r="J24">
        <v>0</v>
      </c>
      <c r="K24" s="344">
        <f>+H24+J24-I24</f>
        <v>65044.57</v>
      </c>
      <c r="L24" s="348"/>
      <c r="M24" s="588"/>
    </row>
    <row r="25" spans="1:13">
      <c r="A25" t="s">
        <v>267</v>
      </c>
      <c r="B25" s="602">
        <v>2001</v>
      </c>
      <c r="C25" s="600" t="s">
        <v>339</v>
      </c>
      <c r="D25" s="340" t="s">
        <v>259</v>
      </c>
      <c r="E25" s="340" t="s">
        <v>259</v>
      </c>
      <c r="F25" s="339">
        <v>0</v>
      </c>
      <c r="G25" s="664">
        <v>517936502.97000003</v>
      </c>
      <c r="H25" s="348">
        <v>65044.57</v>
      </c>
      <c r="I25">
        <v>0</v>
      </c>
      <c r="J25">
        <v>0</v>
      </c>
      <c r="K25" s="344">
        <f t="shared" ref="K25:K62" si="1">+H25+J25-I25</f>
        <v>65044.57</v>
      </c>
      <c r="L25" s="348"/>
      <c r="M25" s="588"/>
    </row>
    <row r="26" spans="1:13">
      <c r="A26" t="s">
        <v>267</v>
      </c>
      <c r="B26" s="602">
        <v>2001001</v>
      </c>
      <c r="C26" s="600" t="s">
        <v>339</v>
      </c>
      <c r="D26" s="340" t="s">
        <v>259</v>
      </c>
      <c r="E26" s="340" t="s">
        <v>259</v>
      </c>
      <c r="F26" s="339">
        <v>0</v>
      </c>
      <c r="G26" s="664">
        <v>81118.490000000005</v>
      </c>
      <c r="H26" s="348">
        <v>0.19</v>
      </c>
      <c r="I26">
        <v>0</v>
      </c>
      <c r="J26">
        <v>0</v>
      </c>
      <c r="K26" s="344">
        <f t="shared" si="1"/>
        <v>0.19</v>
      </c>
      <c r="L26" s="348"/>
      <c r="M26" s="588"/>
    </row>
    <row r="27" spans="1:13">
      <c r="A27" t="s">
        <v>267</v>
      </c>
      <c r="B27" s="602">
        <v>2001001002</v>
      </c>
      <c r="C27" s="600" t="s">
        <v>340</v>
      </c>
      <c r="D27" s="340" t="s">
        <v>259</v>
      </c>
      <c r="E27" s="340" t="s">
        <v>259</v>
      </c>
      <c r="F27" s="339">
        <v>0</v>
      </c>
      <c r="G27" s="664">
        <v>79605.490000000005</v>
      </c>
      <c r="H27" s="348">
        <v>0</v>
      </c>
      <c r="I27">
        <v>0</v>
      </c>
      <c r="J27">
        <v>0</v>
      </c>
      <c r="K27" s="344">
        <f t="shared" si="1"/>
        <v>0</v>
      </c>
      <c r="L27" s="348"/>
      <c r="M27" s="588"/>
    </row>
    <row r="28" spans="1:13">
      <c r="A28" t="s">
        <v>267</v>
      </c>
      <c r="B28" s="602">
        <v>2001001002001</v>
      </c>
      <c r="C28" s="600" t="s">
        <v>269</v>
      </c>
      <c r="D28" s="340" t="s">
        <v>146</v>
      </c>
      <c r="E28" s="340" t="s">
        <v>268</v>
      </c>
      <c r="F28" s="339">
        <v>0</v>
      </c>
      <c r="G28" s="664">
        <v>72290.649999999994</v>
      </c>
      <c r="H28" s="348">
        <v>0</v>
      </c>
      <c r="I28">
        <v>0</v>
      </c>
      <c r="J28">
        <v>1205.6099999999999</v>
      </c>
      <c r="K28" s="344">
        <f t="shared" si="1"/>
        <v>1205.6099999999999</v>
      </c>
      <c r="L28" s="348"/>
      <c r="M28" s="588"/>
    </row>
    <row r="29" spans="1:13">
      <c r="A29" t="s">
        <v>267</v>
      </c>
      <c r="B29" s="602">
        <v>2001001002002</v>
      </c>
      <c r="C29" s="600" t="s">
        <v>270</v>
      </c>
      <c r="D29" s="340" t="s">
        <v>146</v>
      </c>
      <c r="E29" s="340" t="s">
        <v>268</v>
      </c>
      <c r="F29" s="339">
        <v>0</v>
      </c>
      <c r="G29" s="664">
        <v>7314.84</v>
      </c>
      <c r="H29" s="348">
        <v>0</v>
      </c>
      <c r="I29">
        <v>0</v>
      </c>
      <c r="J29">
        <v>120.55</v>
      </c>
      <c r="K29" s="344">
        <f t="shared" si="1"/>
        <v>120.55</v>
      </c>
      <c r="L29" s="348"/>
      <c r="M29" s="588"/>
    </row>
    <row r="30" spans="1:13">
      <c r="A30" t="s">
        <v>267</v>
      </c>
      <c r="B30" s="602">
        <v>2001001004</v>
      </c>
      <c r="C30" s="600" t="s">
        <v>341</v>
      </c>
      <c r="D30" s="340" t="s">
        <v>259</v>
      </c>
      <c r="E30" s="340" t="s">
        <v>259</v>
      </c>
      <c r="F30" s="339">
        <v>0</v>
      </c>
      <c r="G30" s="664">
        <v>1513</v>
      </c>
      <c r="H30" s="348">
        <v>0.19</v>
      </c>
      <c r="I30">
        <v>0</v>
      </c>
      <c r="J30">
        <v>0</v>
      </c>
      <c r="K30" s="344">
        <f t="shared" si="1"/>
        <v>0.19</v>
      </c>
      <c r="L30" s="348"/>
      <c r="M30" s="588"/>
    </row>
    <row r="31" spans="1:13">
      <c r="A31" t="s">
        <v>267</v>
      </c>
      <c r="B31" s="602">
        <v>2001001004001</v>
      </c>
      <c r="C31" s="600" t="s">
        <v>202</v>
      </c>
      <c r="D31" s="340" t="s">
        <v>146</v>
      </c>
      <c r="E31" s="340" t="s">
        <v>268</v>
      </c>
      <c r="F31" s="339">
        <v>0.19</v>
      </c>
      <c r="G31" s="664">
        <v>1513</v>
      </c>
      <c r="H31" s="348">
        <v>0.19</v>
      </c>
      <c r="I31">
        <v>0</v>
      </c>
      <c r="J31">
        <v>0</v>
      </c>
      <c r="K31" s="344">
        <f t="shared" si="1"/>
        <v>0.19</v>
      </c>
      <c r="L31" s="348"/>
      <c r="M31" s="588"/>
    </row>
    <row r="32" spans="1:13">
      <c r="A32" t="s">
        <v>267</v>
      </c>
      <c r="B32" s="602">
        <v>2001002</v>
      </c>
      <c r="C32" s="600" t="s">
        <v>342</v>
      </c>
      <c r="D32" s="340" t="s">
        <v>259</v>
      </c>
      <c r="E32" s="340" t="s">
        <v>259</v>
      </c>
      <c r="F32" s="339">
        <v>0</v>
      </c>
      <c r="G32" s="664">
        <v>517855384.48000002</v>
      </c>
      <c r="H32" s="348">
        <v>65044.38</v>
      </c>
      <c r="I32">
        <v>0</v>
      </c>
      <c r="J32">
        <v>0</v>
      </c>
      <c r="K32" s="344">
        <f t="shared" si="1"/>
        <v>65044.38</v>
      </c>
      <c r="L32" s="348"/>
    </row>
    <row r="33" spans="1:12">
      <c r="A33" t="s">
        <v>267</v>
      </c>
      <c r="B33" s="602">
        <v>2001002000004</v>
      </c>
      <c r="C33" s="600" t="s">
        <v>234</v>
      </c>
      <c r="D33" s="340" t="s">
        <v>146</v>
      </c>
      <c r="E33" s="340" t="s">
        <v>268</v>
      </c>
      <c r="F33" s="339">
        <v>65044.38</v>
      </c>
      <c r="G33" s="664">
        <v>517855384.48000002</v>
      </c>
      <c r="H33" s="348">
        <v>65044.38</v>
      </c>
      <c r="I33">
        <v>0</v>
      </c>
      <c r="J33">
        <v>0</v>
      </c>
      <c r="K33" s="344">
        <f t="shared" si="1"/>
        <v>65044.38</v>
      </c>
      <c r="L33" s="348"/>
    </row>
    <row r="34" spans="1:12">
      <c r="B34" s="602">
        <v>2001005000006</v>
      </c>
      <c r="C34" s="600" t="s">
        <v>302</v>
      </c>
      <c r="G34" s="664"/>
      <c r="I34">
        <v>0</v>
      </c>
      <c r="J34" s="344">
        <v>6777.5609393639916</v>
      </c>
      <c r="K34" s="344">
        <f t="shared" si="1"/>
        <v>6777.5609393639916</v>
      </c>
      <c r="L34" s="348"/>
    </row>
    <row r="35" spans="1:12">
      <c r="B35" s="602"/>
      <c r="C35" s="600"/>
      <c r="G35" s="664"/>
      <c r="K35" s="344"/>
      <c r="L35" s="348"/>
    </row>
    <row r="36" spans="1:12">
      <c r="A36" t="s">
        <v>271</v>
      </c>
      <c r="B36" s="602">
        <v>3</v>
      </c>
      <c r="C36" s="600" t="s">
        <v>343</v>
      </c>
      <c r="D36" s="340" t="s">
        <v>259</v>
      </c>
      <c r="E36" s="340" t="s">
        <v>259</v>
      </c>
      <c r="F36" s="339">
        <v>0</v>
      </c>
      <c r="G36" s="664">
        <v>15594254148.1</v>
      </c>
      <c r="H36" s="348">
        <v>1957585.95</v>
      </c>
      <c r="I36">
        <v>0</v>
      </c>
      <c r="J36">
        <v>0</v>
      </c>
      <c r="K36" s="344">
        <f t="shared" si="1"/>
        <v>1957585.95</v>
      </c>
      <c r="L36" s="348"/>
    </row>
    <row r="37" spans="1:12">
      <c r="A37" t="s">
        <v>271</v>
      </c>
      <c r="B37" s="602">
        <v>3001</v>
      </c>
      <c r="C37" s="600" t="s">
        <v>344</v>
      </c>
      <c r="D37" s="340" t="s">
        <v>259</v>
      </c>
      <c r="E37" s="340" t="s">
        <v>259</v>
      </c>
      <c r="F37" s="339">
        <v>0</v>
      </c>
      <c r="G37" s="664">
        <v>15594254148.1</v>
      </c>
      <c r="H37" s="348">
        <v>1957585.95</v>
      </c>
      <c r="I37">
        <v>0</v>
      </c>
      <c r="J37">
        <v>0</v>
      </c>
      <c r="K37" s="344">
        <f t="shared" si="1"/>
        <v>1957585.95</v>
      </c>
      <c r="L37" s="348"/>
    </row>
    <row r="38" spans="1:12">
      <c r="A38" t="s">
        <v>271</v>
      </c>
      <c r="B38" s="602">
        <v>3001000000001</v>
      </c>
      <c r="C38" s="600" t="s">
        <v>206</v>
      </c>
      <c r="D38" s="340" t="s">
        <v>146</v>
      </c>
      <c r="E38" s="340" t="s">
        <v>268</v>
      </c>
      <c r="F38" s="339">
        <v>2022630.33</v>
      </c>
      <c r="G38" s="664">
        <v>16112109532.58</v>
      </c>
      <c r="H38" s="348">
        <v>2022630.33</v>
      </c>
      <c r="I38">
        <v>0</v>
      </c>
      <c r="J38">
        <v>0</v>
      </c>
      <c r="K38" s="344">
        <f t="shared" si="1"/>
        <v>2022630.33</v>
      </c>
      <c r="L38" s="348"/>
    </row>
    <row r="39" spans="1:12">
      <c r="A39" t="s">
        <v>271</v>
      </c>
      <c r="B39" s="602">
        <v>3001000000002</v>
      </c>
      <c r="C39" s="600" t="s">
        <v>207</v>
      </c>
      <c r="D39" s="340" t="s">
        <v>146</v>
      </c>
      <c r="E39" s="340" t="s">
        <v>268</v>
      </c>
      <c r="F39" s="339">
        <v>-65044.38</v>
      </c>
      <c r="G39" s="664">
        <v>-517855384.48000002</v>
      </c>
      <c r="H39" s="348">
        <v>-65044.38</v>
      </c>
      <c r="I39">
        <v>0</v>
      </c>
      <c r="J39">
        <v>0</v>
      </c>
      <c r="K39" s="344">
        <f t="shared" si="1"/>
        <v>-65044.38</v>
      </c>
      <c r="L39" s="348"/>
    </row>
    <row r="40" spans="1:12">
      <c r="A40" t="s">
        <v>272</v>
      </c>
      <c r="B40" s="602">
        <v>4</v>
      </c>
      <c r="C40" s="600" t="s">
        <v>345</v>
      </c>
      <c r="D40" s="340" t="s">
        <v>259</v>
      </c>
      <c r="E40" s="340" t="s">
        <v>259</v>
      </c>
      <c r="F40" s="339">
        <v>0</v>
      </c>
      <c r="G40" s="664">
        <v>2443041905.7399998</v>
      </c>
      <c r="H40" s="348">
        <v>308593.52</v>
      </c>
      <c r="I40">
        <v>0</v>
      </c>
      <c r="J40">
        <v>0</v>
      </c>
      <c r="K40" s="344">
        <f t="shared" si="1"/>
        <v>308593.52</v>
      </c>
      <c r="L40" s="348"/>
    </row>
    <row r="41" spans="1:12">
      <c r="A41" t="s">
        <v>272</v>
      </c>
      <c r="B41" s="602">
        <v>4001</v>
      </c>
      <c r="C41" s="600" t="s">
        <v>345</v>
      </c>
      <c r="D41" s="340" t="s">
        <v>259</v>
      </c>
      <c r="E41" s="340" t="s">
        <v>259</v>
      </c>
      <c r="F41" s="339">
        <v>0</v>
      </c>
      <c r="G41" s="664">
        <v>2443041905.7399998</v>
      </c>
      <c r="H41" s="348">
        <v>308593.52</v>
      </c>
      <c r="I41">
        <v>0</v>
      </c>
      <c r="J41">
        <v>0</v>
      </c>
      <c r="K41" s="344">
        <f t="shared" si="1"/>
        <v>308593.52</v>
      </c>
      <c r="L41" s="348"/>
    </row>
    <row r="42" spans="1:12">
      <c r="A42" t="s">
        <v>272</v>
      </c>
      <c r="B42" s="602">
        <v>4001001000002</v>
      </c>
      <c r="C42" s="600" t="s">
        <v>346</v>
      </c>
      <c r="D42" s="340" t="s">
        <v>146</v>
      </c>
      <c r="E42" s="340" t="s">
        <v>268</v>
      </c>
      <c r="F42" s="339">
        <v>781.04</v>
      </c>
      <c r="G42" s="664">
        <v>6194463</v>
      </c>
      <c r="H42" s="348">
        <v>781.04</v>
      </c>
      <c r="I42">
        <v>0</v>
      </c>
      <c r="J42">
        <v>0</v>
      </c>
      <c r="K42" s="344">
        <f t="shared" si="1"/>
        <v>781.04</v>
      </c>
      <c r="L42" s="348"/>
    </row>
    <row r="43" spans="1:12">
      <c r="A43" t="s">
        <v>272</v>
      </c>
      <c r="B43" s="602">
        <v>4001001000007</v>
      </c>
      <c r="C43" s="600" t="s">
        <v>208</v>
      </c>
      <c r="D43" s="340" t="s">
        <v>146</v>
      </c>
      <c r="E43" s="340" t="s">
        <v>268</v>
      </c>
      <c r="F43" s="339">
        <v>302590.67</v>
      </c>
      <c r="G43" s="664">
        <v>2395433490.7399998</v>
      </c>
      <c r="H43" s="348">
        <v>302590.67</v>
      </c>
      <c r="I43">
        <v>0</v>
      </c>
      <c r="J43">
        <v>0</v>
      </c>
      <c r="K43" s="344">
        <f t="shared" si="1"/>
        <v>302590.67</v>
      </c>
      <c r="L43" s="348"/>
    </row>
    <row r="44" spans="1:12">
      <c r="A44" t="s">
        <v>272</v>
      </c>
      <c r="B44" s="602">
        <v>4001003</v>
      </c>
      <c r="C44" s="600" t="s">
        <v>347</v>
      </c>
      <c r="D44" s="340" t="s">
        <v>259</v>
      </c>
      <c r="E44" s="340" t="s">
        <v>259</v>
      </c>
      <c r="F44" s="339">
        <v>0</v>
      </c>
      <c r="G44" s="664">
        <v>1210987</v>
      </c>
      <c r="H44" s="348">
        <v>152.27000000000001</v>
      </c>
      <c r="I44">
        <v>0</v>
      </c>
      <c r="J44">
        <v>0</v>
      </c>
      <c r="K44" s="344">
        <f t="shared" si="1"/>
        <v>152.27000000000001</v>
      </c>
      <c r="L44" s="348"/>
    </row>
    <row r="45" spans="1:12">
      <c r="A45" t="s">
        <v>272</v>
      </c>
      <c r="B45" s="602">
        <v>4001003001001</v>
      </c>
      <c r="C45" s="600" t="s">
        <v>210</v>
      </c>
      <c r="D45" s="340" t="s">
        <v>146</v>
      </c>
      <c r="E45" s="340" t="s">
        <v>268</v>
      </c>
      <c r="F45" s="339">
        <v>152.27000000000001</v>
      </c>
      <c r="G45" s="664">
        <v>1210987</v>
      </c>
      <c r="H45" s="348">
        <v>152.27000000000001</v>
      </c>
      <c r="I45">
        <v>0</v>
      </c>
      <c r="J45">
        <v>0</v>
      </c>
      <c r="K45" s="344">
        <f t="shared" si="1"/>
        <v>152.27000000000001</v>
      </c>
      <c r="L45" s="348"/>
    </row>
    <row r="46" spans="1:12">
      <c r="A46" t="s">
        <v>272</v>
      </c>
      <c r="B46" s="602">
        <v>4001005</v>
      </c>
      <c r="C46" s="600" t="s">
        <v>348</v>
      </c>
      <c r="D46" s="340" t="s">
        <v>259</v>
      </c>
      <c r="E46" s="340" t="s">
        <v>259</v>
      </c>
      <c r="F46" s="339">
        <v>0</v>
      </c>
      <c r="G46" s="664">
        <v>40202965</v>
      </c>
      <c r="H46" s="348">
        <v>5069.54</v>
      </c>
      <c r="I46">
        <v>0</v>
      </c>
      <c r="J46">
        <v>0</v>
      </c>
      <c r="K46" s="344">
        <f t="shared" si="1"/>
        <v>5069.54</v>
      </c>
      <c r="L46" s="348"/>
    </row>
    <row r="47" spans="1:12">
      <c r="A47" t="s">
        <v>272</v>
      </c>
      <c r="B47" s="602">
        <v>4001005004006</v>
      </c>
      <c r="C47" s="600" t="s">
        <v>274</v>
      </c>
      <c r="D47" s="340" t="s">
        <v>146</v>
      </c>
      <c r="E47" s="340" t="s">
        <v>268</v>
      </c>
      <c r="F47" s="339">
        <v>738.99</v>
      </c>
      <c r="G47" s="664">
        <v>5864610</v>
      </c>
      <c r="H47" s="348">
        <v>738.99</v>
      </c>
      <c r="I47">
        <v>0</v>
      </c>
      <c r="J47">
        <v>0</v>
      </c>
      <c r="K47" s="344">
        <f t="shared" si="1"/>
        <v>738.99</v>
      </c>
      <c r="L47" s="348"/>
    </row>
    <row r="48" spans="1:12">
      <c r="A48" t="s">
        <v>272</v>
      </c>
      <c r="B48" s="602">
        <v>4001005004008</v>
      </c>
      <c r="C48" s="600" t="s">
        <v>211</v>
      </c>
      <c r="D48" s="340" t="s">
        <v>146</v>
      </c>
      <c r="E48" s="340" t="s">
        <v>268</v>
      </c>
      <c r="F48" s="339">
        <v>4330.55</v>
      </c>
      <c r="G48" s="664">
        <v>34338355</v>
      </c>
      <c r="H48" s="348">
        <v>4330.55</v>
      </c>
      <c r="I48">
        <v>0</v>
      </c>
      <c r="J48">
        <v>0</v>
      </c>
      <c r="K48" s="344">
        <f t="shared" si="1"/>
        <v>4330.55</v>
      </c>
    </row>
    <row r="49" spans="1:11">
      <c r="A49" t="s">
        <v>275</v>
      </c>
      <c r="B49" s="602">
        <v>5</v>
      </c>
      <c r="C49" s="600" t="s">
        <v>349</v>
      </c>
      <c r="D49" s="340" t="s">
        <v>259</v>
      </c>
      <c r="E49" s="340" t="s">
        <v>259</v>
      </c>
      <c r="F49" s="339">
        <v>0</v>
      </c>
      <c r="G49" s="664">
        <v>2404747442.79</v>
      </c>
      <c r="H49" s="348">
        <v>303761.37</v>
      </c>
      <c r="I49">
        <v>0</v>
      </c>
      <c r="J49">
        <v>0</v>
      </c>
      <c r="K49" s="344">
        <f t="shared" si="1"/>
        <v>303761.37</v>
      </c>
    </row>
    <row r="50" spans="1:11">
      <c r="A50" t="s">
        <v>275</v>
      </c>
      <c r="B50" s="602">
        <v>5001</v>
      </c>
      <c r="C50" s="600" t="s">
        <v>349</v>
      </c>
      <c r="D50" s="340" t="s">
        <v>259</v>
      </c>
      <c r="E50" s="340" t="s">
        <v>259</v>
      </c>
      <c r="F50" s="339">
        <v>0</v>
      </c>
      <c r="G50" s="664">
        <v>2394204234.79</v>
      </c>
      <c r="H50" s="348">
        <v>302435.02</v>
      </c>
      <c r="I50">
        <v>0</v>
      </c>
      <c r="J50">
        <v>0</v>
      </c>
      <c r="K50" s="344">
        <v>0</v>
      </c>
    </row>
    <row r="51" spans="1:11">
      <c r="A51" t="s">
        <v>275</v>
      </c>
      <c r="B51" s="602">
        <v>5001001000007</v>
      </c>
      <c r="C51" s="600" t="s">
        <v>213</v>
      </c>
      <c r="D51" s="340" t="s">
        <v>146</v>
      </c>
      <c r="E51" s="340" t="s">
        <v>260</v>
      </c>
      <c r="F51" s="339">
        <v>302435.02</v>
      </c>
      <c r="G51" s="664">
        <v>2394204234.79</v>
      </c>
      <c r="H51" s="348">
        <v>302435.02</v>
      </c>
      <c r="I51">
        <v>0</v>
      </c>
      <c r="J51">
        <v>0</v>
      </c>
      <c r="K51" s="344">
        <f t="shared" si="1"/>
        <v>302435.02</v>
      </c>
    </row>
    <row r="52" spans="1:11">
      <c r="A52" t="s">
        <v>275</v>
      </c>
      <c r="B52" s="602">
        <v>5002</v>
      </c>
      <c r="C52" s="600" t="s">
        <v>350</v>
      </c>
      <c r="D52" s="340" t="s">
        <v>259</v>
      </c>
      <c r="E52" s="340" t="s">
        <v>259</v>
      </c>
      <c r="F52" s="339">
        <v>0</v>
      </c>
      <c r="G52" s="664">
        <v>10543208</v>
      </c>
      <c r="H52" s="348">
        <v>1326.35</v>
      </c>
      <c r="I52">
        <v>0</v>
      </c>
      <c r="J52">
        <v>0</v>
      </c>
      <c r="K52" s="344">
        <f t="shared" si="1"/>
        <v>1326.35</v>
      </c>
    </row>
    <row r="53" spans="1:11">
      <c r="A53" t="s">
        <v>275</v>
      </c>
      <c r="B53" s="602">
        <v>5002002000004</v>
      </c>
      <c r="C53" s="600" t="s">
        <v>215</v>
      </c>
      <c r="D53" s="340" t="s">
        <v>146</v>
      </c>
      <c r="E53" s="340" t="s">
        <v>260</v>
      </c>
      <c r="F53" s="339">
        <v>0.19</v>
      </c>
      <c r="G53" s="664">
        <v>1513</v>
      </c>
      <c r="H53" s="348">
        <v>0.19</v>
      </c>
      <c r="I53">
        <v>0</v>
      </c>
      <c r="J53">
        <v>0</v>
      </c>
      <c r="K53" s="344">
        <f t="shared" si="1"/>
        <v>0.19</v>
      </c>
    </row>
    <row r="54" spans="1:11">
      <c r="A54" t="s">
        <v>275</v>
      </c>
      <c r="B54" s="602">
        <v>5002002001</v>
      </c>
      <c r="C54" s="600" t="s">
        <v>351</v>
      </c>
      <c r="D54" s="340" t="s">
        <v>259</v>
      </c>
      <c r="E54" s="340" t="s">
        <v>259</v>
      </c>
      <c r="F54" s="339">
        <v>0</v>
      </c>
      <c r="G54" s="664">
        <v>10541695</v>
      </c>
      <c r="H54" s="348">
        <v>1326.16</v>
      </c>
      <c r="I54">
        <v>0</v>
      </c>
      <c r="J54">
        <v>0</v>
      </c>
      <c r="K54" s="344">
        <f t="shared" si="1"/>
        <v>1326.16</v>
      </c>
    </row>
    <row r="55" spans="1:11">
      <c r="A55" t="s">
        <v>275</v>
      </c>
      <c r="B55" s="602">
        <v>5002002001001</v>
      </c>
      <c r="C55" s="600" t="s">
        <v>216</v>
      </c>
      <c r="D55" s="340" t="s">
        <v>146</v>
      </c>
      <c r="E55" s="340" t="s">
        <v>260</v>
      </c>
      <c r="F55" s="339">
        <v>1205.6099999999999</v>
      </c>
      <c r="G55" s="664">
        <v>9583360</v>
      </c>
      <c r="H55" s="348">
        <v>1205.6099999999999</v>
      </c>
      <c r="I55">
        <v>0</v>
      </c>
      <c r="J55">
        <v>0</v>
      </c>
      <c r="K55" s="344">
        <f t="shared" si="1"/>
        <v>1205.6099999999999</v>
      </c>
    </row>
    <row r="56" spans="1:11">
      <c r="A56" t="s">
        <v>275</v>
      </c>
      <c r="B56" s="602">
        <v>5002002001002</v>
      </c>
      <c r="C56" s="600" t="s">
        <v>217</v>
      </c>
      <c r="D56" s="340" t="s">
        <v>146</v>
      </c>
      <c r="E56" s="340" t="s">
        <v>260</v>
      </c>
      <c r="F56" s="339">
        <v>120.55</v>
      </c>
      <c r="G56" s="664">
        <v>958335</v>
      </c>
      <c r="H56" s="348">
        <v>120.55</v>
      </c>
      <c r="I56">
        <v>0</v>
      </c>
      <c r="J56">
        <v>0</v>
      </c>
      <c r="K56" s="344">
        <f t="shared" si="1"/>
        <v>120.55</v>
      </c>
    </row>
    <row r="57" spans="1:11">
      <c r="B57" s="339"/>
      <c r="I57">
        <v>0</v>
      </c>
      <c r="J57">
        <v>0</v>
      </c>
      <c r="K57" s="344">
        <f t="shared" si="1"/>
        <v>0</v>
      </c>
    </row>
    <row r="58" spans="1:11">
      <c r="B58" s="339"/>
      <c r="I58">
        <v>0</v>
      </c>
      <c r="J58">
        <v>0</v>
      </c>
      <c r="K58" s="344">
        <f t="shared" si="1"/>
        <v>0</v>
      </c>
    </row>
    <row r="59" spans="1:11">
      <c r="B59" s="339"/>
      <c r="D59" s="601" t="s">
        <v>286</v>
      </c>
      <c r="E59" s="601" t="s">
        <v>146</v>
      </c>
      <c r="I59">
        <v>0</v>
      </c>
      <c r="J59">
        <v>0</v>
      </c>
      <c r="K59" s="344">
        <f t="shared" si="1"/>
        <v>0</v>
      </c>
    </row>
    <row r="60" spans="1:11">
      <c r="A60" t="s">
        <v>287</v>
      </c>
      <c r="B60" s="339"/>
      <c r="D60" s="592">
        <v>0</v>
      </c>
      <c r="E60" s="592">
        <v>0</v>
      </c>
      <c r="I60">
        <v>0</v>
      </c>
      <c r="J60">
        <v>0</v>
      </c>
      <c r="K60" s="344">
        <f t="shared" si="1"/>
        <v>0</v>
      </c>
    </row>
    <row r="61" spans="1:11">
      <c r="B61" s="339"/>
      <c r="I61">
        <v>0</v>
      </c>
      <c r="J61">
        <v>0</v>
      </c>
      <c r="K61" s="344">
        <f t="shared" si="1"/>
        <v>0</v>
      </c>
    </row>
    <row r="62" spans="1:11">
      <c r="A62" t="s">
        <v>288</v>
      </c>
      <c r="B62" s="339"/>
      <c r="D62" s="592">
        <v>38294462.950000003</v>
      </c>
      <c r="E62" s="592">
        <v>4832.1499999999996</v>
      </c>
      <c r="I62">
        <v>0</v>
      </c>
      <c r="J62">
        <v>0</v>
      </c>
      <c r="K62" s="344">
        <f t="shared" si="1"/>
        <v>0</v>
      </c>
    </row>
  </sheetData>
  <sheetProtection algorithmName="SHA-512" hashValue="zrHtr5pQNOQrmmnuMO/Ak7iswfoueNPU4VAETPqt7JqLgGV1AYfi4oIZjplzV5wbApZn1DWTSh2zh0+jnKAIQw==" saltValue="0JycNm60VDHWt+Abc8EUnA==" spinCount="100000" sheet="1" objects="1" scenarios="1"/>
  <autoFilter ref="A5:M62" xr:uid="{4FF94DDF-8929-417D-B8EF-15E6C472CFC2}"/>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46FE9-7B08-4AE4-A981-CCFC724A16DA}">
  <sheetPr codeName="Hoja12">
    <tabColor rgb="FFFFC000"/>
  </sheetPr>
  <dimension ref="A1:V90"/>
  <sheetViews>
    <sheetView showGridLines="0" topLeftCell="B1" zoomScale="80" zoomScaleNormal="80" workbookViewId="0">
      <pane ySplit="5" topLeftCell="A43" activePane="bottomLeft" state="frozen"/>
      <selection activeCell="AP40" sqref="AP40"/>
      <selection pane="bottomLeft" activeCell="AP40" sqref="AP40"/>
    </sheetView>
  </sheetViews>
  <sheetFormatPr baseColWidth="10" defaultColWidth="9.140625" defaultRowHeight="15"/>
  <cols>
    <col min="1" max="1" width="11.28515625" customWidth="1"/>
    <col min="2" max="2" width="3" customWidth="1"/>
    <col min="3" max="3" width="8.85546875" customWidth="1"/>
    <col min="4" max="4" width="31.5703125" style="339" bestFit="1" customWidth="1"/>
    <col min="5" max="5" width="59.7109375" style="339" customWidth="1"/>
    <col min="6" max="6" width="22.85546875" style="340" customWidth="1"/>
    <col min="7" max="7" width="18.5703125" style="340" customWidth="1"/>
    <col min="8" max="8" width="15" style="538" bestFit="1" customWidth="1"/>
    <col min="9" max="9" width="15.85546875" style="538" bestFit="1" customWidth="1"/>
    <col min="10" max="10" width="13.7109375" style="348" bestFit="1" customWidth="1"/>
    <col min="11" max="11" width="14.85546875" customWidth="1"/>
    <col min="12" max="12" width="14.5703125" customWidth="1"/>
    <col min="13" max="13" width="21" bestFit="1" customWidth="1"/>
    <col min="14" max="14" width="14.28515625" customWidth="1"/>
    <col min="15" max="15" width="15.5703125" customWidth="1"/>
    <col min="16" max="16" width="14" customWidth="1"/>
    <col min="17" max="17" width="14.5703125" bestFit="1" customWidth="1"/>
    <col min="19" max="19" width="18.140625" bestFit="1" customWidth="1"/>
    <col min="21" max="22" width="12" bestFit="1" customWidth="1"/>
  </cols>
  <sheetData>
    <row r="1" spans="1:22" ht="21">
      <c r="A1" s="338" t="s">
        <v>247</v>
      </c>
      <c r="B1" s="338"/>
      <c r="C1" s="338"/>
      <c r="O1" s="720" t="s">
        <v>84</v>
      </c>
      <c r="P1" t="s">
        <v>530</v>
      </c>
      <c r="Q1" s="348">
        <f>+SUMIF(C:C,P1,M:M)</f>
        <v>14562894.324506359</v>
      </c>
      <c r="R1" t="s">
        <v>532</v>
      </c>
      <c r="S1" s="348">
        <f>+SUMIF(C:C,R1,M:M)</f>
        <v>8489804.2699999996</v>
      </c>
      <c r="V1" s="590"/>
    </row>
    <row r="2" spans="1:22" ht="21">
      <c r="D2" s="338"/>
      <c r="O2" s="720"/>
      <c r="P2" t="s">
        <v>531</v>
      </c>
      <c r="Q2" s="348">
        <f>+SUMIF(C:C,P2,M:M)</f>
        <v>14562894.324506357</v>
      </c>
      <c r="R2" t="s">
        <v>533</v>
      </c>
      <c r="S2" s="348">
        <f>+SUMIF(C:C,R2,M:M)</f>
        <v>8257204.3599999994</v>
      </c>
      <c r="V2" s="590"/>
    </row>
    <row r="3" spans="1:22" ht="15.75">
      <c r="A3" s="341" t="s">
        <v>248</v>
      </c>
      <c r="B3" s="546"/>
      <c r="C3" s="546"/>
      <c r="D3" s="342">
        <v>45658</v>
      </c>
      <c r="O3" s="720"/>
      <c r="P3" s="547" t="s">
        <v>534</v>
      </c>
      <c r="Q3" s="548">
        <f>+Q1-Q2</f>
        <v>0</v>
      </c>
      <c r="S3" s="548">
        <f>+S1-S2-J55</f>
        <v>0</v>
      </c>
    </row>
    <row r="4" spans="1:22" ht="15.75">
      <c r="A4" s="341" t="s">
        <v>249</v>
      </c>
      <c r="B4" s="546"/>
      <c r="C4" s="546"/>
      <c r="D4" s="342">
        <v>46022</v>
      </c>
      <c r="M4" s="344"/>
    </row>
    <row r="5" spans="1:22" ht="15.75">
      <c r="A5" s="339"/>
      <c r="B5" s="339"/>
      <c r="C5" s="339"/>
      <c r="K5" s="346" t="s">
        <v>289</v>
      </c>
      <c r="L5" s="347" t="s">
        <v>290</v>
      </c>
      <c r="M5" s="345" t="s">
        <v>291</v>
      </c>
    </row>
    <row r="6" spans="1:22" ht="15.75">
      <c r="A6" s="343" t="s">
        <v>250</v>
      </c>
      <c r="B6" s="343"/>
      <c r="C6" s="343"/>
      <c r="D6" s="343" t="s">
        <v>251</v>
      </c>
      <c r="E6" s="343" t="s">
        <v>252</v>
      </c>
      <c r="F6" s="343" t="s">
        <v>253</v>
      </c>
      <c r="G6" s="343" t="s">
        <v>254</v>
      </c>
      <c r="H6" s="539" t="s">
        <v>255</v>
      </c>
      <c r="I6" s="539" t="s">
        <v>256</v>
      </c>
      <c r="J6" s="381" t="s">
        <v>257</v>
      </c>
    </row>
    <row r="7" spans="1:22">
      <c r="A7" t="s">
        <v>258</v>
      </c>
      <c r="B7" t="str">
        <f>IF(LEN(D7)&gt;12,"I","NI")</f>
        <v>NI</v>
      </c>
      <c r="D7" s="540">
        <v>1</v>
      </c>
      <c r="E7" s="541" t="s">
        <v>326</v>
      </c>
      <c r="F7" s="340" t="s">
        <v>259</v>
      </c>
      <c r="G7" s="340" t="s">
        <v>259</v>
      </c>
      <c r="H7" s="542">
        <v>0</v>
      </c>
      <c r="I7" s="542">
        <v>106136883096.03</v>
      </c>
      <c r="J7" s="543">
        <v>14544871.73</v>
      </c>
      <c r="K7">
        <v>0</v>
      </c>
      <c r="L7">
        <v>0</v>
      </c>
      <c r="M7" s="344">
        <f t="shared" ref="M7:M35" si="0">+J7+K7-L7</f>
        <v>14544871.73</v>
      </c>
      <c r="N7" s="543"/>
    </row>
    <row r="8" spans="1:22">
      <c r="A8" t="s">
        <v>258</v>
      </c>
      <c r="B8" t="str">
        <f t="shared" ref="B8:B75" si="1">IF(LEN(D8)&gt;12,"I","NI")</f>
        <v>NI</v>
      </c>
      <c r="D8" s="540">
        <v>1001</v>
      </c>
      <c r="E8" s="541" t="s">
        <v>327</v>
      </c>
      <c r="F8" s="340" t="s">
        <v>259</v>
      </c>
      <c r="G8" s="340" t="s">
        <v>259</v>
      </c>
      <c r="H8" s="544">
        <v>0</v>
      </c>
      <c r="I8" s="544">
        <v>3763548938.6300001</v>
      </c>
      <c r="J8" s="549">
        <v>545004.05000000005</v>
      </c>
      <c r="K8">
        <v>0</v>
      </c>
      <c r="L8">
        <v>0</v>
      </c>
      <c r="M8" s="344">
        <f t="shared" si="0"/>
        <v>545004.05000000005</v>
      </c>
      <c r="N8" s="549"/>
    </row>
    <row r="9" spans="1:22">
      <c r="A9" t="s">
        <v>258</v>
      </c>
      <c r="B9" t="str">
        <f t="shared" si="1"/>
        <v>NI</v>
      </c>
      <c r="D9" s="540">
        <v>1001001</v>
      </c>
      <c r="E9" s="541" t="s">
        <v>328</v>
      </c>
      <c r="F9" s="340" t="s">
        <v>259</v>
      </c>
      <c r="G9" s="340" t="s">
        <v>259</v>
      </c>
      <c r="H9" s="544">
        <v>0</v>
      </c>
      <c r="I9" s="544">
        <v>3763548938.6300001</v>
      </c>
      <c r="J9" s="549">
        <v>545004.05000000005</v>
      </c>
      <c r="K9">
        <v>0</v>
      </c>
      <c r="L9">
        <v>0</v>
      </c>
      <c r="M9" s="344">
        <f t="shared" si="0"/>
        <v>545004.05000000005</v>
      </c>
      <c r="N9" s="549"/>
    </row>
    <row r="10" spans="1:22">
      <c r="A10" t="s">
        <v>258</v>
      </c>
      <c r="B10" t="str">
        <f t="shared" si="1"/>
        <v>NI</v>
      </c>
      <c r="D10" s="540">
        <v>1001001001</v>
      </c>
      <c r="E10" s="541" t="s">
        <v>329</v>
      </c>
      <c r="F10" s="340" t="s">
        <v>259</v>
      </c>
      <c r="G10" s="340" t="s">
        <v>259</v>
      </c>
      <c r="H10" s="544">
        <v>0</v>
      </c>
      <c r="I10" s="544">
        <v>3763548938.6300001</v>
      </c>
      <c r="J10" s="549">
        <v>545004.05000000005</v>
      </c>
      <c r="K10">
        <v>0</v>
      </c>
      <c r="L10">
        <v>0</v>
      </c>
      <c r="M10" s="344">
        <f t="shared" si="0"/>
        <v>545004.05000000005</v>
      </c>
      <c r="N10" s="549"/>
    </row>
    <row r="11" spans="1:22">
      <c r="A11" t="s">
        <v>258</v>
      </c>
      <c r="B11" t="str">
        <f t="shared" si="1"/>
        <v>I</v>
      </c>
      <c r="C11" t="s">
        <v>530</v>
      </c>
      <c r="D11" s="540">
        <v>1001001001001</v>
      </c>
      <c r="E11" s="541" t="s">
        <v>194</v>
      </c>
      <c r="F11" s="340" t="s">
        <v>146</v>
      </c>
      <c r="G11" s="340" t="s">
        <v>260</v>
      </c>
      <c r="H11" s="544">
        <v>545004.05000000005</v>
      </c>
      <c r="I11" s="544">
        <v>3763548938.6300001</v>
      </c>
      <c r="J11" s="549">
        <v>545004.05000000005</v>
      </c>
      <c r="K11">
        <v>0</v>
      </c>
      <c r="L11">
        <v>0</v>
      </c>
      <c r="M11" s="344">
        <f t="shared" si="0"/>
        <v>545004.05000000005</v>
      </c>
      <c r="N11" s="549"/>
    </row>
    <row r="12" spans="1:22">
      <c r="A12" t="s">
        <v>258</v>
      </c>
      <c r="B12" t="str">
        <f t="shared" si="1"/>
        <v>NI</v>
      </c>
      <c r="D12" s="540">
        <v>1002</v>
      </c>
      <c r="E12" s="541" t="s">
        <v>330</v>
      </c>
      <c r="F12" s="340" t="s">
        <v>259</v>
      </c>
      <c r="G12" s="340" t="s">
        <v>259</v>
      </c>
      <c r="H12" s="544">
        <v>0</v>
      </c>
      <c r="I12" s="544">
        <v>102255993454.3</v>
      </c>
      <c r="J12" s="549">
        <v>13983257.949999999</v>
      </c>
      <c r="K12">
        <v>0</v>
      </c>
      <c r="L12">
        <v>0</v>
      </c>
      <c r="M12" s="344">
        <f t="shared" si="0"/>
        <v>13983257.949999999</v>
      </c>
      <c r="N12" s="549"/>
    </row>
    <row r="13" spans="1:22">
      <c r="A13" t="s">
        <v>258</v>
      </c>
      <c r="B13" t="str">
        <f t="shared" si="1"/>
        <v>NI</v>
      </c>
      <c r="D13" s="540">
        <v>1002001</v>
      </c>
      <c r="E13" s="541" t="s">
        <v>331</v>
      </c>
      <c r="F13" s="340" t="s">
        <v>259</v>
      </c>
      <c r="G13" s="340" t="s">
        <v>259</v>
      </c>
      <c r="H13" s="544">
        <v>0</v>
      </c>
      <c r="I13" s="544">
        <v>102255993454.3</v>
      </c>
      <c r="J13" s="549">
        <v>13983257.949999999</v>
      </c>
      <c r="K13">
        <v>0</v>
      </c>
      <c r="L13">
        <v>0</v>
      </c>
      <c r="M13" s="344">
        <f t="shared" si="0"/>
        <v>13983257.949999999</v>
      </c>
      <c r="N13" s="549"/>
    </row>
    <row r="14" spans="1:22">
      <c r="A14" t="s">
        <v>258</v>
      </c>
      <c r="B14" t="str">
        <f t="shared" si="1"/>
        <v>NI</v>
      </c>
      <c r="D14" s="540">
        <v>10020010010</v>
      </c>
      <c r="E14" s="541" t="s">
        <v>369</v>
      </c>
      <c r="F14" s="340" t="s">
        <v>259</v>
      </c>
      <c r="G14" s="340" t="s">
        <v>259</v>
      </c>
      <c r="H14" s="544">
        <v>0</v>
      </c>
      <c r="I14" s="544">
        <v>-100136415.42</v>
      </c>
      <c r="J14" s="549">
        <v>-14187.38</v>
      </c>
      <c r="K14">
        <v>0</v>
      </c>
      <c r="L14">
        <v>0</v>
      </c>
      <c r="M14" s="344">
        <f t="shared" si="0"/>
        <v>-14187.38</v>
      </c>
      <c r="N14" s="549"/>
    </row>
    <row r="15" spans="1:22">
      <c r="A15" t="s">
        <v>258</v>
      </c>
      <c r="B15" t="str">
        <f t="shared" si="1"/>
        <v>I</v>
      </c>
      <c r="C15" t="s">
        <v>530</v>
      </c>
      <c r="D15" s="540">
        <v>1005000000001</v>
      </c>
      <c r="E15" s="541" t="s">
        <v>370</v>
      </c>
      <c r="F15" s="340" t="s">
        <v>146</v>
      </c>
      <c r="G15" s="340" t="s">
        <v>260</v>
      </c>
      <c r="H15" s="544">
        <v>-14187.38</v>
      </c>
      <c r="I15" s="544">
        <v>-100136415.42</v>
      </c>
      <c r="J15" s="549">
        <v>-14187.38</v>
      </c>
      <c r="K15">
        <v>0</v>
      </c>
      <c r="L15">
        <v>0</v>
      </c>
      <c r="M15" s="344">
        <f t="shared" si="0"/>
        <v>-14187.38</v>
      </c>
      <c r="N15" s="549"/>
      <c r="O15" s="588"/>
    </row>
    <row r="16" spans="1:22">
      <c r="A16" t="s">
        <v>258</v>
      </c>
      <c r="B16" t="str">
        <f t="shared" si="1"/>
        <v>NI</v>
      </c>
      <c r="D16" s="540">
        <v>1002001002</v>
      </c>
      <c r="E16" s="541" t="s">
        <v>332</v>
      </c>
      <c r="F16" s="340" t="s">
        <v>259</v>
      </c>
      <c r="G16" s="340" t="s">
        <v>259</v>
      </c>
      <c r="H16" s="544">
        <v>0</v>
      </c>
      <c r="I16" s="544">
        <v>3531416156.04</v>
      </c>
      <c r="J16" s="549">
        <v>447195.23</v>
      </c>
      <c r="K16" s="344">
        <v>0</v>
      </c>
      <c r="L16">
        <v>0</v>
      </c>
      <c r="M16" s="344">
        <f t="shared" si="0"/>
        <v>447195.23</v>
      </c>
      <c r="N16" s="549"/>
      <c r="O16" s="588"/>
    </row>
    <row r="17" spans="1:15">
      <c r="A17" t="s">
        <v>258</v>
      </c>
      <c r="B17" t="str">
        <f t="shared" si="1"/>
        <v>I</v>
      </c>
      <c r="C17" t="s">
        <v>530</v>
      </c>
      <c r="D17" s="540">
        <v>1002001002001</v>
      </c>
      <c r="E17" s="541" t="s">
        <v>333</v>
      </c>
      <c r="F17" s="340" t="s">
        <v>146</v>
      </c>
      <c r="G17" s="340" t="s">
        <v>260</v>
      </c>
      <c r="H17" s="544">
        <v>447195.23</v>
      </c>
      <c r="I17" s="544">
        <v>3531416156.04</v>
      </c>
      <c r="J17" s="549">
        <v>447195.23</v>
      </c>
      <c r="K17" s="344">
        <f>-'INVENTARIO RF'!AO39-'INVENTARIO RF'!AO27</f>
        <v>8589.8883114458204</v>
      </c>
      <c r="L17">
        <v>0</v>
      </c>
      <c r="M17" s="344">
        <f t="shared" si="0"/>
        <v>455785.11831144581</v>
      </c>
      <c r="N17" s="549"/>
      <c r="O17" s="588"/>
    </row>
    <row r="18" spans="1:15">
      <c r="A18" t="s">
        <v>258</v>
      </c>
      <c r="B18" t="str">
        <f t="shared" si="1"/>
        <v>NI</v>
      </c>
      <c r="D18" s="540">
        <v>1002001005</v>
      </c>
      <c r="E18" s="541" t="s">
        <v>334</v>
      </c>
      <c r="F18" s="340" t="s">
        <v>259</v>
      </c>
      <c r="G18" s="340" t="s">
        <v>259</v>
      </c>
      <c r="H18" s="544">
        <v>0</v>
      </c>
      <c r="I18" s="544">
        <v>1611740043.8399999</v>
      </c>
      <c r="J18" s="549">
        <v>202290.74</v>
      </c>
      <c r="K18">
        <v>0</v>
      </c>
      <c r="L18">
        <v>0</v>
      </c>
      <c r="M18" s="344">
        <f t="shared" si="0"/>
        <v>202290.74</v>
      </c>
      <c r="N18" s="549"/>
      <c r="O18" s="588"/>
    </row>
    <row r="19" spans="1:15">
      <c r="A19" t="s">
        <v>258</v>
      </c>
      <c r="B19" t="str">
        <f t="shared" si="1"/>
        <v>I</v>
      </c>
      <c r="C19" t="s">
        <v>530</v>
      </c>
      <c r="D19" s="540">
        <v>1002001005001</v>
      </c>
      <c r="E19" s="541" t="s">
        <v>262</v>
      </c>
      <c r="F19" s="340" t="s">
        <v>146</v>
      </c>
      <c r="G19" s="340" t="s">
        <v>260</v>
      </c>
      <c r="H19" s="544">
        <v>202290.74</v>
      </c>
      <c r="I19" s="544">
        <v>1611740043.8399999</v>
      </c>
      <c r="J19" s="549">
        <v>202290.74</v>
      </c>
      <c r="K19">
        <v>0</v>
      </c>
      <c r="L19">
        <v>0</v>
      </c>
      <c r="M19" s="344">
        <f t="shared" si="0"/>
        <v>202290.74</v>
      </c>
      <c r="N19" s="549"/>
      <c r="O19" s="588"/>
    </row>
    <row r="20" spans="1:15">
      <c r="A20" t="s">
        <v>258</v>
      </c>
      <c r="B20" t="str">
        <f t="shared" si="1"/>
        <v>NI</v>
      </c>
      <c r="D20" s="540">
        <v>1002001007</v>
      </c>
      <c r="E20" s="541" t="s">
        <v>335</v>
      </c>
      <c r="F20" s="340" t="s">
        <v>259</v>
      </c>
      <c r="G20" s="340" t="s">
        <v>259</v>
      </c>
      <c r="H20" s="544">
        <v>0</v>
      </c>
      <c r="I20" s="544">
        <v>81233267714.679993</v>
      </c>
      <c r="J20" s="549">
        <v>11064937.220000001</v>
      </c>
      <c r="K20">
        <v>0</v>
      </c>
      <c r="L20">
        <v>0</v>
      </c>
      <c r="M20" s="344">
        <f t="shared" si="0"/>
        <v>11064937.220000001</v>
      </c>
      <c r="N20" s="549"/>
      <c r="O20" s="588"/>
    </row>
    <row r="21" spans="1:15">
      <c r="A21" t="s">
        <v>258</v>
      </c>
      <c r="B21" t="str">
        <f t="shared" si="1"/>
        <v>I</v>
      </c>
      <c r="C21" t="s">
        <v>530</v>
      </c>
      <c r="D21" s="540">
        <v>1002001007001</v>
      </c>
      <c r="E21" s="541" t="s">
        <v>195</v>
      </c>
      <c r="F21" s="340" t="s">
        <v>146</v>
      </c>
      <c r="G21" s="340" t="s">
        <v>260</v>
      </c>
      <c r="H21" s="544">
        <v>11064937.220000001</v>
      </c>
      <c r="I21" s="544">
        <v>81233267714.679993</v>
      </c>
      <c r="J21" s="549">
        <v>11064937.220000001</v>
      </c>
      <c r="K21" s="344">
        <f>-'INVENTARIO RF'!AO13</f>
        <v>8914.2861949105536</v>
      </c>
      <c r="L21">
        <v>0</v>
      </c>
      <c r="M21" s="344">
        <f t="shared" si="0"/>
        <v>11073851.506194912</v>
      </c>
      <c r="N21" s="549"/>
      <c r="O21" s="588"/>
    </row>
    <row r="22" spans="1:15">
      <c r="A22" t="s">
        <v>258</v>
      </c>
      <c r="B22" t="str">
        <f t="shared" si="1"/>
        <v>NI</v>
      </c>
      <c r="D22" s="540">
        <v>1002001009</v>
      </c>
      <c r="E22" s="541" t="s">
        <v>371</v>
      </c>
      <c r="F22" s="340" t="s">
        <v>259</v>
      </c>
      <c r="G22" s="340" t="s">
        <v>259</v>
      </c>
      <c r="H22" s="544">
        <v>0</v>
      </c>
      <c r="I22" s="544">
        <v>15979705955.16</v>
      </c>
      <c r="J22" s="549">
        <v>2283022.14</v>
      </c>
      <c r="K22">
        <v>0</v>
      </c>
      <c r="L22">
        <v>0</v>
      </c>
      <c r="M22" s="344">
        <f t="shared" si="0"/>
        <v>2283022.14</v>
      </c>
      <c r="N22" s="549"/>
      <c r="O22" s="588"/>
    </row>
    <row r="23" spans="1:15">
      <c r="A23" t="s">
        <v>258</v>
      </c>
      <c r="B23" t="str">
        <f t="shared" si="1"/>
        <v>I</v>
      </c>
      <c r="C23" t="s">
        <v>530</v>
      </c>
      <c r="D23" s="540">
        <v>1002001009001</v>
      </c>
      <c r="E23" s="541" t="s">
        <v>196</v>
      </c>
      <c r="F23" s="340" t="s">
        <v>146</v>
      </c>
      <c r="G23" s="340" t="s">
        <v>260</v>
      </c>
      <c r="H23" s="544">
        <v>698050.17</v>
      </c>
      <c r="I23" s="544">
        <v>4708281096.7799997</v>
      </c>
      <c r="J23" s="549">
        <v>698050.17</v>
      </c>
      <c r="K23">
        <v>0</v>
      </c>
      <c r="L23">
        <v>0</v>
      </c>
      <c r="M23" s="344">
        <f t="shared" si="0"/>
        <v>698050.17</v>
      </c>
      <c r="N23" s="589"/>
      <c r="O23" s="588"/>
    </row>
    <row r="24" spans="1:15">
      <c r="A24" t="s">
        <v>258</v>
      </c>
      <c r="B24" t="str">
        <f t="shared" si="1"/>
        <v>I</v>
      </c>
      <c r="C24" t="s">
        <v>530</v>
      </c>
      <c r="D24" s="540">
        <v>1002001010001</v>
      </c>
      <c r="E24" s="541" t="s">
        <v>369</v>
      </c>
      <c r="F24" s="340" t="s">
        <v>146</v>
      </c>
      <c r="G24" s="340" t="s">
        <v>260</v>
      </c>
      <c r="H24" s="544">
        <v>1584971.97</v>
      </c>
      <c r="I24" s="544">
        <v>11271424858.379999</v>
      </c>
      <c r="J24" s="549">
        <v>1584971.97</v>
      </c>
      <c r="K24">
        <v>0</v>
      </c>
      <c r="L24">
        <v>0</v>
      </c>
      <c r="M24" s="344">
        <f t="shared" si="0"/>
        <v>1584971.97</v>
      </c>
      <c r="N24" s="589"/>
      <c r="O24" s="588"/>
    </row>
    <row r="25" spans="1:15">
      <c r="A25" t="s">
        <v>258</v>
      </c>
      <c r="B25" t="str">
        <f t="shared" si="1"/>
        <v>NI</v>
      </c>
      <c r="D25" s="540">
        <v>1003</v>
      </c>
      <c r="E25" s="541" t="s">
        <v>336</v>
      </c>
      <c r="F25" s="340" t="s">
        <v>259</v>
      </c>
      <c r="G25" s="340" t="s">
        <v>259</v>
      </c>
      <c r="H25" s="544">
        <v>0</v>
      </c>
      <c r="I25" s="544">
        <v>117193559.59999999</v>
      </c>
      <c r="J25" s="549">
        <v>16596.689999999999</v>
      </c>
      <c r="K25">
        <v>0</v>
      </c>
      <c r="L25">
        <v>0</v>
      </c>
      <c r="M25" s="344">
        <f t="shared" si="0"/>
        <v>16596.689999999999</v>
      </c>
      <c r="N25" s="549"/>
      <c r="O25" s="588"/>
    </row>
    <row r="26" spans="1:15">
      <c r="A26" t="s">
        <v>258</v>
      </c>
      <c r="B26" t="str">
        <f t="shared" si="1"/>
        <v>NI</v>
      </c>
      <c r="D26" s="540">
        <v>1003001</v>
      </c>
      <c r="E26" s="541" t="s">
        <v>336</v>
      </c>
      <c r="F26" s="340" t="s">
        <v>259</v>
      </c>
      <c r="G26" s="340" t="s">
        <v>259</v>
      </c>
      <c r="H26" s="544">
        <v>0</v>
      </c>
      <c r="I26" s="544">
        <v>117193559.59999999</v>
      </c>
      <c r="J26" s="549">
        <v>16596.689999999999</v>
      </c>
      <c r="K26">
        <v>0</v>
      </c>
      <c r="L26">
        <v>0</v>
      </c>
      <c r="M26" s="344">
        <f t="shared" si="0"/>
        <v>16596.689999999999</v>
      </c>
      <c r="N26" s="549"/>
      <c r="O26" s="588"/>
    </row>
    <row r="27" spans="1:15">
      <c r="A27" t="s">
        <v>258</v>
      </c>
      <c r="B27" t="str">
        <f t="shared" si="1"/>
        <v>NI</v>
      </c>
      <c r="D27" s="540">
        <v>1003001001</v>
      </c>
      <c r="E27" s="541" t="s">
        <v>337</v>
      </c>
      <c r="F27" s="340" t="s">
        <v>259</v>
      </c>
      <c r="G27" s="340" t="s">
        <v>259</v>
      </c>
      <c r="H27" s="544">
        <v>0</v>
      </c>
      <c r="I27" s="544">
        <v>117193559.59999999</v>
      </c>
      <c r="J27" s="549">
        <v>16596.689999999999</v>
      </c>
      <c r="K27">
        <v>0</v>
      </c>
      <c r="L27">
        <v>0</v>
      </c>
      <c r="M27" s="344">
        <f t="shared" si="0"/>
        <v>16596.689999999999</v>
      </c>
      <c r="N27" s="549"/>
      <c r="O27" s="588"/>
    </row>
    <row r="28" spans="1:15">
      <c r="A28" t="s">
        <v>258</v>
      </c>
      <c r="B28" t="str">
        <f t="shared" si="1"/>
        <v>I</v>
      </c>
      <c r="C28" t="s">
        <v>530</v>
      </c>
      <c r="D28" s="540">
        <v>1003001001001</v>
      </c>
      <c r="E28" s="541" t="s">
        <v>197</v>
      </c>
      <c r="F28" s="340" t="s">
        <v>146</v>
      </c>
      <c r="G28" s="340" t="s">
        <v>260</v>
      </c>
      <c r="H28" s="544">
        <v>2127.0100000000002</v>
      </c>
      <c r="I28" s="544">
        <v>14782168.02</v>
      </c>
      <c r="J28" s="549">
        <v>2127.0100000000002</v>
      </c>
      <c r="K28">
        <v>0</v>
      </c>
      <c r="L28">
        <v>0</v>
      </c>
      <c r="M28" s="344">
        <f t="shared" si="0"/>
        <v>2127.0100000000002</v>
      </c>
      <c r="N28" s="549"/>
      <c r="O28" s="588"/>
    </row>
    <row r="29" spans="1:15">
      <c r="A29" t="s">
        <v>258</v>
      </c>
      <c r="B29" t="str">
        <f t="shared" si="1"/>
        <v>I</v>
      </c>
      <c r="C29" t="s">
        <v>530</v>
      </c>
      <c r="D29" s="540">
        <v>1003001001002</v>
      </c>
      <c r="E29" s="541" t="s">
        <v>372</v>
      </c>
      <c r="F29" s="340" t="s">
        <v>146</v>
      </c>
      <c r="G29" s="340" t="s">
        <v>260</v>
      </c>
      <c r="H29" s="544">
        <v>14469.68</v>
      </c>
      <c r="I29" s="544">
        <v>102411391.58</v>
      </c>
      <c r="J29" s="549">
        <v>14469.68</v>
      </c>
      <c r="K29">
        <v>0</v>
      </c>
      <c r="L29">
        <v>0</v>
      </c>
      <c r="M29" s="344">
        <f t="shared" si="0"/>
        <v>14469.68</v>
      </c>
      <c r="N29" s="549"/>
      <c r="O29" s="588"/>
    </row>
    <row r="30" spans="1:15">
      <c r="A30" t="s">
        <v>258</v>
      </c>
      <c r="B30" t="str">
        <f t="shared" si="1"/>
        <v>NI</v>
      </c>
      <c r="D30" s="540">
        <v>1004</v>
      </c>
      <c r="E30" s="541" t="s">
        <v>525</v>
      </c>
      <c r="F30" s="340" t="s">
        <v>259</v>
      </c>
      <c r="G30" s="340" t="s">
        <v>259</v>
      </c>
      <c r="H30" s="544">
        <v>0</v>
      </c>
      <c r="I30" s="544">
        <v>147143.5</v>
      </c>
      <c r="J30" s="549">
        <v>13.04</v>
      </c>
      <c r="K30">
        <v>0</v>
      </c>
      <c r="L30">
        <v>0</v>
      </c>
      <c r="M30" s="344">
        <f t="shared" si="0"/>
        <v>13.04</v>
      </c>
      <c r="N30" s="549"/>
      <c r="O30" s="588"/>
    </row>
    <row r="31" spans="1:15">
      <c r="A31" t="s">
        <v>258</v>
      </c>
      <c r="B31" t="str">
        <f t="shared" si="1"/>
        <v>NI</v>
      </c>
      <c r="D31" s="540">
        <v>1004002</v>
      </c>
      <c r="E31" s="541" t="s">
        <v>526</v>
      </c>
      <c r="F31" s="340" t="s">
        <v>259</v>
      </c>
      <c r="G31" s="340" t="s">
        <v>259</v>
      </c>
      <c r="H31" s="544">
        <v>0</v>
      </c>
      <c r="I31" s="544">
        <v>147143.5</v>
      </c>
      <c r="J31" s="549">
        <v>13.04</v>
      </c>
      <c r="K31">
        <v>0</v>
      </c>
      <c r="L31">
        <v>0</v>
      </c>
      <c r="M31" s="344">
        <f t="shared" si="0"/>
        <v>13.04</v>
      </c>
      <c r="N31" s="549"/>
      <c r="O31" s="588"/>
    </row>
    <row r="32" spans="1:15">
      <c r="A32" t="s">
        <v>258</v>
      </c>
      <c r="B32" t="str">
        <f t="shared" si="1"/>
        <v>I</v>
      </c>
      <c r="C32" t="s">
        <v>530</v>
      </c>
      <c r="D32" s="540">
        <v>1004002000003</v>
      </c>
      <c r="E32" s="541" t="s">
        <v>265</v>
      </c>
      <c r="F32" s="340" t="s">
        <v>146</v>
      </c>
      <c r="G32" s="340" t="s">
        <v>260</v>
      </c>
      <c r="H32" s="544">
        <v>11.84</v>
      </c>
      <c r="I32" s="544">
        <v>133770</v>
      </c>
      <c r="J32" s="549">
        <v>11.84</v>
      </c>
      <c r="K32">
        <v>0</v>
      </c>
      <c r="L32">
        <v>0</v>
      </c>
      <c r="M32" s="344">
        <f t="shared" si="0"/>
        <v>11.84</v>
      </c>
      <c r="N32" s="549"/>
    </row>
    <row r="33" spans="1:14">
      <c r="A33" t="s">
        <v>258</v>
      </c>
      <c r="B33" t="str">
        <f t="shared" si="1"/>
        <v>I</v>
      </c>
      <c r="C33" t="s">
        <v>530</v>
      </c>
      <c r="D33" s="540">
        <v>1004002000004</v>
      </c>
      <c r="E33" s="541" t="s">
        <v>266</v>
      </c>
      <c r="F33" s="340" t="s">
        <v>146</v>
      </c>
      <c r="G33" s="340" t="s">
        <v>260</v>
      </c>
      <c r="H33" s="544">
        <v>1.2</v>
      </c>
      <c r="I33" s="544">
        <v>13373.5</v>
      </c>
      <c r="J33" s="549">
        <v>1.2</v>
      </c>
      <c r="K33">
        <v>0.11</v>
      </c>
      <c r="L33">
        <v>0</v>
      </c>
      <c r="M33" s="344">
        <f t="shared" si="0"/>
        <v>1.31</v>
      </c>
      <c r="N33" s="549"/>
    </row>
    <row r="34" spans="1:14">
      <c r="A34" t="s">
        <v>258</v>
      </c>
      <c r="B34" t="str">
        <f t="shared" si="1"/>
        <v>I</v>
      </c>
      <c r="C34" t="s">
        <v>530</v>
      </c>
      <c r="D34" s="540">
        <v>1004002000007</v>
      </c>
      <c r="E34" s="541" t="s">
        <v>535</v>
      </c>
      <c r="F34" s="340" t="s">
        <v>146</v>
      </c>
      <c r="G34" s="340" t="s">
        <v>260</v>
      </c>
      <c r="H34" s="544">
        <v>0</v>
      </c>
      <c r="I34" s="544">
        <v>133770</v>
      </c>
      <c r="J34" s="544">
        <v>0</v>
      </c>
      <c r="K34" s="590">
        <f>+L42</f>
        <v>471.23</v>
      </c>
      <c r="L34">
        <v>0</v>
      </c>
      <c r="M34" s="344">
        <f t="shared" si="0"/>
        <v>471.23</v>
      </c>
      <c r="N34" s="549"/>
    </row>
    <row r="35" spans="1:14">
      <c r="A35" t="s">
        <v>258</v>
      </c>
      <c r="B35" t="str">
        <f t="shared" si="1"/>
        <v>I</v>
      </c>
      <c r="C35" t="s">
        <v>530</v>
      </c>
      <c r="D35" s="540">
        <v>1004002000008</v>
      </c>
      <c r="E35" s="541" t="s">
        <v>536</v>
      </c>
      <c r="F35" s="340" t="s">
        <v>146</v>
      </c>
      <c r="G35" s="340" t="s">
        <v>260</v>
      </c>
      <c r="H35" s="544">
        <v>0</v>
      </c>
      <c r="I35" s="544">
        <v>13373.5</v>
      </c>
      <c r="J35" s="544">
        <v>0</v>
      </c>
      <c r="K35" s="590">
        <f>+L43</f>
        <v>47.08</v>
      </c>
      <c r="L35">
        <v>0</v>
      </c>
      <c r="M35" s="344">
        <f t="shared" si="0"/>
        <v>47.08</v>
      </c>
      <c r="N35" s="549"/>
    </row>
    <row r="36" spans="1:14">
      <c r="A36" t="s">
        <v>267</v>
      </c>
      <c r="B36" t="str">
        <f t="shared" si="1"/>
        <v>NI</v>
      </c>
      <c r="D36" s="540">
        <v>2</v>
      </c>
      <c r="E36" s="541" t="s">
        <v>338</v>
      </c>
      <c r="F36" s="340" t="s">
        <v>259</v>
      </c>
      <c r="G36" s="340" t="s">
        <v>259</v>
      </c>
      <c r="H36" s="544">
        <v>0</v>
      </c>
      <c r="I36" s="544">
        <v>5426982786.2799997</v>
      </c>
      <c r="J36" s="549">
        <v>800447.93</v>
      </c>
      <c r="K36">
        <v>0</v>
      </c>
      <c r="L36">
        <v>0</v>
      </c>
      <c r="M36" s="344">
        <f>+J36+L36-K36</f>
        <v>800447.93</v>
      </c>
      <c r="N36" s="549"/>
    </row>
    <row r="37" spans="1:14">
      <c r="A37" t="s">
        <v>267</v>
      </c>
      <c r="B37" t="str">
        <f t="shared" si="1"/>
        <v>NI</v>
      </c>
      <c r="D37" s="540">
        <v>2001</v>
      </c>
      <c r="E37" s="541" t="s">
        <v>339</v>
      </c>
      <c r="F37" s="340" t="s">
        <v>259</v>
      </c>
      <c r="G37" s="340" t="s">
        <v>259</v>
      </c>
      <c r="H37" s="544">
        <v>0</v>
      </c>
      <c r="I37" s="544">
        <v>5426982786.2799997</v>
      </c>
      <c r="J37" s="549">
        <v>800447.93</v>
      </c>
      <c r="K37">
        <v>0</v>
      </c>
      <c r="L37">
        <v>0</v>
      </c>
      <c r="M37" s="344">
        <f t="shared" ref="M37:M69" si="2">+J37+L37-K37</f>
        <v>800447.93</v>
      </c>
      <c r="N37" s="549"/>
    </row>
    <row r="38" spans="1:14">
      <c r="A38" t="s">
        <v>267</v>
      </c>
      <c r="B38" t="str">
        <f t="shared" si="1"/>
        <v>NI</v>
      </c>
      <c r="D38" s="540">
        <v>2001001</v>
      </c>
      <c r="E38" s="541" t="s">
        <v>339</v>
      </c>
      <c r="F38" s="340" t="s">
        <v>259</v>
      </c>
      <c r="G38" s="340" t="s">
        <v>259</v>
      </c>
      <c r="H38" s="544">
        <v>0</v>
      </c>
      <c r="I38" s="544">
        <v>3304548.89</v>
      </c>
      <c r="J38" s="549">
        <v>-213.07</v>
      </c>
      <c r="K38">
        <v>0</v>
      </c>
      <c r="L38">
        <v>0</v>
      </c>
      <c r="M38" s="344">
        <f t="shared" si="2"/>
        <v>-213.07</v>
      </c>
      <c r="N38" s="549"/>
    </row>
    <row r="39" spans="1:14">
      <c r="A39" t="s">
        <v>267</v>
      </c>
      <c r="B39" t="str">
        <f t="shared" si="1"/>
        <v>I</v>
      </c>
      <c r="C39" t="s">
        <v>531</v>
      </c>
      <c r="D39" s="540">
        <v>2001001000001</v>
      </c>
      <c r="E39" s="541" t="s">
        <v>373</v>
      </c>
      <c r="F39" s="340" t="s">
        <v>146</v>
      </c>
      <c r="G39" s="340" t="s">
        <v>268</v>
      </c>
      <c r="H39" s="544">
        <v>-0.11</v>
      </c>
      <c r="I39" s="544">
        <v>-796.6</v>
      </c>
      <c r="J39" s="549">
        <v>-0.11</v>
      </c>
      <c r="K39">
        <v>0</v>
      </c>
      <c r="L39">
        <v>0.11</v>
      </c>
      <c r="M39" s="344">
        <f t="shared" si="2"/>
        <v>0</v>
      </c>
      <c r="N39" s="549"/>
    </row>
    <row r="40" spans="1:14">
      <c r="A40" t="s">
        <v>267</v>
      </c>
      <c r="B40" t="str">
        <f t="shared" si="1"/>
        <v>I</v>
      </c>
      <c r="C40" t="s">
        <v>531</v>
      </c>
      <c r="D40" s="540">
        <v>2001001000002</v>
      </c>
      <c r="E40" s="541" t="s">
        <v>527</v>
      </c>
      <c r="F40" s="340" t="s">
        <v>146</v>
      </c>
      <c r="G40" s="340" t="s">
        <v>268</v>
      </c>
      <c r="H40" s="544">
        <v>0</v>
      </c>
      <c r="I40" s="544">
        <v>-44384.54</v>
      </c>
      <c r="J40" s="549">
        <v>0</v>
      </c>
      <c r="K40">
        <v>0</v>
      </c>
      <c r="L40">
        <v>0</v>
      </c>
      <c r="M40" s="344">
        <f t="shared" si="2"/>
        <v>0</v>
      </c>
      <c r="N40" s="549"/>
    </row>
    <row r="41" spans="1:14">
      <c r="A41" t="s">
        <v>267</v>
      </c>
      <c r="B41" t="str">
        <f t="shared" si="1"/>
        <v>NI</v>
      </c>
      <c r="D41" s="540">
        <v>2001001002</v>
      </c>
      <c r="E41" s="541" t="s">
        <v>340</v>
      </c>
      <c r="F41" s="340" t="s">
        <v>259</v>
      </c>
      <c r="G41" s="340" t="s">
        <v>259</v>
      </c>
      <c r="H41" s="544">
        <v>0</v>
      </c>
      <c r="I41" s="544">
        <v>1194069.6100000001</v>
      </c>
      <c r="J41" s="549">
        <v>-518.30999999999995</v>
      </c>
      <c r="K41">
        <v>0</v>
      </c>
      <c r="L41">
        <v>0</v>
      </c>
      <c r="M41" s="344">
        <f t="shared" si="2"/>
        <v>-518.30999999999995</v>
      </c>
      <c r="N41" s="549"/>
    </row>
    <row r="42" spans="1:14">
      <c r="A42" t="s">
        <v>267</v>
      </c>
      <c r="B42" t="str">
        <f t="shared" si="1"/>
        <v>I</v>
      </c>
      <c r="C42" t="s">
        <v>531</v>
      </c>
      <c r="D42" s="540">
        <v>2001001002001</v>
      </c>
      <c r="E42" s="541" t="s">
        <v>269</v>
      </c>
      <c r="F42" s="340" t="s">
        <v>146</v>
      </c>
      <c r="G42" s="340" t="s">
        <v>268</v>
      </c>
      <c r="H42" s="544">
        <v>-471.23</v>
      </c>
      <c r="I42" s="544">
        <v>1085938.72</v>
      </c>
      <c r="J42" s="549">
        <v>-471.23</v>
      </c>
      <c r="K42">
        <v>0</v>
      </c>
      <c r="L42" s="590">
        <f>-J42</f>
        <v>471.23</v>
      </c>
      <c r="M42" s="344">
        <f t="shared" si="2"/>
        <v>0</v>
      </c>
      <c r="N42" s="549"/>
    </row>
    <row r="43" spans="1:14">
      <c r="A43" t="s">
        <v>267</v>
      </c>
      <c r="B43" t="str">
        <f t="shared" si="1"/>
        <v>I</v>
      </c>
      <c r="C43" t="s">
        <v>531</v>
      </c>
      <c r="D43" s="540">
        <v>2001001002002</v>
      </c>
      <c r="E43" s="541" t="s">
        <v>270</v>
      </c>
      <c r="F43" s="340" t="s">
        <v>146</v>
      </c>
      <c r="G43" s="340" t="s">
        <v>268</v>
      </c>
      <c r="H43" s="544">
        <v>-47.08</v>
      </c>
      <c r="I43" s="544">
        <v>108130.89</v>
      </c>
      <c r="J43" s="549">
        <v>-47.08</v>
      </c>
      <c r="K43">
        <v>0</v>
      </c>
      <c r="L43" s="590">
        <f>-J43</f>
        <v>47.08</v>
      </c>
      <c r="M43" s="344">
        <f t="shared" si="2"/>
        <v>0</v>
      </c>
      <c r="N43" s="549"/>
    </row>
    <row r="44" spans="1:14">
      <c r="A44" t="s">
        <v>267</v>
      </c>
      <c r="B44" t="str">
        <f t="shared" si="1"/>
        <v>NI</v>
      </c>
      <c r="D44" s="540">
        <v>2001001003</v>
      </c>
      <c r="E44" s="541" t="s">
        <v>374</v>
      </c>
      <c r="F44" s="340" t="s">
        <v>259</v>
      </c>
      <c r="G44" s="340" t="s">
        <v>259</v>
      </c>
      <c r="H44" s="544">
        <v>0</v>
      </c>
      <c r="I44" s="544">
        <v>4382.37</v>
      </c>
      <c r="J44" s="549">
        <v>0</v>
      </c>
      <c r="K44">
        <v>0</v>
      </c>
      <c r="L44">
        <v>0</v>
      </c>
      <c r="M44" s="344">
        <f t="shared" si="2"/>
        <v>0</v>
      </c>
      <c r="N44" s="549"/>
    </row>
    <row r="45" spans="1:14">
      <c r="A45" t="s">
        <v>267</v>
      </c>
      <c r="B45" t="str">
        <f t="shared" si="1"/>
        <v>I</v>
      </c>
      <c r="C45" t="s">
        <v>531</v>
      </c>
      <c r="D45" s="540">
        <v>2001001003003</v>
      </c>
      <c r="E45" s="541" t="s">
        <v>375</v>
      </c>
      <c r="F45" s="340" t="s">
        <v>146</v>
      </c>
      <c r="G45" s="340" t="s">
        <v>268</v>
      </c>
      <c r="H45" s="544">
        <v>0</v>
      </c>
      <c r="I45" s="544">
        <v>4382.37</v>
      </c>
      <c r="J45" s="549">
        <v>0</v>
      </c>
      <c r="K45">
        <v>0</v>
      </c>
      <c r="L45">
        <v>0</v>
      </c>
      <c r="M45" s="344">
        <f t="shared" si="2"/>
        <v>0</v>
      </c>
      <c r="N45" s="549"/>
    </row>
    <row r="46" spans="1:14">
      <c r="A46" t="s">
        <v>267</v>
      </c>
      <c r="B46" t="str">
        <f t="shared" si="1"/>
        <v>NI</v>
      </c>
      <c r="D46" s="540">
        <v>2001001004</v>
      </c>
      <c r="E46" s="541" t="s">
        <v>341</v>
      </c>
      <c r="F46" s="340" t="s">
        <v>259</v>
      </c>
      <c r="G46" s="340" t="s">
        <v>259</v>
      </c>
      <c r="H46" s="544">
        <v>0</v>
      </c>
      <c r="I46" s="544">
        <v>2151278.0499999998</v>
      </c>
      <c r="J46" s="549">
        <v>305.35000000000002</v>
      </c>
      <c r="K46">
        <v>0</v>
      </c>
      <c r="L46">
        <v>0</v>
      </c>
      <c r="M46" s="344">
        <f t="shared" si="2"/>
        <v>305.35000000000002</v>
      </c>
      <c r="N46" s="549"/>
    </row>
    <row r="47" spans="1:14">
      <c r="A47" t="s">
        <v>267</v>
      </c>
      <c r="B47" t="str">
        <f t="shared" si="1"/>
        <v>I</v>
      </c>
      <c r="C47" t="s">
        <v>531</v>
      </c>
      <c r="D47" s="540">
        <v>2001001004001</v>
      </c>
      <c r="E47" s="541" t="s">
        <v>202</v>
      </c>
      <c r="F47" s="340" t="s">
        <v>146</v>
      </c>
      <c r="G47" s="340" t="s">
        <v>268</v>
      </c>
      <c r="H47" s="544">
        <v>305.35000000000002</v>
      </c>
      <c r="I47" s="544">
        <v>2151278.0499999998</v>
      </c>
      <c r="J47" s="549">
        <v>305.35000000000002</v>
      </c>
      <c r="K47">
        <v>0</v>
      </c>
      <c r="L47">
        <v>0</v>
      </c>
      <c r="M47" s="344">
        <f t="shared" si="2"/>
        <v>305.35000000000002</v>
      </c>
      <c r="N47" s="549"/>
    </row>
    <row r="48" spans="1:14">
      <c r="A48" t="s">
        <v>267</v>
      </c>
      <c r="B48" t="str">
        <f t="shared" si="1"/>
        <v>NI</v>
      </c>
      <c r="D48" s="540">
        <v>2001002</v>
      </c>
      <c r="E48" s="541" t="s">
        <v>342</v>
      </c>
      <c r="F48" s="340" t="s">
        <v>259</v>
      </c>
      <c r="G48" s="340" t="s">
        <v>259</v>
      </c>
      <c r="H48" s="544">
        <v>0</v>
      </c>
      <c r="I48" s="544">
        <v>5423678237.3900003</v>
      </c>
      <c r="J48" s="549">
        <v>800661</v>
      </c>
      <c r="K48">
        <v>0</v>
      </c>
      <c r="L48">
        <v>0</v>
      </c>
      <c r="M48" s="344">
        <f t="shared" si="2"/>
        <v>800661</v>
      </c>
      <c r="N48" s="549"/>
    </row>
    <row r="49" spans="1:15">
      <c r="A49" t="s">
        <v>267</v>
      </c>
      <c r="B49" t="str">
        <f t="shared" si="1"/>
        <v>I</v>
      </c>
      <c r="C49" t="s">
        <v>531</v>
      </c>
      <c r="D49" s="540">
        <v>2001002000004</v>
      </c>
      <c r="E49" s="541" t="s">
        <v>234</v>
      </c>
      <c r="F49" s="340" t="s">
        <v>146</v>
      </c>
      <c r="G49" s="340" t="s">
        <v>268</v>
      </c>
      <c r="H49" s="544">
        <v>800661</v>
      </c>
      <c r="I49" s="544">
        <v>5423678237.3900003</v>
      </c>
      <c r="J49" s="549">
        <v>800661</v>
      </c>
      <c r="K49">
        <v>0</v>
      </c>
      <c r="L49">
        <v>0</v>
      </c>
      <c r="M49" s="344">
        <f t="shared" si="2"/>
        <v>800661</v>
      </c>
      <c r="N49" s="549"/>
    </row>
    <row r="50" spans="1:15">
      <c r="A50" t="s">
        <v>267</v>
      </c>
      <c r="B50" t="str">
        <f t="shared" si="1"/>
        <v>I</v>
      </c>
      <c r="C50" t="s">
        <v>531</v>
      </c>
      <c r="D50" s="540">
        <v>2001005000006</v>
      </c>
      <c r="E50" s="541" t="s">
        <v>302</v>
      </c>
      <c r="F50" s="340" t="s">
        <v>146</v>
      </c>
      <c r="G50" s="340" t="s">
        <v>268</v>
      </c>
      <c r="H50" s="544">
        <v>0</v>
      </c>
      <c r="I50" s="544">
        <v>5423678237.3900003</v>
      </c>
      <c r="J50" s="549">
        <v>0</v>
      </c>
      <c r="K50">
        <v>0</v>
      </c>
      <c r="L50" s="344">
        <f>+K17+K21+K23</f>
        <v>17504.174506356372</v>
      </c>
      <c r="M50" s="344">
        <f t="shared" si="2"/>
        <v>17504.174506356372</v>
      </c>
      <c r="N50" s="549"/>
    </row>
    <row r="51" spans="1:15">
      <c r="A51" t="s">
        <v>271</v>
      </c>
      <c r="B51" t="str">
        <f t="shared" si="1"/>
        <v>NI</v>
      </c>
      <c r="D51" s="540">
        <v>3</v>
      </c>
      <c r="E51" s="541" t="s">
        <v>343</v>
      </c>
      <c r="F51" s="340" t="s">
        <v>259</v>
      </c>
      <c r="G51" s="340" t="s">
        <v>259</v>
      </c>
      <c r="H51" s="544">
        <v>0</v>
      </c>
      <c r="I51" s="544">
        <v>99068219161.720001</v>
      </c>
      <c r="J51" s="549">
        <v>13511823.890000001</v>
      </c>
      <c r="K51">
        <v>0</v>
      </c>
      <c r="L51">
        <v>0</v>
      </c>
      <c r="M51" s="344">
        <f t="shared" si="2"/>
        <v>13511823.890000001</v>
      </c>
      <c r="N51" s="549"/>
    </row>
    <row r="52" spans="1:15">
      <c r="A52" t="s">
        <v>271</v>
      </c>
      <c r="B52" t="str">
        <f t="shared" si="1"/>
        <v>NI</v>
      </c>
      <c r="D52" s="540">
        <v>3001</v>
      </c>
      <c r="E52" s="541" t="s">
        <v>344</v>
      </c>
      <c r="F52" s="340" t="s">
        <v>259</v>
      </c>
      <c r="G52" s="340" t="s">
        <v>259</v>
      </c>
      <c r="H52" s="544">
        <v>0</v>
      </c>
      <c r="I52" s="544">
        <v>99068219161.720001</v>
      </c>
      <c r="J52" s="549">
        <v>13511823.890000001</v>
      </c>
      <c r="K52">
        <v>0</v>
      </c>
      <c r="L52">
        <v>0</v>
      </c>
      <c r="M52" s="344">
        <f t="shared" si="2"/>
        <v>13511823.890000001</v>
      </c>
    </row>
    <row r="53" spans="1:15">
      <c r="A53" t="s">
        <v>271</v>
      </c>
      <c r="B53" t="str">
        <f t="shared" si="1"/>
        <v>I</v>
      </c>
      <c r="C53" t="s">
        <v>531</v>
      </c>
      <c r="D53" s="540">
        <v>3001000000001</v>
      </c>
      <c r="E53" s="541" t="s">
        <v>206</v>
      </c>
      <c r="F53" s="340" t="s">
        <v>146</v>
      </c>
      <c r="G53" s="340" t="s">
        <v>268</v>
      </c>
      <c r="H53" s="544">
        <v>20616341.690000001</v>
      </c>
      <c r="I53" s="544">
        <v>148575795214.48001</v>
      </c>
      <c r="J53" s="549">
        <v>20616341.690000001</v>
      </c>
      <c r="K53">
        <v>0</v>
      </c>
      <c r="L53">
        <v>0</v>
      </c>
      <c r="M53" s="344">
        <f t="shared" si="2"/>
        <v>20616341.690000001</v>
      </c>
    </row>
    <row r="54" spans="1:15">
      <c r="A54" t="s">
        <v>271</v>
      </c>
      <c r="B54" t="str">
        <f t="shared" si="1"/>
        <v>I</v>
      </c>
      <c r="C54" t="s">
        <v>531</v>
      </c>
      <c r="D54" s="540">
        <v>3001000000002</v>
      </c>
      <c r="E54" s="541" t="s">
        <v>207</v>
      </c>
      <c r="F54" s="340" t="s">
        <v>146</v>
      </c>
      <c r="G54" s="340" t="s">
        <v>268</v>
      </c>
      <c r="H54" s="544">
        <v>-7104517.7999999998</v>
      </c>
      <c r="I54" s="544">
        <v>-49507576052.760002</v>
      </c>
      <c r="J54" s="549">
        <v>-7104517.7999999998</v>
      </c>
      <c r="K54">
        <v>0</v>
      </c>
      <c r="L54">
        <v>0</v>
      </c>
      <c r="M54" s="344">
        <f t="shared" si="2"/>
        <v>-7104517.7999999998</v>
      </c>
    </row>
    <row r="55" spans="1:15">
      <c r="A55" t="s">
        <v>271</v>
      </c>
      <c r="B55" t="str">
        <f t="shared" si="1"/>
        <v>I</v>
      </c>
      <c r="C55" t="s">
        <v>531</v>
      </c>
      <c r="D55" s="540">
        <v>3001000000003</v>
      </c>
      <c r="E55" s="541" t="s">
        <v>537</v>
      </c>
      <c r="F55" s="340" t="s">
        <v>146</v>
      </c>
      <c r="G55" s="340" t="s">
        <v>268</v>
      </c>
      <c r="H55" s="544">
        <v>0</v>
      </c>
      <c r="I55" s="544">
        <v>-49507576052.760002</v>
      </c>
      <c r="J55" s="549">
        <f>+G90</f>
        <v>232599.91</v>
      </c>
      <c r="K55">
        <v>0</v>
      </c>
      <c r="L55">
        <v>0</v>
      </c>
      <c r="M55" s="344">
        <f t="shared" si="2"/>
        <v>232599.91</v>
      </c>
    </row>
    <row r="56" spans="1:15">
      <c r="A56" t="s">
        <v>272</v>
      </c>
      <c r="B56" t="str">
        <f t="shared" si="1"/>
        <v>NI</v>
      </c>
      <c r="D56" s="540">
        <v>4</v>
      </c>
      <c r="E56" s="541" t="s">
        <v>345</v>
      </c>
      <c r="F56" s="340" t="s">
        <v>259</v>
      </c>
      <c r="G56" s="340" t="s">
        <v>259</v>
      </c>
      <c r="H56" s="544">
        <v>0</v>
      </c>
      <c r="I56" s="544">
        <v>60297646717.809998</v>
      </c>
      <c r="J56" s="549">
        <v>8489804.2699999996</v>
      </c>
      <c r="K56">
        <v>0</v>
      </c>
      <c r="L56">
        <v>0</v>
      </c>
      <c r="M56" s="344">
        <f t="shared" si="2"/>
        <v>8489804.2699999996</v>
      </c>
      <c r="O56" s="344"/>
    </row>
    <row r="57" spans="1:15">
      <c r="A57" t="s">
        <v>272</v>
      </c>
      <c r="B57" t="str">
        <f t="shared" si="1"/>
        <v>NI</v>
      </c>
      <c r="D57" s="540">
        <v>4001</v>
      </c>
      <c r="E57" s="541" t="s">
        <v>345</v>
      </c>
      <c r="F57" s="340" t="s">
        <v>259</v>
      </c>
      <c r="G57" s="340" t="s">
        <v>259</v>
      </c>
      <c r="H57" s="544">
        <v>0</v>
      </c>
      <c r="I57" s="544">
        <v>60297646717.809998</v>
      </c>
      <c r="J57" s="549">
        <v>8489804.2699999996</v>
      </c>
      <c r="K57">
        <v>0</v>
      </c>
      <c r="L57">
        <v>0</v>
      </c>
      <c r="M57" s="344">
        <f t="shared" si="2"/>
        <v>8489804.2699999996</v>
      </c>
    </row>
    <row r="58" spans="1:15">
      <c r="A58" t="s">
        <v>272</v>
      </c>
      <c r="B58" t="str">
        <f t="shared" si="1"/>
        <v>I</v>
      </c>
      <c r="C58" t="s">
        <v>532</v>
      </c>
      <c r="D58" s="540">
        <v>4001001000002</v>
      </c>
      <c r="E58" s="541" t="s">
        <v>346</v>
      </c>
      <c r="F58" s="340" t="s">
        <v>146</v>
      </c>
      <c r="G58" s="340" t="s">
        <v>268</v>
      </c>
      <c r="H58" s="544">
        <v>266980.26</v>
      </c>
      <c r="I58" s="544">
        <v>1894106475</v>
      </c>
      <c r="J58" s="549">
        <v>266980.26</v>
      </c>
      <c r="K58">
        <v>0</v>
      </c>
      <c r="L58">
        <v>0</v>
      </c>
      <c r="M58" s="344">
        <f t="shared" si="2"/>
        <v>266980.26</v>
      </c>
    </row>
    <row r="59" spans="1:15">
      <c r="A59" t="s">
        <v>272</v>
      </c>
      <c r="B59" t="str">
        <f t="shared" si="1"/>
        <v>I</v>
      </c>
      <c r="C59" t="s">
        <v>532</v>
      </c>
      <c r="D59" s="540">
        <v>4001001000007</v>
      </c>
      <c r="E59" s="541" t="s">
        <v>208</v>
      </c>
      <c r="F59" s="340" t="s">
        <v>146</v>
      </c>
      <c r="G59" s="340" t="s">
        <v>268</v>
      </c>
      <c r="H59" s="544">
        <v>7939042.8399999999</v>
      </c>
      <c r="I59" s="544">
        <v>56403256858.830002</v>
      </c>
      <c r="J59" s="549">
        <v>7939042.8399999999</v>
      </c>
      <c r="K59">
        <v>0</v>
      </c>
      <c r="L59">
        <v>0</v>
      </c>
      <c r="M59" s="344">
        <f t="shared" si="2"/>
        <v>7939042.8399999999</v>
      </c>
    </row>
    <row r="60" spans="1:15">
      <c r="A60" t="s">
        <v>272</v>
      </c>
      <c r="B60" t="str">
        <f t="shared" si="1"/>
        <v>NI</v>
      </c>
      <c r="D60" s="540">
        <v>4001003</v>
      </c>
      <c r="E60" s="541" t="s">
        <v>347</v>
      </c>
      <c r="F60" s="340" t="s">
        <v>259</v>
      </c>
      <c r="G60" s="340" t="s">
        <v>259</v>
      </c>
      <c r="H60" s="544">
        <v>0</v>
      </c>
      <c r="I60" s="544">
        <v>211445701</v>
      </c>
      <c r="J60" s="549">
        <v>30123.56</v>
      </c>
      <c r="K60">
        <v>0</v>
      </c>
      <c r="L60">
        <v>0</v>
      </c>
      <c r="M60" s="344">
        <f t="shared" si="2"/>
        <v>30123.56</v>
      </c>
    </row>
    <row r="61" spans="1:15">
      <c r="A61" t="s">
        <v>272</v>
      </c>
      <c r="B61" t="str">
        <f t="shared" si="1"/>
        <v>I</v>
      </c>
      <c r="C61" t="s">
        <v>532</v>
      </c>
      <c r="D61" s="540">
        <v>4001003001001</v>
      </c>
      <c r="E61" s="541" t="s">
        <v>210</v>
      </c>
      <c r="F61" s="340" t="s">
        <v>146</v>
      </c>
      <c r="G61" s="340" t="s">
        <v>268</v>
      </c>
      <c r="H61" s="544">
        <v>3239.78</v>
      </c>
      <c r="I61" s="544">
        <v>22713915</v>
      </c>
      <c r="J61" s="549">
        <v>3239.78</v>
      </c>
      <c r="K61">
        <v>0</v>
      </c>
      <c r="L61">
        <v>0</v>
      </c>
      <c r="M61" s="344">
        <f t="shared" si="2"/>
        <v>3239.78</v>
      </c>
    </row>
    <row r="62" spans="1:15">
      <c r="A62" t="s">
        <v>272</v>
      </c>
      <c r="B62" t="str">
        <f t="shared" si="1"/>
        <v>I</v>
      </c>
      <c r="C62" t="s">
        <v>532</v>
      </c>
      <c r="D62" s="540">
        <v>4001003001002</v>
      </c>
      <c r="E62" s="541" t="s">
        <v>376</v>
      </c>
      <c r="F62" s="340" t="s">
        <v>146</v>
      </c>
      <c r="G62" s="340" t="s">
        <v>268</v>
      </c>
      <c r="H62" s="544">
        <v>26883.78</v>
      </c>
      <c r="I62" s="544">
        <v>188731786</v>
      </c>
      <c r="J62" s="549">
        <v>26883.78</v>
      </c>
      <c r="K62">
        <v>0</v>
      </c>
      <c r="L62">
        <v>0</v>
      </c>
      <c r="M62" s="344">
        <f t="shared" si="2"/>
        <v>26883.78</v>
      </c>
    </row>
    <row r="63" spans="1:15">
      <c r="A63" t="s">
        <v>272</v>
      </c>
      <c r="B63" t="str">
        <f t="shared" si="1"/>
        <v>NI</v>
      </c>
      <c r="D63" s="540">
        <v>4001005</v>
      </c>
      <c r="E63" s="541" t="s">
        <v>348</v>
      </c>
      <c r="F63" s="340" t="s">
        <v>259</v>
      </c>
      <c r="G63" s="340" t="s">
        <v>259</v>
      </c>
      <c r="H63" s="544">
        <v>0</v>
      </c>
      <c r="I63" s="544">
        <v>1788837683</v>
      </c>
      <c r="J63" s="549">
        <v>253657.61</v>
      </c>
      <c r="K63">
        <v>0</v>
      </c>
      <c r="L63">
        <v>0</v>
      </c>
      <c r="M63" s="344">
        <f t="shared" si="2"/>
        <v>253657.61</v>
      </c>
    </row>
    <row r="64" spans="1:15">
      <c r="A64" t="s">
        <v>272</v>
      </c>
      <c r="B64" t="str">
        <f t="shared" si="1"/>
        <v>I</v>
      </c>
      <c r="C64" t="s">
        <v>532</v>
      </c>
      <c r="D64" s="540">
        <v>4001005004003</v>
      </c>
      <c r="E64" s="541" t="s">
        <v>377</v>
      </c>
      <c r="F64" s="340" t="s">
        <v>146</v>
      </c>
      <c r="G64" s="340" t="s">
        <v>268</v>
      </c>
      <c r="H64" s="544">
        <v>10608</v>
      </c>
      <c r="I64" s="544">
        <v>74174961</v>
      </c>
      <c r="J64" s="549">
        <v>10608</v>
      </c>
      <c r="K64">
        <v>0</v>
      </c>
      <c r="L64">
        <v>0</v>
      </c>
      <c r="M64" s="344">
        <f t="shared" si="2"/>
        <v>10608</v>
      </c>
    </row>
    <row r="65" spans="1:13">
      <c r="A65" t="s">
        <v>272</v>
      </c>
      <c r="B65" t="str">
        <f t="shared" si="1"/>
        <v>I</v>
      </c>
      <c r="C65" t="s">
        <v>532</v>
      </c>
      <c r="D65" s="540">
        <v>4001005004006</v>
      </c>
      <c r="E65" s="541" t="s">
        <v>274</v>
      </c>
      <c r="F65" s="340" t="s">
        <v>146</v>
      </c>
      <c r="G65" s="340" t="s">
        <v>268</v>
      </c>
      <c r="H65" s="544">
        <v>7249.69</v>
      </c>
      <c r="I65" s="544">
        <v>52329127</v>
      </c>
      <c r="J65" s="549">
        <v>7249.69</v>
      </c>
      <c r="K65">
        <v>0</v>
      </c>
      <c r="L65">
        <v>0</v>
      </c>
      <c r="M65" s="344">
        <f t="shared" si="2"/>
        <v>7249.69</v>
      </c>
    </row>
    <row r="66" spans="1:13">
      <c r="A66" t="s">
        <v>272</v>
      </c>
      <c r="B66" t="str">
        <f t="shared" si="1"/>
        <v>I</v>
      </c>
      <c r="C66" t="s">
        <v>532</v>
      </c>
      <c r="D66" s="540">
        <v>4001005004008</v>
      </c>
      <c r="E66" s="541" t="s">
        <v>211</v>
      </c>
      <c r="F66" s="340" t="s">
        <v>146</v>
      </c>
      <c r="G66" s="340" t="s">
        <v>268</v>
      </c>
      <c r="H66" s="544">
        <v>233989.23</v>
      </c>
      <c r="I66" s="544">
        <v>1649899458</v>
      </c>
      <c r="J66" s="549">
        <v>233989.23</v>
      </c>
      <c r="K66">
        <v>0</v>
      </c>
      <c r="L66">
        <v>0</v>
      </c>
      <c r="M66" s="344">
        <f t="shared" si="2"/>
        <v>233989.23</v>
      </c>
    </row>
    <row r="67" spans="1:13">
      <c r="A67" t="s">
        <v>272</v>
      </c>
      <c r="B67" t="str">
        <f t="shared" si="1"/>
        <v>I</v>
      </c>
      <c r="C67" t="s">
        <v>532</v>
      </c>
      <c r="D67" s="540">
        <v>4001005004011</v>
      </c>
      <c r="E67" s="541" t="s">
        <v>212</v>
      </c>
      <c r="F67" s="340" t="s">
        <v>146</v>
      </c>
      <c r="G67" s="340" t="s">
        <v>268</v>
      </c>
      <c r="H67" s="544">
        <v>1810.69</v>
      </c>
      <c r="I67" s="544">
        <v>12434137</v>
      </c>
      <c r="J67" s="549">
        <v>1810.69</v>
      </c>
      <c r="K67">
        <v>0</v>
      </c>
      <c r="L67">
        <v>0</v>
      </c>
      <c r="M67" s="344">
        <f t="shared" si="2"/>
        <v>1810.69</v>
      </c>
    </row>
    <row r="68" spans="1:13">
      <c r="A68" t="s">
        <v>272</v>
      </c>
      <c r="B68" t="str">
        <f t="shared" si="1"/>
        <v>NI</v>
      </c>
      <c r="D68" s="540">
        <v>4001006</v>
      </c>
      <c r="E68" s="541" t="s">
        <v>378</v>
      </c>
      <c r="F68" s="340" t="s">
        <v>259</v>
      </c>
      <c r="G68" s="340" t="s">
        <v>259</v>
      </c>
      <c r="H68" s="544">
        <v>0</v>
      </c>
      <c r="I68" s="544">
        <v>-0.02</v>
      </c>
      <c r="J68" s="549">
        <v>0</v>
      </c>
      <c r="K68">
        <v>0</v>
      </c>
      <c r="L68">
        <v>0</v>
      </c>
      <c r="M68" s="344">
        <f t="shared" si="2"/>
        <v>0</v>
      </c>
    </row>
    <row r="69" spans="1:13">
      <c r="A69" t="s">
        <v>272</v>
      </c>
      <c r="B69" t="str">
        <f t="shared" si="1"/>
        <v>I</v>
      </c>
      <c r="C69" t="s">
        <v>532</v>
      </c>
      <c r="D69" s="540">
        <v>4001006005003</v>
      </c>
      <c r="E69" s="541" t="s">
        <v>379</v>
      </c>
      <c r="F69" s="340" t="s">
        <v>286</v>
      </c>
      <c r="G69" s="340" t="s">
        <v>268</v>
      </c>
      <c r="H69" s="544">
        <v>-0.02</v>
      </c>
      <c r="I69" s="544">
        <v>-0.02</v>
      </c>
      <c r="J69" s="549">
        <v>0</v>
      </c>
      <c r="K69">
        <v>0</v>
      </c>
      <c r="L69">
        <v>0</v>
      </c>
      <c r="M69" s="344">
        <f t="shared" si="2"/>
        <v>0</v>
      </c>
    </row>
    <row r="70" spans="1:13">
      <c r="A70" t="s">
        <v>275</v>
      </c>
      <c r="B70" t="str">
        <f t="shared" si="1"/>
        <v>NI</v>
      </c>
      <c r="D70" s="540">
        <v>5</v>
      </c>
      <c r="E70" s="541" t="s">
        <v>349</v>
      </c>
      <c r="F70" s="340" t="s">
        <v>259</v>
      </c>
      <c r="G70" s="340" t="s">
        <v>259</v>
      </c>
      <c r="H70" s="544">
        <v>0</v>
      </c>
      <c r="I70" s="544">
        <v>58655965569.779999</v>
      </c>
      <c r="J70" s="549">
        <v>8257204.3600000003</v>
      </c>
      <c r="K70">
        <v>0</v>
      </c>
      <c r="L70">
        <v>0</v>
      </c>
      <c r="M70" s="344">
        <f>+J70+K70-L70</f>
        <v>8257204.3600000003</v>
      </c>
    </row>
    <row r="71" spans="1:13">
      <c r="A71" t="s">
        <v>275</v>
      </c>
      <c r="B71" t="str">
        <f t="shared" si="1"/>
        <v>NI</v>
      </c>
      <c r="D71" s="540">
        <v>5001</v>
      </c>
      <c r="E71" s="541" t="s">
        <v>349</v>
      </c>
      <c r="F71" s="340" t="s">
        <v>259</v>
      </c>
      <c r="G71" s="340" t="s">
        <v>259</v>
      </c>
      <c r="H71" s="544">
        <v>0</v>
      </c>
      <c r="I71" s="544">
        <v>58203557489.75</v>
      </c>
      <c r="J71" s="549">
        <v>8193126.9699999997</v>
      </c>
      <c r="K71">
        <v>0</v>
      </c>
      <c r="L71">
        <v>0</v>
      </c>
      <c r="M71" s="344">
        <f t="shared" ref="M71:M84" si="3">+J71+K71-L71</f>
        <v>8193126.9699999997</v>
      </c>
    </row>
    <row r="72" spans="1:13">
      <c r="A72" t="s">
        <v>275</v>
      </c>
      <c r="B72" t="str">
        <f t="shared" si="1"/>
        <v>I</v>
      </c>
      <c r="C72" t="s">
        <v>533</v>
      </c>
      <c r="D72" s="540">
        <v>5001001000002</v>
      </c>
      <c r="E72" s="541" t="s">
        <v>528</v>
      </c>
      <c r="F72" s="340" t="s">
        <v>146</v>
      </c>
      <c r="G72" s="340" t="s">
        <v>260</v>
      </c>
      <c r="H72" s="544">
        <v>254249.25</v>
      </c>
      <c r="I72" s="544">
        <v>1801594671.3599999</v>
      </c>
      <c r="J72" s="549">
        <v>254249.25</v>
      </c>
      <c r="K72">
        <v>0</v>
      </c>
      <c r="L72">
        <v>0</v>
      </c>
      <c r="M72" s="344">
        <f t="shared" si="3"/>
        <v>254249.25</v>
      </c>
    </row>
    <row r="73" spans="1:13">
      <c r="A73" t="s">
        <v>275</v>
      </c>
      <c r="B73" t="str">
        <f t="shared" si="1"/>
        <v>I</v>
      </c>
      <c r="C73" t="s">
        <v>533</v>
      </c>
      <c r="D73" s="540">
        <v>5001001000007</v>
      </c>
      <c r="E73" s="541" t="s">
        <v>213</v>
      </c>
      <c r="F73" s="340" t="s">
        <v>146</v>
      </c>
      <c r="G73" s="340" t="s">
        <v>260</v>
      </c>
      <c r="H73" s="544">
        <v>7938877.7199999997</v>
      </c>
      <c r="I73" s="544">
        <v>56401962818.389999</v>
      </c>
      <c r="J73" s="549">
        <v>7938877.7199999997</v>
      </c>
      <c r="K73">
        <v>0</v>
      </c>
      <c r="L73">
        <v>0</v>
      </c>
      <c r="M73" s="344">
        <f t="shared" si="3"/>
        <v>7938877.7199999997</v>
      </c>
    </row>
    <row r="74" spans="1:13">
      <c r="A74" t="s">
        <v>275</v>
      </c>
      <c r="B74" t="str">
        <f t="shared" si="1"/>
        <v>NI</v>
      </c>
      <c r="D74" s="540">
        <v>5002</v>
      </c>
      <c r="E74" s="541" t="s">
        <v>350</v>
      </c>
      <c r="F74" s="340" t="s">
        <v>259</v>
      </c>
      <c r="G74" s="340" t="s">
        <v>259</v>
      </c>
      <c r="H74" s="544">
        <v>0</v>
      </c>
      <c r="I74" s="544">
        <v>444719643.02999997</v>
      </c>
      <c r="J74" s="549">
        <v>62968.43</v>
      </c>
      <c r="K74">
        <v>0</v>
      </c>
      <c r="L74">
        <v>0</v>
      </c>
      <c r="M74" s="344">
        <f t="shared" si="3"/>
        <v>62968.43</v>
      </c>
    </row>
    <row r="75" spans="1:13">
      <c r="A75" t="s">
        <v>275</v>
      </c>
      <c r="B75" t="str">
        <f t="shared" si="1"/>
        <v>I</v>
      </c>
      <c r="C75" t="s">
        <v>533</v>
      </c>
      <c r="D75" s="540">
        <v>5002002000002</v>
      </c>
      <c r="E75" s="541" t="s">
        <v>277</v>
      </c>
      <c r="F75" s="340" t="s">
        <v>146</v>
      </c>
      <c r="G75" s="340" t="s">
        <v>260</v>
      </c>
      <c r="H75" s="544">
        <v>491.44</v>
      </c>
      <c r="I75" s="544">
        <v>3442280.51</v>
      </c>
      <c r="J75" s="549">
        <v>491.44</v>
      </c>
      <c r="K75">
        <v>0</v>
      </c>
      <c r="L75">
        <v>0</v>
      </c>
      <c r="M75" s="344">
        <f t="shared" si="3"/>
        <v>491.44</v>
      </c>
    </row>
    <row r="76" spans="1:13">
      <c r="A76" t="s">
        <v>275</v>
      </c>
      <c r="B76" t="str">
        <f t="shared" ref="B76:B84" si="4">IF(LEN(D76)&gt;12,"I","NI")</f>
        <v>I</v>
      </c>
      <c r="C76" t="s">
        <v>533</v>
      </c>
      <c r="D76" s="545">
        <v>5002002000003</v>
      </c>
      <c r="E76" s="339" t="s">
        <v>529</v>
      </c>
      <c r="F76" s="340" t="s">
        <v>146</v>
      </c>
      <c r="G76" s="340" t="s">
        <v>260</v>
      </c>
      <c r="H76" s="544">
        <v>46.85</v>
      </c>
      <c r="I76" s="544">
        <v>328135.52</v>
      </c>
      <c r="J76" s="549">
        <v>46.85</v>
      </c>
      <c r="K76">
        <v>0</v>
      </c>
      <c r="L76">
        <v>0</v>
      </c>
      <c r="M76" s="344">
        <f t="shared" si="3"/>
        <v>46.85</v>
      </c>
    </row>
    <row r="77" spans="1:13">
      <c r="A77" t="s">
        <v>275</v>
      </c>
      <c r="B77" t="str">
        <f t="shared" si="4"/>
        <v>I</v>
      </c>
      <c r="C77" t="s">
        <v>533</v>
      </c>
      <c r="D77" s="545">
        <v>5002002000004</v>
      </c>
      <c r="E77" s="339" t="s">
        <v>215</v>
      </c>
      <c r="F77" s="340" t="s">
        <v>146</v>
      </c>
      <c r="G77" s="340" t="s">
        <v>260</v>
      </c>
      <c r="H77" s="544">
        <v>328.41</v>
      </c>
      <c r="I77" s="544">
        <v>2314342</v>
      </c>
      <c r="J77" s="549">
        <v>328.41</v>
      </c>
      <c r="K77">
        <v>0</v>
      </c>
      <c r="L77">
        <v>0</v>
      </c>
      <c r="M77" s="344">
        <f t="shared" si="3"/>
        <v>328.41</v>
      </c>
    </row>
    <row r="78" spans="1:13">
      <c r="A78" t="s">
        <v>275</v>
      </c>
      <c r="B78" t="str">
        <f t="shared" si="4"/>
        <v>I</v>
      </c>
      <c r="C78" t="s">
        <v>533</v>
      </c>
      <c r="D78" s="603">
        <v>5002002000013</v>
      </c>
      <c r="E78" s="604" t="s">
        <v>279</v>
      </c>
      <c r="F78" s="591" t="s">
        <v>146</v>
      </c>
      <c r="G78" s="591" t="s">
        <v>260</v>
      </c>
      <c r="H78" s="544">
        <v>0</v>
      </c>
      <c r="I78" s="544">
        <v>381389.38</v>
      </c>
      <c r="J78" s="549">
        <v>0</v>
      </c>
      <c r="K78">
        <v>0</v>
      </c>
      <c r="L78">
        <v>0</v>
      </c>
      <c r="M78" s="344">
        <f t="shared" si="3"/>
        <v>0</v>
      </c>
    </row>
    <row r="79" spans="1:13">
      <c r="A79" t="s">
        <v>275</v>
      </c>
      <c r="B79" t="str">
        <f t="shared" si="4"/>
        <v>I</v>
      </c>
      <c r="C79" t="s">
        <v>533</v>
      </c>
      <c r="D79" s="545" t="s">
        <v>280</v>
      </c>
      <c r="E79" s="339" t="s">
        <v>281</v>
      </c>
      <c r="F79" s="592" t="s">
        <v>146</v>
      </c>
      <c r="G79" s="592" t="s">
        <v>260</v>
      </c>
      <c r="H79" s="544">
        <v>1008.16</v>
      </c>
      <c r="I79" s="544">
        <v>6608095.6200000001</v>
      </c>
      <c r="J79" s="549">
        <v>1008.16</v>
      </c>
      <c r="K79">
        <v>0</v>
      </c>
      <c r="L79">
        <v>0</v>
      </c>
      <c r="M79" s="344">
        <f t="shared" si="3"/>
        <v>1008.16</v>
      </c>
    </row>
    <row r="80" spans="1:13">
      <c r="A80" t="s">
        <v>275</v>
      </c>
      <c r="B80" t="str">
        <f t="shared" si="4"/>
        <v>I</v>
      </c>
      <c r="C80" t="s">
        <v>533</v>
      </c>
      <c r="D80" s="545" t="s">
        <v>282</v>
      </c>
      <c r="E80" s="339" t="s">
        <v>283</v>
      </c>
      <c r="F80" s="340" t="s">
        <v>146</v>
      </c>
      <c r="G80" s="340" t="s">
        <v>260</v>
      </c>
      <c r="H80" s="544">
        <v>100.8</v>
      </c>
      <c r="I80" s="544">
        <v>660704.68999999994</v>
      </c>
      <c r="J80" s="549">
        <v>100.8</v>
      </c>
      <c r="K80">
        <v>0</v>
      </c>
      <c r="L80">
        <v>0</v>
      </c>
      <c r="M80" s="344">
        <f t="shared" si="3"/>
        <v>100.8</v>
      </c>
    </row>
    <row r="81" spans="1:13">
      <c r="A81" t="s">
        <v>275</v>
      </c>
      <c r="B81" t="str">
        <f t="shared" si="4"/>
        <v>I</v>
      </c>
      <c r="C81" t="s">
        <v>533</v>
      </c>
      <c r="D81" s="603">
        <v>5002002000016</v>
      </c>
      <c r="E81" s="604" t="s">
        <v>284</v>
      </c>
      <c r="F81" s="592" t="s">
        <v>146</v>
      </c>
      <c r="G81" s="592" t="s">
        <v>260</v>
      </c>
      <c r="H81" s="544">
        <v>0</v>
      </c>
      <c r="I81" s="544">
        <v>38247.31</v>
      </c>
      <c r="J81" s="549">
        <v>0</v>
      </c>
      <c r="K81">
        <v>0</v>
      </c>
      <c r="L81">
        <v>0</v>
      </c>
      <c r="M81" s="344">
        <f t="shared" si="3"/>
        <v>0</v>
      </c>
    </row>
    <row r="82" spans="1:13">
      <c r="A82" t="s">
        <v>275</v>
      </c>
      <c r="B82" t="str">
        <f t="shared" si="4"/>
        <v>NI</v>
      </c>
      <c r="D82" s="545">
        <v>5002002001</v>
      </c>
      <c r="E82" s="339" t="s">
        <v>351</v>
      </c>
      <c r="F82" s="340" t="s">
        <v>259</v>
      </c>
      <c r="G82" s="340" t="s">
        <v>259</v>
      </c>
      <c r="H82" s="544">
        <v>0</v>
      </c>
      <c r="I82" s="544">
        <v>438634885</v>
      </c>
      <c r="J82" s="549">
        <v>62101.73</v>
      </c>
      <c r="K82">
        <v>0</v>
      </c>
      <c r="L82">
        <v>0</v>
      </c>
      <c r="M82" s="344">
        <f t="shared" si="3"/>
        <v>62101.73</v>
      </c>
    </row>
    <row r="83" spans="1:13">
      <c r="A83" t="s">
        <v>275</v>
      </c>
      <c r="B83" t="str">
        <f t="shared" si="4"/>
        <v>I</v>
      </c>
      <c r="C83" t="s">
        <v>533</v>
      </c>
      <c r="D83" s="545">
        <v>5002002001001</v>
      </c>
      <c r="E83" s="339" t="s">
        <v>216</v>
      </c>
      <c r="F83" s="340" t="s">
        <v>146</v>
      </c>
      <c r="G83" s="340" t="s">
        <v>260</v>
      </c>
      <c r="H83" s="544">
        <v>56456.02</v>
      </c>
      <c r="I83" s="544">
        <v>398758987</v>
      </c>
      <c r="J83" s="549">
        <v>56456.02</v>
      </c>
      <c r="K83">
        <v>0</v>
      </c>
      <c r="L83">
        <v>0</v>
      </c>
      <c r="M83" s="344">
        <f t="shared" si="3"/>
        <v>56456.02</v>
      </c>
    </row>
    <row r="84" spans="1:13">
      <c r="A84" t="s">
        <v>275</v>
      </c>
      <c r="B84" t="str">
        <f t="shared" si="4"/>
        <v>I</v>
      </c>
      <c r="C84" t="s">
        <v>533</v>
      </c>
      <c r="D84" s="545">
        <v>5002002001002</v>
      </c>
      <c r="E84" s="339" t="s">
        <v>217</v>
      </c>
      <c r="F84" s="340" t="s">
        <v>146</v>
      </c>
      <c r="G84" s="340" t="s">
        <v>260</v>
      </c>
      <c r="H84" s="542">
        <v>5645.71</v>
      </c>
      <c r="I84" s="542">
        <v>39875898</v>
      </c>
      <c r="J84" s="543">
        <v>5645.71</v>
      </c>
      <c r="K84">
        <v>0</v>
      </c>
      <c r="L84">
        <v>0</v>
      </c>
      <c r="M84" s="344">
        <f t="shared" si="3"/>
        <v>5645.71</v>
      </c>
    </row>
    <row r="85" spans="1:13">
      <c r="H85" s="542"/>
      <c r="I85" s="542"/>
      <c r="J85" s="543"/>
    </row>
    <row r="86" spans="1:13">
      <c r="K86">
        <f>SUM(K7:K85)</f>
        <v>18022.594506356374</v>
      </c>
      <c r="L86">
        <f>SUM(L7:L85)</f>
        <v>18022.59450635637</v>
      </c>
    </row>
    <row r="87" spans="1:13">
      <c r="F87" s="340" t="s">
        <v>286</v>
      </c>
      <c r="G87" s="340" t="s">
        <v>146</v>
      </c>
    </row>
    <row r="88" spans="1:13">
      <c r="A88" t="s">
        <v>287</v>
      </c>
      <c r="F88" s="340">
        <v>0</v>
      </c>
      <c r="G88" s="340">
        <v>0</v>
      </c>
    </row>
    <row r="90" spans="1:13">
      <c r="A90" t="s">
        <v>288</v>
      </c>
      <c r="F90" s="340">
        <v>1641681148.03</v>
      </c>
      <c r="G90" s="340">
        <v>232599.91</v>
      </c>
    </row>
  </sheetData>
  <sheetProtection algorithmName="SHA-512" hashValue="E8OcDhPhB+VvrsFOGi0J3cve1t9LB0392tvN0lthgA54YGkGoqSr/0RE/9YErau+c1/G4F7Fj2iTLUhn9/N6XA==" saltValue="fWqhbKHJpIf7j7EZyeJuPQ==" spinCount="100000" sheet="1" objects="1" scenarios="1"/>
  <autoFilter ref="A5:O84" xr:uid="{4FF94DDF-8929-417D-B8EF-15E6C472CFC2}"/>
  <mergeCells count="1">
    <mergeCell ref="O1:O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tabColor rgb="FFFFC000"/>
  </sheetPr>
  <dimension ref="A1:AO107"/>
  <sheetViews>
    <sheetView showGridLines="0" zoomScale="90" zoomScaleNormal="90" workbookViewId="0">
      <pane xSplit="7" ySplit="3" topLeftCell="H73" activePane="bottomRight" state="frozen"/>
      <selection activeCell="AP40" sqref="AP40"/>
      <selection pane="topRight" activeCell="AP40" sqref="AP40"/>
      <selection pane="bottomLeft" activeCell="AP40" sqref="AP40"/>
      <selection pane="bottomRight" activeCell="AP40" sqref="AP40"/>
    </sheetView>
  </sheetViews>
  <sheetFormatPr baseColWidth="10" defaultColWidth="9.140625" defaultRowHeight="15" customHeight="1"/>
  <cols>
    <col min="1" max="1" width="15.28515625" style="350" customWidth="1"/>
    <col min="2" max="2" width="45.7109375" style="5" customWidth="1"/>
    <col min="3" max="3" width="16.42578125" style="16" customWidth="1"/>
    <col min="4" max="6" width="16.42578125" style="5" customWidth="1"/>
    <col min="7" max="7" width="16.42578125" style="17" customWidth="1"/>
    <col min="8" max="14" width="18.7109375" style="16" customWidth="1"/>
    <col min="15" max="15" width="7" style="5" customWidth="1"/>
    <col min="16" max="249" width="9.140625" style="5"/>
    <col min="250" max="250" width="33.5703125" style="5" customWidth="1"/>
    <col min="251" max="251" width="16" style="5" customWidth="1"/>
    <col min="252" max="253" width="15" style="5" bestFit="1" customWidth="1"/>
    <col min="254" max="254" width="16.5703125" style="5" bestFit="1" customWidth="1"/>
    <col min="255" max="255" width="12.5703125" style="5" customWidth="1"/>
    <col min="256" max="256" width="17.5703125" style="5" bestFit="1" customWidth="1"/>
    <col min="257" max="258" width="18.140625" style="5" bestFit="1" customWidth="1"/>
    <col min="259" max="259" width="12.85546875" style="5" bestFit="1" customWidth="1"/>
    <col min="260" max="261" width="16.5703125" style="5" bestFit="1" customWidth="1"/>
    <col min="262" max="263" width="13.140625" style="5" bestFit="1" customWidth="1"/>
    <col min="264" max="264" width="15.5703125" style="5" bestFit="1" customWidth="1"/>
    <col min="265" max="265" width="13.5703125" style="5" bestFit="1" customWidth="1"/>
    <col min="266" max="268" width="12.42578125" style="5" bestFit="1" customWidth="1"/>
    <col min="269" max="269" width="17.5703125" style="5" bestFit="1" customWidth="1"/>
    <col min="270" max="270" width="12.42578125" style="5" bestFit="1" customWidth="1"/>
    <col min="271" max="271" width="13.42578125" style="5" bestFit="1" customWidth="1"/>
    <col min="272" max="505" width="9.140625" style="5"/>
    <col min="506" max="506" width="33.5703125" style="5" customWidth="1"/>
    <col min="507" max="507" width="16" style="5" customWidth="1"/>
    <col min="508" max="509" width="15" style="5" bestFit="1" customWidth="1"/>
    <col min="510" max="510" width="16.5703125" style="5" bestFit="1" customWidth="1"/>
    <col min="511" max="511" width="12.5703125" style="5" customWidth="1"/>
    <col min="512" max="512" width="17.5703125" style="5" bestFit="1" customWidth="1"/>
    <col min="513" max="514" width="18.140625" style="5" bestFit="1" customWidth="1"/>
    <col min="515" max="515" width="12.85546875" style="5" bestFit="1" customWidth="1"/>
    <col min="516" max="517" width="16.5703125" style="5" bestFit="1" customWidth="1"/>
    <col min="518" max="519" width="13.140625" style="5" bestFit="1" customWidth="1"/>
    <col min="520" max="520" width="15.5703125" style="5" bestFit="1" customWidth="1"/>
    <col min="521" max="521" width="13.5703125" style="5" bestFit="1" customWidth="1"/>
    <col min="522" max="524" width="12.42578125" style="5" bestFit="1" customWidth="1"/>
    <col min="525" max="525" width="17.5703125" style="5" bestFit="1" customWidth="1"/>
    <col min="526" max="526" width="12.42578125" style="5" bestFit="1" customWidth="1"/>
    <col min="527" max="527" width="13.42578125" style="5" bestFit="1" customWidth="1"/>
    <col min="528" max="761" width="9.140625" style="5"/>
    <col min="762" max="762" width="33.5703125" style="5" customWidth="1"/>
    <col min="763" max="763" width="16" style="5" customWidth="1"/>
    <col min="764" max="765" width="15" style="5" bestFit="1" customWidth="1"/>
    <col min="766" max="766" width="16.5703125" style="5" bestFit="1" customWidth="1"/>
    <col min="767" max="767" width="12.5703125" style="5" customWidth="1"/>
    <col min="768" max="768" width="17.5703125" style="5" bestFit="1" customWidth="1"/>
    <col min="769" max="770" width="18.140625" style="5" bestFit="1" customWidth="1"/>
    <col min="771" max="771" width="12.85546875" style="5" bestFit="1" customWidth="1"/>
    <col min="772" max="773" width="16.5703125" style="5" bestFit="1" customWidth="1"/>
    <col min="774" max="775" width="13.140625" style="5" bestFit="1" customWidth="1"/>
    <col min="776" max="776" width="15.5703125" style="5" bestFit="1" customWidth="1"/>
    <col min="777" max="777" width="13.5703125" style="5" bestFit="1" customWidth="1"/>
    <col min="778" max="780" width="12.42578125" style="5" bestFit="1" customWidth="1"/>
    <col min="781" max="781" width="17.5703125" style="5" bestFit="1" customWidth="1"/>
    <col min="782" max="782" width="12.42578125" style="5" bestFit="1" customWidth="1"/>
    <col min="783" max="783" width="13.42578125" style="5" bestFit="1" customWidth="1"/>
    <col min="784" max="1017" width="9.140625" style="5"/>
    <col min="1018" max="1018" width="33.5703125" style="5" customWidth="1"/>
    <col min="1019" max="1019" width="16" style="5" customWidth="1"/>
    <col min="1020" max="1021" width="15" style="5" bestFit="1" customWidth="1"/>
    <col min="1022" max="1022" width="16.5703125" style="5" bestFit="1" customWidth="1"/>
    <col min="1023" max="1023" width="12.5703125" style="5" customWidth="1"/>
    <col min="1024" max="1024" width="17.5703125" style="5" bestFit="1" customWidth="1"/>
    <col min="1025" max="1026" width="18.140625" style="5" bestFit="1" customWidth="1"/>
    <col min="1027" max="1027" width="12.85546875" style="5" bestFit="1" customWidth="1"/>
    <col min="1028" max="1029" width="16.5703125" style="5" bestFit="1" customWidth="1"/>
    <col min="1030" max="1031" width="13.140625" style="5" bestFit="1" customWidth="1"/>
    <col min="1032" max="1032" width="15.5703125" style="5" bestFit="1" customWidth="1"/>
    <col min="1033" max="1033" width="13.5703125" style="5" bestFit="1" customWidth="1"/>
    <col min="1034" max="1036" width="12.42578125" style="5" bestFit="1" customWidth="1"/>
    <col min="1037" max="1037" width="17.5703125" style="5" bestFit="1" customWidth="1"/>
    <col min="1038" max="1038" width="12.42578125" style="5" bestFit="1" customWidth="1"/>
    <col min="1039" max="1039" width="13.42578125" style="5" bestFit="1" customWidth="1"/>
    <col min="1040" max="1273" width="9.140625" style="5"/>
    <col min="1274" max="1274" width="33.5703125" style="5" customWidth="1"/>
    <col min="1275" max="1275" width="16" style="5" customWidth="1"/>
    <col min="1276" max="1277" width="15" style="5" bestFit="1" customWidth="1"/>
    <col min="1278" max="1278" width="16.5703125" style="5" bestFit="1" customWidth="1"/>
    <col min="1279" max="1279" width="12.5703125" style="5" customWidth="1"/>
    <col min="1280" max="1280" width="17.5703125" style="5" bestFit="1" customWidth="1"/>
    <col min="1281" max="1282" width="18.140625" style="5" bestFit="1" customWidth="1"/>
    <col min="1283" max="1283" width="12.85546875" style="5" bestFit="1" customWidth="1"/>
    <col min="1284" max="1285" width="16.5703125" style="5" bestFit="1" customWidth="1"/>
    <col min="1286" max="1287" width="13.140625" style="5" bestFit="1" customWidth="1"/>
    <col min="1288" max="1288" width="15.5703125" style="5" bestFit="1" customWidth="1"/>
    <col min="1289" max="1289" width="13.5703125" style="5" bestFit="1" customWidth="1"/>
    <col min="1290" max="1292" width="12.42578125" style="5" bestFit="1" customWidth="1"/>
    <col min="1293" max="1293" width="17.5703125" style="5" bestFit="1" customWidth="1"/>
    <col min="1294" max="1294" width="12.42578125" style="5" bestFit="1" customWidth="1"/>
    <col min="1295" max="1295" width="13.42578125" style="5" bestFit="1" customWidth="1"/>
    <col min="1296" max="1529" width="9.140625" style="5"/>
    <col min="1530" max="1530" width="33.5703125" style="5" customWidth="1"/>
    <col min="1531" max="1531" width="16" style="5" customWidth="1"/>
    <col min="1532" max="1533" width="15" style="5" bestFit="1" customWidth="1"/>
    <col min="1534" max="1534" width="16.5703125" style="5" bestFit="1" customWidth="1"/>
    <col min="1535" max="1535" width="12.5703125" style="5" customWidth="1"/>
    <col min="1536" max="1536" width="17.5703125" style="5" bestFit="1" customWidth="1"/>
    <col min="1537" max="1538" width="18.140625" style="5" bestFit="1" customWidth="1"/>
    <col min="1539" max="1539" width="12.85546875" style="5" bestFit="1" customWidth="1"/>
    <col min="1540" max="1541" width="16.5703125" style="5" bestFit="1" customWidth="1"/>
    <col min="1542" max="1543" width="13.140625" style="5" bestFit="1" customWidth="1"/>
    <col min="1544" max="1544" width="15.5703125" style="5" bestFit="1" customWidth="1"/>
    <col min="1545" max="1545" width="13.5703125" style="5" bestFit="1" customWidth="1"/>
    <col min="1546" max="1548" width="12.42578125" style="5" bestFit="1" customWidth="1"/>
    <col min="1549" max="1549" width="17.5703125" style="5" bestFit="1" customWidth="1"/>
    <col min="1550" max="1550" width="12.42578125" style="5" bestFit="1" customWidth="1"/>
    <col min="1551" max="1551" width="13.42578125" style="5" bestFit="1" customWidth="1"/>
    <col min="1552" max="1785" width="9.140625" style="5"/>
    <col min="1786" max="1786" width="33.5703125" style="5" customWidth="1"/>
    <col min="1787" max="1787" width="16" style="5" customWidth="1"/>
    <col min="1788" max="1789" width="15" style="5" bestFit="1" customWidth="1"/>
    <col min="1790" max="1790" width="16.5703125" style="5" bestFit="1" customWidth="1"/>
    <col min="1791" max="1791" width="12.5703125" style="5" customWidth="1"/>
    <col min="1792" max="1792" width="17.5703125" style="5" bestFit="1" customWidth="1"/>
    <col min="1793" max="1794" width="18.140625" style="5" bestFit="1" customWidth="1"/>
    <col min="1795" max="1795" width="12.85546875" style="5" bestFit="1" customWidth="1"/>
    <col min="1796" max="1797" width="16.5703125" style="5" bestFit="1" customWidth="1"/>
    <col min="1798" max="1799" width="13.140625" style="5" bestFit="1" customWidth="1"/>
    <col min="1800" max="1800" width="15.5703125" style="5" bestFit="1" customWidth="1"/>
    <col min="1801" max="1801" width="13.5703125" style="5" bestFit="1" customWidth="1"/>
    <col min="1802" max="1804" width="12.42578125" style="5" bestFit="1" customWidth="1"/>
    <col min="1805" max="1805" width="17.5703125" style="5" bestFit="1" customWidth="1"/>
    <col min="1806" max="1806" width="12.42578125" style="5" bestFit="1" customWidth="1"/>
    <col min="1807" max="1807" width="13.42578125" style="5" bestFit="1" customWidth="1"/>
    <col min="1808" max="2041" width="9.140625" style="5"/>
    <col min="2042" max="2042" width="33.5703125" style="5" customWidth="1"/>
    <col min="2043" max="2043" width="16" style="5" customWidth="1"/>
    <col min="2044" max="2045" width="15" style="5" bestFit="1" customWidth="1"/>
    <col min="2046" max="2046" width="16.5703125" style="5" bestFit="1" customWidth="1"/>
    <col min="2047" max="2047" width="12.5703125" style="5" customWidth="1"/>
    <col min="2048" max="2048" width="17.5703125" style="5" bestFit="1" customWidth="1"/>
    <col min="2049" max="2050" width="18.140625" style="5" bestFit="1" customWidth="1"/>
    <col min="2051" max="2051" width="12.85546875" style="5" bestFit="1" customWidth="1"/>
    <col min="2052" max="2053" width="16.5703125" style="5" bestFit="1" customWidth="1"/>
    <col min="2054" max="2055" width="13.140625" style="5" bestFit="1" customWidth="1"/>
    <col min="2056" max="2056" width="15.5703125" style="5" bestFit="1" customWidth="1"/>
    <col min="2057" max="2057" width="13.5703125" style="5" bestFit="1" customWidth="1"/>
    <col min="2058" max="2060" width="12.42578125" style="5" bestFit="1" customWidth="1"/>
    <col min="2061" max="2061" width="17.5703125" style="5" bestFit="1" customWidth="1"/>
    <col min="2062" max="2062" width="12.42578125" style="5" bestFit="1" customWidth="1"/>
    <col min="2063" max="2063" width="13.42578125" style="5" bestFit="1" customWidth="1"/>
    <col min="2064" max="2297" width="9.140625" style="5"/>
    <col min="2298" max="2298" width="33.5703125" style="5" customWidth="1"/>
    <col min="2299" max="2299" width="16" style="5" customWidth="1"/>
    <col min="2300" max="2301" width="15" style="5" bestFit="1" customWidth="1"/>
    <col min="2302" max="2302" width="16.5703125" style="5" bestFit="1" customWidth="1"/>
    <col min="2303" max="2303" width="12.5703125" style="5" customWidth="1"/>
    <col min="2304" max="2304" width="17.5703125" style="5" bestFit="1" customWidth="1"/>
    <col min="2305" max="2306" width="18.140625" style="5" bestFit="1" customWidth="1"/>
    <col min="2307" max="2307" width="12.85546875" style="5" bestFit="1" customWidth="1"/>
    <col min="2308" max="2309" width="16.5703125" style="5" bestFit="1" customWidth="1"/>
    <col min="2310" max="2311" width="13.140625" style="5" bestFit="1" customWidth="1"/>
    <col min="2312" max="2312" width="15.5703125" style="5" bestFit="1" customWidth="1"/>
    <col min="2313" max="2313" width="13.5703125" style="5" bestFit="1" customWidth="1"/>
    <col min="2314" max="2316" width="12.42578125" style="5" bestFit="1" customWidth="1"/>
    <col min="2317" max="2317" width="17.5703125" style="5" bestFit="1" customWidth="1"/>
    <col min="2318" max="2318" width="12.42578125" style="5" bestFit="1" customWidth="1"/>
    <col min="2319" max="2319" width="13.42578125" style="5" bestFit="1" customWidth="1"/>
    <col min="2320" max="2553" width="9.140625" style="5"/>
    <col min="2554" max="2554" width="33.5703125" style="5" customWidth="1"/>
    <col min="2555" max="2555" width="16" style="5" customWidth="1"/>
    <col min="2556" max="2557" width="15" style="5" bestFit="1" customWidth="1"/>
    <col min="2558" max="2558" width="16.5703125" style="5" bestFit="1" customWidth="1"/>
    <col min="2559" max="2559" width="12.5703125" style="5" customWidth="1"/>
    <col min="2560" max="2560" width="17.5703125" style="5" bestFit="1" customWidth="1"/>
    <col min="2561" max="2562" width="18.140625" style="5" bestFit="1" customWidth="1"/>
    <col min="2563" max="2563" width="12.85546875" style="5" bestFit="1" customWidth="1"/>
    <col min="2564" max="2565" width="16.5703125" style="5" bestFit="1" customWidth="1"/>
    <col min="2566" max="2567" width="13.140625" style="5" bestFit="1" customWidth="1"/>
    <col min="2568" max="2568" width="15.5703125" style="5" bestFit="1" customWidth="1"/>
    <col min="2569" max="2569" width="13.5703125" style="5" bestFit="1" customWidth="1"/>
    <col min="2570" max="2572" width="12.42578125" style="5" bestFit="1" customWidth="1"/>
    <col min="2573" max="2573" width="17.5703125" style="5" bestFit="1" customWidth="1"/>
    <col min="2574" max="2574" width="12.42578125" style="5" bestFit="1" customWidth="1"/>
    <col min="2575" max="2575" width="13.42578125" style="5" bestFit="1" customWidth="1"/>
    <col min="2576" max="2809" width="9.140625" style="5"/>
    <col min="2810" max="2810" width="33.5703125" style="5" customWidth="1"/>
    <col min="2811" max="2811" width="16" style="5" customWidth="1"/>
    <col min="2812" max="2813" width="15" style="5" bestFit="1" customWidth="1"/>
    <col min="2814" max="2814" width="16.5703125" style="5" bestFit="1" customWidth="1"/>
    <col min="2815" max="2815" width="12.5703125" style="5" customWidth="1"/>
    <col min="2816" max="2816" width="17.5703125" style="5" bestFit="1" customWidth="1"/>
    <col min="2817" max="2818" width="18.140625" style="5" bestFit="1" customWidth="1"/>
    <col min="2819" max="2819" width="12.85546875" style="5" bestFit="1" customWidth="1"/>
    <col min="2820" max="2821" width="16.5703125" style="5" bestFit="1" customWidth="1"/>
    <col min="2822" max="2823" width="13.140625" style="5" bestFit="1" customWidth="1"/>
    <col min="2824" max="2824" width="15.5703125" style="5" bestFit="1" customWidth="1"/>
    <col min="2825" max="2825" width="13.5703125" style="5" bestFit="1" customWidth="1"/>
    <col min="2826" max="2828" width="12.42578125" style="5" bestFit="1" customWidth="1"/>
    <col min="2829" max="2829" width="17.5703125" style="5" bestFit="1" customWidth="1"/>
    <col min="2830" max="2830" width="12.42578125" style="5" bestFit="1" customWidth="1"/>
    <col min="2831" max="2831" width="13.42578125" style="5" bestFit="1" customWidth="1"/>
    <col min="2832" max="3065" width="9.140625" style="5"/>
    <col min="3066" max="3066" width="33.5703125" style="5" customWidth="1"/>
    <col min="3067" max="3067" width="16" style="5" customWidth="1"/>
    <col min="3068" max="3069" width="15" style="5" bestFit="1" customWidth="1"/>
    <col min="3070" max="3070" width="16.5703125" style="5" bestFit="1" customWidth="1"/>
    <col min="3071" max="3071" width="12.5703125" style="5" customWidth="1"/>
    <col min="3072" max="3072" width="17.5703125" style="5" bestFit="1" customWidth="1"/>
    <col min="3073" max="3074" width="18.140625" style="5" bestFit="1" customWidth="1"/>
    <col min="3075" max="3075" width="12.85546875" style="5" bestFit="1" customWidth="1"/>
    <col min="3076" max="3077" width="16.5703125" style="5" bestFit="1" customWidth="1"/>
    <col min="3078" max="3079" width="13.140625" style="5" bestFit="1" customWidth="1"/>
    <col min="3080" max="3080" width="15.5703125" style="5" bestFit="1" customWidth="1"/>
    <col min="3081" max="3081" width="13.5703125" style="5" bestFit="1" customWidth="1"/>
    <col min="3082" max="3084" width="12.42578125" style="5" bestFit="1" customWidth="1"/>
    <col min="3085" max="3085" width="17.5703125" style="5" bestFit="1" customWidth="1"/>
    <col min="3086" max="3086" width="12.42578125" style="5" bestFit="1" customWidth="1"/>
    <col min="3087" max="3087" width="13.42578125" style="5" bestFit="1" customWidth="1"/>
    <col min="3088" max="3321" width="9.140625" style="5"/>
    <col min="3322" max="3322" width="33.5703125" style="5" customWidth="1"/>
    <col min="3323" max="3323" width="16" style="5" customWidth="1"/>
    <col min="3324" max="3325" width="15" style="5" bestFit="1" customWidth="1"/>
    <col min="3326" max="3326" width="16.5703125" style="5" bestFit="1" customWidth="1"/>
    <col min="3327" max="3327" width="12.5703125" style="5" customWidth="1"/>
    <col min="3328" max="3328" width="17.5703125" style="5" bestFit="1" customWidth="1"/>
    <col min="3329" max="3330" width="18.140625" style="5" bestFit="1" customWidth="1"/>
    <col min="3331" max="3331" width="12.85546875" style="5" bestFit="1" customWidth="1"/>
    <col min="3332" max="3333" width="16.5703125" style="5" bestFit="1" customWidth="1"/>
    <col min="3334" max="3335" width="13.140625" style="5" bestFit="1" customWidth="1"/>
    <col min="3336" max="3336" width="15.5703125" style="5" bestFit="1" customWidth="1"/>
    <col min="3337" max="3337" width="13.5703125" style="5" bestFit="1" customWidth="1"/>
    <col min="3338" max="3340" width="12.42578125" style="5" bestFit="1" customWidth="1"/>
    <col min="3341" max="3341" width="17.5703125" style="5" bestFit="1" customWidth="1"/>
    <col min="3342" max="3342" width="12.42578125" style="5" bestFit="1" customWidth="1"/>
    <col min="3343" max="3343" width="13.42578125" style="5" bestFit="1" customWidth="1"/>
    <col min="3344" max="3577" width="9.140625" style="5"/>
    <col min="3578" max="3578" width="33.5703125" style="5" customWidth="1"/>
    <col min="3579" max="3579" width="16" style="5" customWidth="1"/>
    <col min="3580" max="3581" width="15" style="5" bestFit="1" customWidth="1"/>
    <col min="3582" max="3582" width="16.5703125" style="5" bestFit="1" customWidth="1"/>
    <col min="3583" max="3583" width="12.5703125" style="5" customWidth="1"/>
    <col min="3584" max="3584" width="17.5703125" style="5" bestFit="1" customWidth="1"/>
    <col min="3585" max="3586" width="18.140625" style="5" bestFit="1" customWidth="1"/>
    <col min="3587" max="3587" width="12.85546875" style="5" bestFit="1" customWidth="1"/>
    <col min="3588" max="3589" width="16.5703125" style="5" bestFit="1" customWidth="1"/>
    <col min="3590" max="3591" width="13.140625" style="5" bestFit="1" customWidth="1"/>
    <col min="3592" max="3592" width="15.5703125" style="5" bestFit="1" customWidth="1"/>
    <col min="3593" max="3593" width="13.5703125" style="5" bestFit="1" customWidth="1"/>
    <col min="3594" max="3596" width="12.42578125" style="5" bestFit="1" customWidth="1"/>
    <col min="3597" max="3597" width="17.5703125" style="5" bestFit="1" customWidth="1"/>
    <col min="3598" max="3598" width="12.42578125" style="5" bestFit="1" customWidth="1"/>
    <col min="3599" max="3599" width="13.42578125" style="5" bestFit="1" customWidth="1"/>
    <col min="3600" max="3833" width="9.140625" style="5"/>
    <col min="3834" max="3834" width="33.5703125" style="5" customWidth="1"/>
    <col min="3835" max="3835" width="16" style="5" customWidth="1"/>
    <col min="3836" max="3837" width="15" style="5" bestFit="1" customWidth="1"/>
    <col min="3838" max="3838" width="16.5703125" style="5" bestFit="1" customWidth="1"/>
    <col min="3839" max="3839" width="12.5703125" style="5" customWidth="1"/>
    <col min="3840" max="3840" width="17.5703125" style="5" bestFit="1" customWidth="1"/>
    <col min="3841" max="3842" width="18.140625" style="5" bestFit="1" customWidth="1"/>
    <col min="3843" max="3843" width="12.85546875" style="5" bestFit="1" customWidth="1"/>
    <col min="3844" max="3845" width="16.5703125" style="5" bestFit="1" customWidth="1"/>
    <col min="3846" max="3847" width="13.140625" style="5" bestFit="1" customWidth="1"/>
    <col min="3848" max="3848" width="15.5703125" style="5" bestFit="1" customWidth="1"/>
    <col min="3849" max="3849" width="13.5703125" style="5" bestFit="1" customWidth="1"/>
    <col min="3850" max="3852" width="12.42578125" style="5" bestFit="1" customWidth="1"/>
    <col min="3853" max="3853" width="17.5703125" style="5" bestFit="1" customWidth="1"/>
    <col min="3854" max="3854" width="12.42578125" style="5" bestFit="1" customWidth="1"/>
    <col min="3855" max="3855" width="13.42578125" style="5" bestFit="1" customWidth="1"/>
    <col min="3856" max="4089" width="9.140625" style="5"/>
    <col min="4090" max="4090" width="33.5703125" style="5" customWidth="1"/>
    <col min="4091" max="4091" width="16" style="5" customWidth="1"/>
    <col min="4092" max="4093" width="15" style="5" bestFit="1" customWidth="1"/>
    <col min="4094" max="4094" width="16.5703125" style="5" bestFit="1" customWidth="1"/>
    <col min="4095" max="4095" width="12.5703125" style="5" customWidth="1"/>
    <col min="4096" max="4096" width="17.5703125" style="5" bestFit="1" customWidth="1"/>
    <col min="4097" max="4098" width="18.140625" style="5" bestFit="1" customWidth="1"/>
    <col min="4099" max="4099" width="12.85546875" style="5" bestFit="1" customWidth="1"/>
    <col min="4100" max="4101" width="16.5703125" style="5" bestFit="1" customWidth="1"/>
    <col min="4102" max="4103" width="13.140625" style="5" bestFit="1" customWidth="1"/>
    <col min="4104" max="4104" width="15.5703125" style="5" bestFit="1" customWidth="1"/>
    <col min="4105" max="4105" width="13.5703125" style="5" bestFit="1" customWidth="1"/>
    <col min="4106" max="4108" width="12.42578125" style="5" bestFit="1" customWidth="1"/>
    <col min="4109" max="4109" width="17.5703125" style="5" bestFit="1" customWidth="1"/>
    <col min="4110" max="4110" width="12.42578125" style="5" bestFit="1" customWidth="1"/>
    <col min="4111" max="4111" width="13.42578125" style="5" bestFit="1" customWidth="1"/>
    <col min="4112" max="4345" width="9.140625" style="5"/>
    <col min="4346" max="4346" width="33.5703125" style="5" customWidth="1"/>
    <col min="4347" max="4347" width="16" style="5" customWidth="1"/>
    <col min="4348" max="4349" width="15" style="5" bestFit="1" customWidth="1"/>
    <col min="4350" max="4350" width="16.5703125" style="5" bestFit="1" customWidth="1"/>
    <col min="4351" max="4351" width="12.5703125" style="5" customWidth="1"/>
    <col min="4352" max="4352" width="17.5703125" style="5" bestFit="1" customWidth="1"/>
    <col min="4353" max="4354" width="18.140625" style="5" bestFit="1" customWidth="1"/>
    <col min="4355" max="4355" width="12.85546875" style="5" bestFit="1" customWidth="1"/>
    <col min="4356" max="4357" width="16.5703125" style="5" bestFit="1" customWidth="1"/>
    <col min="4358" max="4359" width="13.140625" style="5" bestFit="1" customWidth="1"/>
    <col min="4360" max="4360" width="15.5703125" style="5" bestFit="1" customWidth="1"/>
    <col min="4361" max="4361" width="13.5703125" style="5" bestFit="1" customWidth="1"/>
    <col min="4362" max="4364" width="12.42578125" style="5" bestFit="1" customWidth="1"/>
    <col min="4365" max="4365" width="17.5703125" style="5" bestFit="1" customWidth="1"/>
    <col min="4366" max="4366" width="12.42578125" style="5" bestFit="1" customWidth="1"/>
    <col min="4367" max="4367" width="13.42578125" style="5" bestFit="1" customWidth="1"/>
    <col min="4368" max="4601" width="9.140625" style="5"/>
    <col min="4602" max="4602" width="33.5703125" style="5" customWidth="1"/>
    <col min="4603" max="4603" width="16" style="5" customWidth="1"/>
    <col min="4604" max="4605" width="15" style="5" bestFit="1" customWidth="1"/>
    <col min="4606" max="4606" width="16.5703125" style="5" bestFit="1" customWidth="1"/>
    <col min="4607" max="4607" width="12.5703125" style="5" customWidth="1"/>
    <col min="4608" max="4608" width="17.5703125" style="5" bestFit="1" customWidth="1"/>
    <col min="4609" max="4610" width="18.140625" style="5" bestFit="1" customWidth="1"/>
    <col min="4611" max="4611" width="12.85546875" style="5" bestFit="1" customWidth="1"/>
    <col min="4612" max="4613" width="16.5703125" style="5" bestFit="1" customWidth="1"/>
    <col min="4614" max="4615" width="13.140625" style="5" bestFit="1" customWidth="1"/>
    <col min="4616" max="4616" width="15.5703125" style="5" bestFit="1" customWidth="1"/>
    <col min="4617" max="4617" width="13.5703125" style="5" bestFit="1" customWidth="1"/>
    <col min="4618" max="4620" width="12.42578125" style="5" bestFit="1" customWidth="1"/>
    <col min="4621" max="4621" width="17.5703125" style="5" bestFit="1" customWidth="1"/>
    <col min="4622" max="4622" width="12.42578125" style="5" bestFit="1" customWidth="1"/>
    <col min="4623" max="4623" width="13.42578125" style="5" bestFit="1" customWidth="1"/>
    <col min="4624" max="4857" width="9.140625" style="5"/>
    <col min="4858" max="4858" width="33.5703125" style="5" customWidth="1"/>
    <col min="4859" max="4859" width="16" style="5" customWidth="1"/>
    <col min="4860" max="4861" width="15" style="5" bestFit="1" customWidth="1"/>
    <col min="4862" max="4862" width="16.5703125" style="5" bestFit="1" customWidth="1"/>
    <col min="4863" max="4863" width="12.5703125" style="5" customWidth="1"/>
    <col min="4864" max="4864" width="17.5703125" style="5" bestFit="1" customWidth="1"/>
    <col min="4865" max="4866" width="18.140625" style="5" bestFit="1" customWidth="1"/>
    <col min="4867" max="4867" width="12.85546875" style="5" bestFit="1" customWidth="1"/>
    <col min="4868" max="4869" width="16.5703125" style="5" bestFit="1" customWidth="1"/>
    <col min="4870" max="4871" width="13.140625" style="5" bestFit="1" customWidth="1"/>
    <col min="4872" max="4872" width="15.5703125" style="5" bestFit="1" customWidth="1"/>
    <col min="4873" max="4873" width="13.5703125" style="5" bestFit="1" customWidth="1"/>
    <col min="4874" max="4876" width="12.42578125" style="5" bestFit="1" customWidth="1"/>
    <col min="4877" max="4877" width="17.5703125" style="5" bestFit="1" customWidth="1"/>
    <col min="4878" max="4878" width="12.42578125" style="5" bestFit="1" customWidth="1"/>
    <col min="4879" max="4879" width="13.42578125" style="5" bestFit="1" customWidth="1"/>
    <col min="4880" max="5113" width="9.140625" style="5"/>
    <col min="5114" max="5114" width="33.5703125" style="5" customWidth="1"/>
    <col min="5115" max="5115" width="16" style="5" customWidth="1"/>
    <col min="5116" max="5117" width="15" style="5" bestFit="1" customWidth="1"/>
    <col min="5118" max="5118" width="16.5703125" style="5" bestFit="1" customWidth="1"/>
    <col min="5119" max="5119" width="12.5703125" style="5" customWidth="1"/>
    <col min="5120" max="5120" width="17.5703125" style="5" bestFit="1" customWidth="1"/>
    <col min="5121" max="5122" width="18.140625" style="5" bestFit="1" customWidth="1"/>
    <col min="5123" max="5123" width="12.85546875" style="5" bestFit="1" customWidth="1"/>
    <col min="5124" max="5125" width="16.5703125" style="5" bestFit="1" customWidth="1"/>
    <col min="5126" max="5127" width="13.140625" style="5" bestFit="1" customWidth="1"/>
    <col min="5128" max="5128" width="15.5703125" style="5" bestFit="1" customWidth="1"/>
    <col min="5129" max="5129" width="13.5703125" style="5" bestFit="1" customWidth="1"/>
    <col min="5130" max="5132" width="12.42578125" style="5" bestFit="1" customWidth="1"/>
    <col min="5133" max="5133" width="17.5703125" style="5" bestFit="1" customWidth="1"/>
    <col min="5134" max="5134" width="12.42578125" style="5" bestFit="1" customWidth="1"/>
    <col min="5135" max="5135" width="13.42578125" style="5" bestFit="1" customWidth="1"/>
    <col min="5136" max="5369" width="9.140625" style="5"/>
    <col min="5370" max="5370" width="33.5703125" style="5" customWidth="1"/>
    <col min="5371" max="5371" width="16" style="5" customWidth="1"/>
    <col min="5372" max="5373" width="15" style="5" bestFit="1" customWidth="1"/>
    <col min="5374" max="5374" width="16.5703125" style="5" bestFit="1" customWidth="1"/>
    <col min="5375" max="5375" width="12.5703125" style="5" customWidth="1"/>
    <col min="5376" max="5376" width="17.5703125" style="5" bestFit="1" customWidth="1"/>
    <col min="5377" max="5378" width="18.140625" style="5" bestFit="1" customWidth="1"/>
    <col min="5379" max="5379" width="12.85546875" style="5" bestFit="1" customWidth="1"/>
    <col min="5380" max="5381" width="16.5703125" style="5" bestFit="1" customWidth="1"/>
    <col min="5382" max="5383" width="13.140625" style="5" bestFit="1" customWidth="1"/>
    <col min="5384" max="5384" width="15.5703125" style="5" bestFit="1" customWidth="1"/>
    <col min="5385" max="5385" width="13.5703125" style="5" bestFit="1" customWidth="1"/>
    <col min="5386" max="5388" width="12.42578125" style="5" bestFit="1" customWidth="1"/>
    <col min="5389" max="5389" width="17.5703125" style="5" bestFit="1" customWidth="1"/>
    <col min="5390" max="5390" width="12.42578125" style="5" bestFit="1" customWidth="1"/>
    <col min="5391" max="5391" width="13.42578125" style="5" bestFit="1" customWidth="1"/>
    <col min="5392" max="5625" width="9.140625" style="5"/>
    <col min="5626" max="5626" width="33.5703125" style="5" customWidth="1"/>
    <col min="5627" max="5627" width="16" style="5" customWidth="1"/>
    <col min="5628" max="5629" width="15" style="5" bestFit="1" customWidth="1"/>
    <col min="5630" max="5630" width="16.5703125" style="5" bestFit="1" customWidth="1"/>
    <col min="5631" max="5631" width="12.5703125" style="5" customWidth="1"/>
    <col min="5632" max="5632" width="17.5703125" style="5" bestFit="1" customWidth="1"/>
    <col min="5633" max="5634" width="18.140625" style="5" bestFit="1" customWidth="1"/>
    <col min="5635" max="5635" width="12.85546875" style="5" bestFit="1" customWidth="1"/>
    <col min="5636" max="5637" width="16.5703125" style="5" bestFit="1" customWidth="1"/>
    <col min="5638" max="5639" width="13.140625" style="5" bestFit="1" customWidth="1"/>
    <col min="5640" max="5640" width="15.5703125" style="5" bestFit="1" customWidth="1"/>
    <col min="5641" max="5641" width="13.5703125" style="5" bestFit="1" customWidth="1"/>
    <col min="5642" max="5644" width="12.42578125" style="5" bestFit="1" customWidth="1"/>
    <col min="5645" max="5645" width="17.5703125" style="5" bestFit="1" customWidth="1"/>
    <col min="5646" max="5646" width="12.42578125" style="5" bestFit="1" customWidth="1"/>
    <col min="5647" max="5647" width="13.42578125" style="5" bestFit="1" customWidth="1"/>
    <col min="5648" max="5881" width="9.140625" style="5"/>
    <col min="5882" max="5882" width="33.5703125" style="5" customWidth="1"/>
    <col min="5883" max="5883" width="16" style="5" customWidth="1"/>
    <col min="5884" max="5885" width="15" style="5" bestFit="1" customWidth="1"/>
    <col min="5886" max="5886" width="16.5703125" style="5" bestFit="1" customWidth="1"/>
    <col min="5887" max="5887" width="12.5703125" style="5" customWidth="1"/>
    <col min="5888" max="5888" width="17.5703125" style="5" bestFit="1" customWidth="1"/>
    <col min="5889" max="5890" width="18.140625" style="5" bestFit="1" customWidth="1"/>
    <col min="5891" max="5891" width="12.85546875" style="5" bestFit="1" customWidth="1"/>
    <col min="5892" max="5893" width="16.5703125" style="5" bestFit="1" customWidth="1"/>
    <col min="5894" max="5895" width="13.140625" style="5" bestFit="1" customWidth="1"/>
    <col min="5896" max="5896" width="15.5703125" style="5" bestFit="1" customWidth="1"/>
    <col min="5897" max="5897" width="13.5703125" style="5" bestFit="1" customWidth="1"/>
    <col min="5898" max="5900" width="12.42578125" style="5" bestFit="1" customWidth="1"/>
    <col min="5901" max="5901" width="17.5703125" style="5" bestFit="1" customWidth="1"/>
    <col min="5902" max="5902" width="12.42578125" style="5" bestFit="1" customWidth="1"/>
    <col min="5903" max="5903" width="13.42578125" style="5" bestFit="1" customWidth="1"/>
    <col min="5904" max="6137" width="9.140625" style="5"/>
    <col min="6138" max="6138" width="33.5703125" style="5" customWidth="1"/>
    <col min="6139" max="6139" width="16" style="5" customWidth="1"/>
    <col min="6140" max="6141" width="15" style="5" bestFit="1" customWidth="1"/>
    <col min="6142" max="6142" width="16.5703125" style="5" bestFit="1" customWidth="1"/>
    <col min="6143" max="6143" width="12.5703125" style="5" customWidth="1"/>
    <col min="6144" max="6144" width="17.5703125" style="5" bestFit="1" customWidth="1"/>
    <col min="6145" max="6146" width="18.140625" style="5" bestFit="1" customWidth="1"/>
    <col min="6147" max="6147" width="12.85546875" style="5" bestFit="1" customWidth="1"/>
    <col min="6148" max="6149" width="16.5703125" style="5" bestFit="1" customWidth="1"/>
    <col min="6150" max="6151" width="13.140625" style="5" bestFit="1" customWidth="1"/>
    <col min="6152" max="6152" width="15.5703125" style="5" bestFit="1" customWidth="1"/>
    <col min="6153" max="6153" width="13.5703125" style="5" bestFit="1" customWidth="1"/>
    <col min="6154" max="6156" width="12.42578125" style="5" bestFit="1" customWidth="1"/>
    <col min="6157" max="6157" width="17.5703125" style="5" bestFit="1" customWidth="1"/>
    <col min="6158" max="6158" width="12.42578125" style="5" bestFit="1" customWidth="1"/>
    <col min="6159" max="6159" width="13.42578125" style="5" bestFit="1" customWidth="1"/>
    <col min="6160" max="6393" width="9.140625" style="5"/>
    <col min="6394" max="6394" width="33.5703125" style="5" customWidth="1"/>
    <col min="6395" max="6395" width="16" style="5" customWidth="1"/>
    <col min="6396" max="6397" width="15" style="5" bestFit="1" customWidth="1"/>
    <col min="6398" max="6398" width="16.5703125" style="5" bestFit="1" customWidth="1"/>
    <col min="6399" max="6399" width="12.5703125" style="5" customWidth="1"/>
    <col min="6400" max="6400" width="17.5703125" style="5" bestFit="1" customWidth="1"/>
    <col min="6401" max="6402" width="18.140625" style="5" bestFit="1" customWidth="1"/>
    <col min="6403" max="6403" width="12.85546875" style="5" bestFit="1" customWidth="1"/>
    <col min="6404" max="6405" width="16.5703125" style="5" bestFit="1" customWidth="1"/>
    <col min="6406" max="6407" width="13.140625" style="5" bestFit="1" customWidth="1"/>
    <col min="6408" max="6408" width="15.5703125" style="5" bestFit="1" customWidth="1"/>
    <col min="6409" max="6409" width="13.5703125" style="5" bestFit="1" customWidth="1"/>
    <col min="6410" max="6412" width="12.42578125" style="5" bestFit="1" customWidth="1"/>
    <col min="6413" max="6413" width="17.5703125" style="5" bestFit="1" customWidth="1"/>
    <col min="6414" max="6414" width="12.42578125" style="5" bestFit="1" customWidth="1"/>
    <col min="6415" max="6415" width="13.42578125" style="5" bestFit="1" customWidth="1"/>
    <col min="6416" max="6649" width="9.140625" style="5"/>
    <col min="6650" max="6650" width="33.5703125" style="5" customWidth="1"/>
    <col min="6651" max="6651" width="16" style="5" customWidth="1"/>
    <col min="6652" max="6653" width="15" style="5" bestFit="1" customWidth="1"/>
    <col min="6654" max="6654" width="16.5703125" style="5" bestFit="1" customWidth="1"/>
    <col min="6655" max="6655" width="12.5703125" style="5" customWidth="1"/>
    <col min="6656" max="6656" width="17.5703125" style="5" bestFit="1" customWidth="1"/>
    <col min="6657" max="6658" width="18.140625" style="5" bestFit="1" customWidth="1"/>
    <col min="6659" max="6659" width="12.85546875" style="5" bestFit="1" customWidth="1"/>
    <col min="6660" max="6661" width="16.5703125" style="5" bestFit="1" customWidth="1"/>
    <col min="6662" max="6663" width="13.140625" style="5" bestFit="1" customWidth="1"/>
    <col min="6664" max="6664" width="15.5703125" style="5" bestFit="1" customWidth="1"/>
    <col min="6665" max="6665" width="13.5703125" style="5" bestFit="1" customWidth="1"/>
    <col min="6666" max="6668" width="12.42578125" style="5" bestFit="1" customWidth="1"/>
    <col min="6669" max="6669" width="17.5703125" style="5" bestFit="1" customWidth="1"/>
    <col min="6670" max="6670" width="12.42578125" style="5" bestFit="1" customWidth="1"/>
    <col min="6671" max="6671" width="13.42578125" style="5" bestFit="1" customWidth="1"/>
    <col min="6672" max="6905" width="9.140625" style="5"/>
    <col min="6906" max="6906" width="33.5703125" style="5" customWidth="1"/>
    <col min="6907" max="6907" width="16" style="5" customWidth="1"/>
    <col min="6908" max="6909" width="15" style="5" bestFit="1" customWidth="1"/>
    <col min="6910" max="6910" width="16.5703125" style="5" bestFit="1" customWidth="1"/>
    <col min="6911" max="6911" width="12.5703125" style="5" customWidth="1"/>
    <col min="6912" max="6912" width="17.5703125" style="5" bestFit="1" customWidth="1"/>
    <col min="6913" max="6914" width="18.140625" style="5" bestFit="1" customWidth="1"/>
    <col min="6915" max="6915" width="12.85546875" style="5" bestFit="1" customWidth="1"/>
    <col min="6916" max="6917" width="16.5703125" style="5" bestFit="1" customWidth="1"/>
    <col min="6918" max="6919" width="13.140625" style="5" bestFit="1" customWidth="1"/>
    <col min="6920" max="6920" width="15.5703125" style="5" bestFit="1" customWidth="1"/>
    <col min="6921" max="6921" width="13.5703125" style="5" bestFit="1" customWidth="1"/>
    <col min="6922" max="6924" width="12.42578125" style="5" bestFit="1" customWidth="1"/>
    <col min="6925" max="6925" width="17.5703125" style="5" bestFit="1" customWidth="1"/>
    <col min="6926" max="6926" width="12.42578125" style="5" bestFit="1" customWidth="1"/>
    <col min="6927" max="6927" width="13.42578125" style="5" bestFit="1" customWidth="1"/>
    <col min="6928" max="7161" width="9.140625" style="5"/>
    <col min="7162" max="7162" width="33.5703125" style="5" customWidth="1"/>
    <col min="7163" max="7163" width="16" style="5" customWidth="1"/>
    <col min="7164" max="7165" width="15" style="5" bestFit="1" customWidth="1"/>
    <col min="7166" max="7166" width="16.5703125" style="5" bestFit="1" customWidth="1"/>
    <col min="7167" max="7167" width="12.5703125" style="5" customWidth="1"/>
    <col min="7168" max="7168" width="17.5703125" style="5" bestFit="1" customWidth="1"/>
    <col min="7169" max="7170" width="18.140625" style="5" bestFit="1" customWidth="1"/>
    <col min="7171" max="7171" width="12.85546875" style="5" bestFit="1" customWidth="1"/>
    <col min="7172" max="7173" width="16.5703125" style="5" bestFit="1" customWidth="1"/>
    <col min="7174" max="7175" width="13.140625" style="5" bestFit="1" customWidth="1"/>
    <col min="7176" max="7176" width="15.5703125" style="5" bestFit="1" customWidth="1"/>
    <col min="7177" max="7177" width="13.5703125" style="5" bestFit="1" customWidth="1"/>
    <col min="7178" max="7180" width="12.42578125" style="5" bestFit="1" customWidth="1"/>
    <col min="7181" max="7181" width="17.5703125" style="5" bestFit="1" customWidth="1"/>
    <col min="7182" max="7182" width="12.42578125" style="5" bestFit="1" customWidth="1"/>
    <col min="7183" max="7183" width="13.42578125" style="5" bestFit="1" customWidth="1"/>
    <col min="7184" max="7417" width="9.140625" style="5"/>
    <col min="7418" max="7418" width="33.5703125" style="5" customWidth="1"/>
    <col min="7419" max="7419" width="16" style="5" customWidth="1"/>
    <col min="7420" max="7421" width="15" style="5" bestFit="1" customWidth="1"/>
    <col min="7422" max="7422" width="16.5703125" style="5" bestFit="1" customWidth="1"/>
    <col min="7423" max="7423" width="12.5703125" style="5" customWidth="1"/>
    <col min="7424" max="7424" width="17.5703125" style="5" bestFit="1" customWidth="1"/>
    <col min="7425" max="7426" width="18.140625" style="5" bestFit="1" customWidth="1"/>
    <col min="7427" max="7427" width="12.85546875" style="5" bestFit="1" customWidth="1"/>
    <col min="7428" max="7429" width="16.5703125" style="5" bestFit="1" customWidth="1"/>
    <col min="7430" max="7431" width="13.140625" style="5" bestFit="1" customWidth="1"/>
    <col min="7432" max="7432" width="15.5703125" style="5" bestFit="1" customWidth="1"/>
    <col min="7433" max="7433" width="13.5703125" style="5" bestFit="1" customWidth="1"/>
    <col min="7434" max="7436" width="12.42578125" style="5" bestFit="1" customWidth="1"/>
    <col min="7437" max="7437" width="17.5703125" style="5" bestFit="1" customWidth="1"/>
    <col min="7438" max="7438" width="12.42578125" style="5" bestFit="1" customWidth="1"/>
    <col min="7439" max="7439" width="13.42578125" style="5" bestFit="1" customWidth="1"/>
    <col min="7440" max="7673" width="9.140625" style="5"/>
    <col min="7674" max="7674" width="33.5703125" style="5" customWidth="1"/>
    <col min="7675" max="7675" width="16" style="5" customWidth="1"/>
    <col min="7676" max="7677" width="15" style="5" bestFit="1" customWidth="1"/>
    <col min="7678" max="7678" width="16.5703125" style="5" bestFit="1" customWidth="1"/>
    <col min="7679" max="7679" width="12.5703125" style="5" customWidth="1"/>
    <col min="7680" max="7680" width="17.5703125" style="5" bestFit="1" customWidth="1"/>
    <col min="7681" max="7682" width="18.140625" style="5" bestFit="1" customWidth="1"/>
    <col min="7683" max="7683" width="12.85546875" style="5" bestFit="1" customWidth="1"/>
    <col min="7684" max="7685" width="16.5703125" style="5" bestFit="1" customWidth="1"/>
    <col min="7686" max="7687" width="13.140625" style="5" bestFit="1" customWidth="1"/>
    <col min="7688" max="7688" width="15.5703125" style="5" bestFit="1" customWidth="1"/>
    <col min="7689" max="7689" width="13.5703125" style="5" bestFit="1" customWidth="1"/>
    <col min="7690" max="7692" width="12.42578125" style="5" bestFit="1" customWidth="1"/>
    <col min="7693" max="7693" width="17.5703125" style="5" bestFit="1" customWidth="1"/>
    <col min="7694" max="7694" width="12.42578125" style="5" bestFit="1" customWidth="1"/>
    <col min="7695" max="7695" width="13.42578125" style="5" bestFit="1" customWidth="1"/>
    <col min="7696" max="7929" width="9.140625" style="5"/>
    <col min="7930" max="7930" width="33.5703125" style="5" customWidth="1"/>
    <col min="7931" max="7931" width="16" style="5" customWidth="1"/>
    <col min="7932" max="7933" width="15" style="5" bestFit="1" customWidth="1"/>
    <col min="7934" max="7934" width="16.5703125" style="5" bestFit="1" customWidth="1"/>
    <col min="7935" max="7935" width="12.5703125" style="5" customWidth="1"/>
    <col min="7936" max="7936" width="17.5703125" style="5" bestFit="1" customWidth="1"/>
    <col min="7937" max="7938" width="18.140625" style="5" bestFit="1" customWidth="1"/>
    <col min="7939" max="7939" width="12.85546875" style="5" bestFit="1" customWidth="1"/>
    <col min="7940" max="7941" width="16.5703125" style="5" bestFit="1" customWidth="1"/>
    <col min="7942" max="7943" width="13.140625" style="5" bestFit="1" customWidth="1"/>
    <col min="7944" max="7944" width="15.5703125" style="5" bestFit="1" customWidth="1"/>
    <col min="7945" max="7945" width="13.5703125" style="5" bestFit="1" customWidth="1"/>
    <col min="7946" max="7948" width="12.42578125" style="5" bestFit="1" customWidth="1"/>
    <col min="7949" max="7949" width="17.5703125" style="5" bestFit="1" customWidth="1"/>
    <col min="7950" max="7950" width="12.42578125" style="5" bestFit="1" customWidth="1"/>
    <col min="7951" max="7951" width="13.42578125" style="5" bestFit="1" customWidth="1"/>
    <col min="7952" max="8185" width="9.140625" style="5"/>
    <col min="8186" max="8186" width="33.5703125" style="5" customWidth="1"/>
    <col min="8187" max="8187" width="16" style="5" customWidth="1"/>
    <col min="8188" max="8189" width="15" style="5" bestFit="1" customWidth="1"/>
    <col min="8190" max="8190" width="16.5703125" style="5" bestFit="1" customWidth="1"/>
    <col min="8191" max="8191" width="12.5703125" style="5" customWidth="1"/>
    <col min="8192" max="8192" width="17.5703125" style="5" bestFit="1" customWidth="1"/>
    <col min="8193" max="8194" width="18.140625" style="5" bestFit="1" customWidth="1"/>
    <col min="8195" max="8195" width="12.85546875" style="5" bestFit="1" customWidth="1"/>
    <col min="8196" max="8197" width="16.5703125" style="5" bestFit="1" customWidth="1"/>
    <col min="8198" max="8199" width="13.140625" style="5" bestFit="1" customWidth="1"/>
    <col min="8200" max="8200" width="15.5703125" style="5" bestFit="1" customWidth="1"/>
    <col min="8201" max="8201" width="13.5703125" style="5" bestFit="1" customWidth="1"/>
    <col min="8202" max="8204" width="12.42578125" style="5" bestFit="1" customWidth="1"/>
    <col min="8205" max="8205" width="17.5703125" style="5" bestFit="1" customWidth="1"/>
    <col min="8206" max="8206" width="12.42578125" style="5" bestFit="1" customWidth="1"/>
    <col min="8207" max="8207" width="13.42578125" style="5" bestFit="1" customWidth="1"/>
    <col min="8208" max="8441" width="9.140625" style="5"/>
    <col min="8442" max="8442" width="33.5703125" style="5" customWidth="1"/>
    <col min="8443" max="8443" width="16" style="5" customWidth="1"/>
    <col min="8444" max="8445" width="15" style="5" bestFit="1" customWidth="1"/>
    <col min="8446" max="8446" width="16.5703125" style="5" bestFit="1" customWidth="1"/>
    <col min="8447" max="8447" width="12.5703125" style="5" customWidth="1"/>
    <col min="8448" max="8448" width="17.5703125" style="5" bestFit="1" customWidth="1"/>
    <col min="8449" max="8450" width="18.140625" style="5" bestFit="1" customWidth="1"/>
    <col min="8451" max="8451" width="12.85546875" style="5" bestFit="1" customWidth="1"/>
    <col min="8452" max="8453" width="16.5703125" style="5" bestFit="1" customWidth="1"/>
    <col min="8454" max="8455" width="13.140625" style="5" bestFit="1" customWidth="1"/>
    <col min="8456" max="8456" width="15.5703125" style="5" bestFit="1" customWidth="1"/>
    <col min="8457" max="8457" width="13.5703125" style="5" bestFit="1" customWidth="1"/>
    <col min="8458" max="8460" width="12.42578125" style="5" bestFit="1" customWidth="1"/>
    <col min="8461" max="8461" width="17.5703125" style="5" bestFit="1" customWidth="1"/>
    <col min="8462" max="8462" width="12.42578125" style="5" bestFit="1" customWidth="1"/>
    <col min="8463" max="8463" width="13.42578125" style="5" bestFit="1" customWidth="1"/>
    <col min="8464" max="8697" width="9.140625" style="5"/>
    <col min="8698" max="8698" width="33.5703125" style="5" customWidth="1"/>
    <col min="8699" max="8699" width="16" style="5" customWidth="1"/>
    <col min="8700" max="8701" width="15" style="5" bestFit="1" customWidth="1"/>
    <col min="8702" max="8702" width="16.5703125" style="5" bestFit="1" customWidth="1"/>
    <col min="8703" max="8703" width="12.5703125" style="5" customWidth="1"/>
    <col min="8704" max="8704" width="17.5703125" style="5" bestFit="1" customWidth="1"/>
    <col min="8705" max="8706" width="18.140625" style="5" bestFit="1" customWidth="1"/>
    <col min="8707" max="8707" width="12.85546875" style="5" bestFit="1" customWidth="1"/>
    <col min="8708" max="8709" width="16.5703125" style="5" bestFit="1" customWidth="1"/>
    <col min="8710" max="8711" width="13.140625" style="5" bestFit="1" customWidth="1"/>
    <col min="8712" max="8712" width="15.5703125" style="5" bestFit="1" customWidth="1"/>
    <col min="8713" max="8713" width="13.5703125" style="5" bestFit="1" customWidth="1"/>
    <col min="8714" max="8716" width="12.42578125" style="5" bestFit="1" customWidth="1"/>
    <col min="8717" max="8717" width="17.5703125" style="5" bestFit="1" customWidth="1"/>
    <col min="8718" max="8718" width="12.42578125" style="5" bestFit="1" customWidth="1"/>
    <col min="8719" max="8719" width="13.42578125" style="5" bestFit="1" customWidth="1"/>
    <col min="8720" max="8953" width="9.140625" style="5"/>
    <col min="8954" max="8954" width="33.5703125" style="5" customWidth="1"/>
    <col min="8955" max="8955" width="16" style="5" customWidth="1"/>
    <col min="8956" max="8957" width="15" style="5" bestFit="1" customWidth="1"/>
    <col min="8958" max="8958" width="16.5703125" style="5" bestFit="1" customWidth="1"/>
    <col min="8959" max="8959" width="12.5703125" style="5" customWidth="1"/>
    <col min="8960" max="8960" width="17.5703125" style="5" bestFit="1" customWidth="1"/>
    <col min="8961" max="8962" width="18.140625" style="5" bestFit="1" customWidth="1"/>
    <col min="8963" max="8963" width="12.85546875" style="5" bestFit="1" customWidth="1"/>
    <col min="8964" max="8965" width="16.5703125" style="5" bestFit="1" customWidth="1"/>
    <col min="8966" max="8967" width="13.140625" style="5" bestFit="1" customWidth="1"/>
    <col min="8968" max="8968" width="15.5703125" style="5" bestFit="1" customWidth="1"/>
    <col min="8969" max="8969" width="13.5703125" style="5" bestFit="1" customWidth="1"/>
    <col min="8970" max="8972" width="12.42578125" style="5" bestFit="1" customWidth="1"/>
    <col min="8973" max="8973" width="17.5703125" style="5" bestFit="1" customWidth="1"/>
    <col min="8974" max="8974" width="12.42578125" style="5" bestFit="1" customWidth="1"/>
    <col min="8975" max="8975" width="13.42578125" style="5" bestFit="1" customWidth="1"/>
    <col min="8976" max="9209" width="9.140625" style="5"/>
    <col min="9210" max="9210" width="33.5703125" style="5" customWidth="1"/>
    <col min="9211" max="9211" width="16" style="5" customWidth="1"/>
    <col min="9212" max="9213" width="15" style="5" bestFit="1" customWidth="1"/>
    <col min="9214" max="9214" width="16.5703125" style="5" bestFit="1" customWidth="1"/>
    <col min="9215" max="9215" width="12.5703125" style="5" customWidth="1"/>
    <col min="9216" max="9216" width="17.5703125" style="5" bestFit="1" customWidth="1"/>
    <col min="9217" max="9218" width="18.140625" style="5" bestFit="1" customWidth="1"/>
    <col min="9219" max="9219" width="12.85546875" style="5" bestFit="1" customWidth="1"/>
    <col min="9220" max="9221" width="16.5703125" style="5" bestFit="1" customWidth="1"/>
    <col min="9222" max="9223" width="13.140625" style="5" bestFit="1" customWidth="1"/>
    <col min="9224" max="9224" width="15.5703125" style="5" bestFit="1" customWidth="1"/>
    <col min="9225" max="9225" width="13.5703125" style="5" bestFit="1" customWidth="1"/>
    <col min="9226" max="9228" width="12.42578125" style="5" bestFit="1" customWidth="1"/>
    <col min="9229" max="9229" width="17.5703125" style="5" bestFit="1" customWidth="1"/>
    <col min="9230" max="9230" width="12.42578125" style="5" bestFit="1" customWidth="1"/>
    <col min="9231" max="9231" width="13.42578125" style="5" bestFit="1" customWidth="1"/>
    <col min="9232" max="9465" width="9.140625" style="5"/>
    <col min="9466" max="9466" width="33.5703125" style="5" customWidth="1"/>
    <col min="9467" max="9467" width="16" style="5" customWidth="1"/>
    <col min="9468" max="9469" width="15" style="5" bestFit="1" customWidth="1"/>
    <col min="9470" max="9470" width="16.5703125" style="5" bestFit="1" customWidth="1"/>
    <col min="9471" max="9471" width="12.5703125" style="5" customWidth="1"/>
    <col min="9472" max="9472" width="17.5703125" style="5" bestFit="1" customWidth="1"/>
    <col min="9473" max="9474" width="18.140625" style="5" bestFit="1" customWidth="1"/>
    <col min="9475" max="9475" width="12.85546875" style="5" bestFit="1" customWidth="1"/>
    <col min="9476" max="9477" width="16.5703125" style="5" bestFit="1" customWidth="1"/>
    <col min="9478" max="9479" width="13.140625" style="5" bestFit="1" customWidth="1"/>
    <col min="9480" max="9480" width="15.5703125" style="5" bestFit="1" customWidth="1"/>
    <col min="9481" max="9481" width="13.5703125" style="5" bestFit="1" customWidth="1"/>
    <col min="9482" max="9484" width="12.42578125" style="5" bestFit="1" customWidth="1"/>
    <col min="9485" max="9485" width="17.5703125" style="5" bestFit="1" customWidth="1"/>
    <col min="9486" max="9486" width="12.42578125" style="5" bestFit="1" customWidth="1"/>
    <col min="9487" max="9487" width="13.42578125" style="5" bestFit="1" customWidth="1"/>
    <col min="9488" max="9721" width="9.140625" style="5"/>
    <col min="9722" max="9722" width="33.5703125" style="5" customWidth="1"/>
    <col min="9723" max="9723" width="16" style="5" customWidth="1"/>
    <col min="9724" max="9725" width="15" style="5" bestFit="1" customWidth="1"/>
    <col min="9726" max="9726" width="16.5703125" style="5" bestFit="1" customWidth="1"/>
    <col min="9727" max="9727" width="12.5703125" style="5" customWidth="1"/>
    <col min="9728" max="9728" width="17.5703125" style="5" bestFit="1" customWidth="1"/>
    <col min="9729" max="9730" width="18.140625" style="5" bestFit="1" customWidth="1"/>
    <col min="9731" max="9731" width="12.85546875" style="5" bestFit="1" customWidth="1"/>
    <col min="9732" max="9733" width="16.5703125" style="5" bestFit="1" customWidth="1"/>
    <col min="9734" max="9735" width="13.140625" style="5" bestFit="1" customWidth="1"/>
    <col min="9736" max="9736" width="15.5703125" style="5" bestFit="1" customWidth="1"/>
    <col min="9737" max="9737" width="13.5703125" style="5" bestFit="1" customWidth="1"/>
    <col min="9738" max="9740" width="12.42578125" style="5" bestFit="1" customWidth="1"/>
    <col min="9741" max="9741" width="17.5703125" style="5" bestFit="1" customWidth="1"/>
    <col min="9742" max="9742" width="12.42578125" style="5" bestFit="1" customWidth="1"/>
    <col min="9743" max="9743" width="13.42578125" style="5" bestFit="1" customWidth="1"/>
    <col min="9744" max="9977" width="9.140625" style="5"/>
    <col min="9978" max="9978" width="33.5703125" style="5" customWidth="1"/>
    <col min="9979" max="9979" width="16" style="5" customWidth="1"/>
    <col min="9980" max="9981" width="15" style="5" bestFit="1" customWidth="1"/>
    <col min="9982" max="9982" width="16.5703125" style="5" bestFit="1" customWidth="1"/>
    <col min="9983" max="9983" width="12.5703125" style="5" customWidth="1"/>
    <col min="9984" max="9984" width="17.5703125" style="5" bestFit="1" customWidth="1"/>
    <col min="9985" max="9986" width="18.140625" style="5" bestFit="1" customWidth="1"/>
    <col min="9987" max="9987" width="12.85546875" style="5" bestFit="1" customWidth="1"/>
    <col min="9988" max="9989" width="16.5703125" style="5" bestFit="1" customWidth="1"/>
    <col min="9990" max="9991" width="13.140625" style="5" bestFit="1" customWidth="1"/>
    <col min="9992" max="9992" width="15.5703125" style="5" bestFit="1" customWidth="1"/>
    <col min="9993" max="9993" width="13.5703125" style="5" bestFit="1" customWidth="1"/>
    <col min="9994" max="9996" width="12.42578125" style="5" bestFit="1" customWidth="1"/>
    <col min="9997" max="9997" width="17.5703125" style="5" bestFit="1" customWidth="1"/>
    <col min="9998" max="9998" width="12.42578125" style="5" bestFit="1" customWidth="1"/>
    <col min="9999" max="9999" width="13.42578125" style="5" bestFit="1" customWidth="1"/>
    <col min="10000" max="10233" width="9.140625" style="5"/>
    <col min="10234" max="10234" width="33.5703125" style="5" customWidth="1"/>
    <col min="10235" max="10235" width="16" style="5" customWidth="1"/>
    <col min="10236" max="10237" width="15" style="5" bestFit="1" customWidth="1"/>
    <col min="10238" max="10238" width="16.5703125" style="5" bestFit="1" customWidth="1"/>
    <col min="10239" max="10239" width="12.5703125" style="5" customWidth="1"/>
    <col min="10240" max="10240" width="17.5703125" style="5" bestFit="1" customWidth="1"/>
    <col min="10241" max="10242" width="18.140625" style="5" bestFit="1" customWidth="1"/>
    <col min="10243" max="10243" width="12.85546875" style="5" bestFit="1" customWidth="1"/>
    <col min="10244" max="10245" width="16.5703125" style="5" bestFit="1" customWidth="1"/>
    <col min="10246" max="10247" width="13.140625" style="5" bestFit="1" customWidth="1"/>
    <col min="10248" max="10248" width="15.5703125" style="5" bestFit="1" customWidth="1"/>
    <col min="10249" max="10249" width="13.5703125" style="5" bestFit="1" customWidth="1"/>
    <col min="10250" max="10252" width="12.42578125" style="5" bestFit="1" customWidth="1"/>
    <col min="10253" max="10253" width="17.5703125" style="5" bestFit="1" customWidth="1"/>
    <col min="10254" max="10254" width="12.42578125" style="5" bestFit="1" customWidth="1"/>
    <col min="10255" max="10255" width="13.42578125" style="5" bestFit="1" customWidth="1"/>
    <col min="10256" max="10489" width="9.140625" style="5"/>
    <col min="10490" max="10490" width="33.5703125" style="5" customWidth="1"/>
    <col min="10491" max="10491" width="16" style="5" customWidth="1"/>
    <col min="10492" max="10493" width="15" style="5" bestFit="1" customWidth="1"/>
    <col min="10494" max="10494" width="16.5703125" style="5" bestFit="1" customWidth="1"/>
    <col min="10495" max="10495" width="12.5703125" style="5" customWidth="1"/>
    <col min="10496" max="10496" width="17.5703125" style="5" bestFit="1" customWidth="1"/>
    <col min="10497" max="10498" width="18.140625" style="5" bestFit="1" customWidth="1"/>
    <col min="10499" max="10499" width="12.85546875" style="5" bestFit="1" customWidth="1"/>
    <col min="10500" max="10501" width="16.5703125" style="5" bestFit="1" customWidth="1"/>
    <col min="10502" max="10503" width="13.140625" style="5" bestFit="1" customWidth="1"/>
    <col min="10504" max="10504" width="15.5703125" style="5" bestFit="1" customWidth="1"/>
    <col min="10505" max="10505" width="13.5703125" style="5" bestFit="1" customWidth="1"/>
    <col min="10506" max="10508" width="12.42578125" style="5" bestFit="1" customWidth="1"/>
    <col min="10509" max="10509" width="17.5703125" style="5" bestFit="1" customWidth="1"/>
    <col min="10510" max="10510" width="12.42578125" style="5" bestFit="1" customWidth="1"/>
    <col min="10511" max="10511" width="13.42578125" style="5" bestFit="1" customWidth="1"/>
    <col min="10512" max="10745" width="9.140625" style="5"/>
    <col min="10746" max="10746" width="33.5703125" style="5" customWidth="1"/>
    <col min="10747" max="10747" width="16" style="5" customWidth="1"/>
    <col min="10748" max="10749" width="15" style="5" bestFit="1" customWidth="1"/>
    <col min="10750" max="10750" width="16.5703125" style="5" bestFit="1" customWidth="1"/>
    <col min="10751" max="10751" width="12.5703125" style="5" customWidth="1"/>
    <col min="10752" max="10752" width="17.5703125" style="5" bestFit="1" customWidth="1"/>
    <col min="10753" max="10754" width="18.140625" style="5" bestFit="1" customWidth="1"/>
    <col min="10755" max="10755" width="12.85546875" style="5" bestFit="1" customWidth="1"/>
    <col min="10756" max="10757" width="16.5703125" style="5" bestFit="1" customWidth="1"/>
    <col min="10758" max="10759" width="13.140625" style="5" bestFit="1" customWidth="1"/>
    <col min="10760" max="10760" width="15.5703125" style="5" bestFit="1" customWidth="1"/>
    <col min="10761" max="10761" width="13.5703125" style="5" bestFit="1" customWidth="1"/>
    <col min="10762" max="10764" width="12.42578125" style="5" bestFit="1" customWidth="1"/>
    <col min="10765" max="10765" width="17.5703125" style="5" bestFit="1" customWidth="1"/>
    <col min="10766" max="10766" width="12.42578125" style="5" bestFit="1" customWidth="1"/>
    <col min="10767" max="10767" width="13.42578125" style="5" bestFit="1" customWidth="1"/>
    <col min="10768" max="11001" width="9.140625" style="5"/>
    <col min="11002" max="11002" width="33.5703125" style="5" customWidth="1"/>
    <col min="11003" max="11003" width="16" style="5" customWidth="1"/>
    <col min="11004" max="11005" width="15" style="5" bestFit="1" customWidth="1"/>
    <col min="11006" max="11006" width="16.5703125" style="5" bestFit="1" customWidth="1"/>
    <col min="11007" max="11007" width="12.5703125" style="5" customWidth="1"/>
    <col min="11008" max="11008" width="17.5703125" style="5" bestFit="1" customWidth="1"/>
    <col min="11009" max="11010" width="18.140625" style="5" bestFit="1" customWidth="1"/>
    <col min="11011" max="11011" width="12.85546875" style="5" bestFit="1" customWidth="1"/>
    <col min="11012" max="11013" width="16.5703125" style="5" bestFit="1" customWidth="1"/>
    <col min="11014" max="11015" width="13.140625" style="5" bestFit="1" customWidth="1"/>
    <col min="11016" max="11016" width="15.5703125" style="5" bestFit="1" customWidth="1"/>
    <col min="11017" max="11017" width="13.5703125" style="5" bestFit="1" customWidth="1"/>
    <col min="11018" max="11020" width="12.42578125" style="5" bestFit="1" customWidth="1"/>
    <col min="11021" max="11021" width="17.5703125" style="5" bestFit="1" customWidth="1"/>
    <col min="11022" max="11022" width="12.42578125" style="5" bestFit="1" customWidth="1"/>
    <col min="11023" max="11023" width="13.42578125" style="5" bestFit="1" customWidth="1"/>
    <col min="11024" max="11257" width="9.140625" style="5"/>
    <col min="11258" max="11258" width="33.5703125" style="5" customWidth="1"/>
    <col min="11259" max="11259" width="16" style="5" customWidth="1"/>
    <col min="11260" max="11261" width="15" style="5" bestFit="1" customWidth="1"/>
    <col min="11262" max="11262" width="16.5703125" style="5" bestFit="1" customWidth="1"/>
    <col min="11263" max="11263" width="12.5703125" style="5" customWidth="1"/>
    <col min="11264" max="11264" width="17.5703125" style="5" bestFit="1" customWidth="1"/>
    <col min="11265" max="11266" width="18.140625" style="5" bestFit="1" customWidth="1"/>
    <col min="11267" max="11267" width="12.85546875" style="5" bestFit="1" customWidth="1"/>
    <col min="11268" max="11269" width="16.5703125" style="5" bestFit="1" customWidth="1"/>
    <col min="11270" max="11271" width="13.140625" style="5" bestFit="1" customWidth="1"/>
    <col min="11272" max="11272" width="15.5703125" style="5" bestFit="1" customWidth="1"/>
    <col min="11273" max="11273" width="13.5703125" style="5" bestFit="1" customWidth="1"/>
    <col min="11274" max="11276" width="12.42578125" style="5" bestFit="1" customWidth="1"/>
    <col min="11277" max="11277" width="17.5703125" style="5" bestFit="1" customWidth="1"/>
    <col min="11278" max="11278" width="12.42578125" style="5" bestFit="1" customWidth="1"/>
    <col min="11279" max="11279" width="13.42578125" style="5" bestFit="1" customWidth="1"/>
    <col min="11280" max="11513" width="9.140625" style="5"/>
    <col min="11514" max="11514" width="33.5703125" style="5" customWidth="1"/>
    <col min="11515" max="11515" width="16" style="5" customWidth="1"/>
    <col min="11516" max="11517" width="15" style="5" bestFit="1" customWidth="1"/>
    <col min="11518" max="11518" width="16.5703125" style="5" bestFit="1" customWidth="1"/>
    <col min="11519" max="11519" width="12.5703125" style="5" customWidth="1"/>
    <col min="11520" max="11520" width="17.5703125" style="5" bestFit="1" customWidth="1"/>
    <col min="11521" max="11522" width="18.140625" style="5" bestFit="1" customWidth="1"/>
    <col min="11523" max="11523" width="12.85546875" style="5" bestFit="1" customWidth="1"/>
    <col min="11524" max="11525" width="16.5703125" style="5" bestFit="1" customWidth="1"/>
    <col min="11526" max="11527" width="13.140625" style="5" bestFit="1" customWidth="1"/>
    <col min="11528" max="11528" width="15.5703125" style="5" bestFit="1" customWidth="1"/>
    <col min="11529" max="11529" width="13.5703125" style="5" bestFit="1" customWidth="1"/>
    <col min="11530" max="11532" width="12.42578125" style="5" bestFit="1" customWidth="1"/>
    <col min="11533" max="11533" width="17.5703125" style="5" bestFit="1" customWidth="1"/>
    <col min="11534" max="11534" width="12.42578125" style="5" bestFit="1" customWidth="1"/>
    <col min="11535" max="11535" width="13.42578125" style="5" bestFit="1" customWidth="1"/>
    <col min="11536" max="11769" width="9.140625" style="5"/>
    <col min="11770" max="11770" width="33.5703125" style="5" customWidth="1"/>
    <col min="11771" max="11771" width="16" style="5" customWidth="1"/>
    <col min="11772" max="11773" width="15" style="5" bestFit="1" customWidth="1"/>
    <col min="11774" max="11774" width="16.5703125" style="5" bestFit="1" customWidth="1"/>
    <col min="11775" max="11775" width="12.5703125" style="5" customWidth="1"/>
    <col min="11776" max="11776" width="17.5703125" style="5" bestFit="1" customWidth="1"/>
    <col min="11777" max="11778" width="18.140625" style="5" bestFit="1" customWidth="1"/>
    <col min="11779" max="11779" width="12.85546875" style="5" bestFit="1" customWidth="1"/>
    <col min="11780" max="11781" width="16.5703125" style="5" bestFit="1" customWidth="1"/>
    <col min="11782" max="11783" width="13.140625" style="5" bestFit="1" customWidth="1"/>
    <col min="11784" max="11784" width="15.5703125" style="5" bestFit="1" customWidth="1"/>
    <col min="11785" max="11785" width="13.5703125" style="5" bestFit="1" customWidth="1"/>
    <col min="11786" max="11788" width="12.42578125" style="5" bestFit="1" customWidth="1"/>
    <col min="11789" max="11789" width="17.5703125" style="5" bestFit="1" customWidth="1"/>
    <col min="11790" max="11790" width="12.42578125" style="5" bestFit="1" customWidth="1"/>
    <col min="11791" max="11791" width="13.42578125" style="5" bestFit="1" customWidth="1"/>
    <col min="11792" max="12025" width="9.140625" style="5"/>
    <col min="12026" max="12026" width="33.5703125" style="5" customWidth="1"/>
    <col min="12027" max="12027" width="16" style="5" customWidth="1"/>
    <col min="12028" max="12029" width="15" style="5" bestFit="1" customWidth="1"/>
    <col min="12030" max="12030" width="16.5703125" style="5" bestFit="1" customWidth="1"/>
    <col min="12031" max="12031" width="12.5703125" style="5" customWidth="1"/>
    <col min="12032" max="12032" width="17.5703125" style="5" bestFit="1" customWidth="1"/>
    <col min="12033" max="12034" width="18.140625" style="5" bestFit="1" customWidth="1"/>
    <col min="12035" max="12035" width="12.85546875" style="5" bestFit="1" customWidth="1"/>
    <col min="12036" max="12037" width="16.5703125" style="5" bestFit="1" customWidth="1"/>
    <col min="12038" max="12039" width="13.140625" style="5" bestFit="1" customWidth="1"/>
    <col min="12040" max="12040" width="15.5703125" style="5" bestFit="1" customWidth="1"/>
    <col min="12041" max="12041" width="13.5703125" style="5" bestFit="1" customWidth="1"/>
    <col min="12042" max="12044" width="12.42578125" style="5" bestFit="1" customWidth="1"/>
    <col min="12045" max="12045" width="17.5703125" style="5" bestFit="1" customWidth="1"/>
    <col min="12046" max="12046" width="12.42578125" style="5" bestFit="1" customWidth="1"/>
    <col min="12047" max="12047" width="13.42578125" style="5" bestFit="1" customWidth="1"/>
    <col min="12048" max="12281" width="9.140625" style="5"/>
    <col min="12282" max="12282" width="33.5703125" style="5" customWidth="1"/>
    <col min="12283" max="12283" width="16" style="5" customWidth="1"/>
    <col min="12284" max="12285" width="15" style="5" bestFit="1" customWidth="1"/>
    <col min="12286" max="12286" width="16.5703125" style="5" bestFit="1" customWidth="1"/>
    <col min="12287" max="12287" width="12.5703125" style="5" customWidth="1"/>
    <col min="12288" max="12288" width="17.5703125" style="5" bestFit="1" customWidth="1"/>
    <col min="12289" max="12290" width="18.140625" style="5" bestFit="1" customWidth="1"/>
    <col min="12291" max="12291" width="12.85546875" style="5" bestFit="1" customWidth="1"/>
    <col min="12292" max="12293" width="16.5703125" style="5" bestFit="1" customWidth="1"/>
    <col min="12294" max="12295" width="13.140625" style="5" bestFit="1" customWidth="1"/>
    <col min="12296" max="12296" width="15.5703125" style="5" bestFit="1" customWidth="1"/>
    <col min="12297" max="12297" width="13.5703125" style="5" bestFit="1" customWidth="1"/>
    <col min="12298" max="12300" width="12.42578125" style="5" bestFit="1" customWidth="1"/>
    <col min="12301" max="12301" width="17.5703125" style="5" bestFit="1" customWidth="1"/>
    <col min="12302" max="12302" width="12.42578125" style="5" bestFit="1" customWidth="1"/>
    <col min="12303" max="12303" width="13.42578125" style="5" bestFit="1" customWidth="1"/>
    <col min="12304" max="12537" width="9.140625" style="5"/>
    <col min="12538" max="12538" width="33.5703125" style="5" customWidth="1"/>
    <col min="12539" max="12539" width="16" style="5" customWidth="1"/>
    <col min="12540" max="12541" width="15" style="5" bestFit="1" customWidth="1"/>
    <col min="12542" max="12542" width="16.5703125" style="5" bestFit="1" customWidth="1"/>
    <col min="12543" max="12543" width="12.5703125" style="5" customWidth="1"/>
    <col min="12544" max="12544" width="17.5703125" style="5" bestFit="1" customWidth="1"/>
    <col min="12545" max="12546" width="18.140625" style="5" bestFit="1" customWidth="1"/>
    <col min="12547" max="12547" width="12.85546875" style="5" bestFit="1" customWidth="1"/>
    <col min="12548" max="12549" width="16.5703125" style="5" bestFit="1" customWidth="1"/>
    <col min="12550" max="12551" width="13.140625" style="5" bestFit="1" customWidth="1"/>
    <col min="12552" max="12552" width="15.5703125" style="5" bestFit="1" customWidth="1"/>
    <col min="12553" max="12553" width="13.5703125" style="5" bestFit="1" customWidth="1"/>
    <col min="12554" max="12556" width="12.42578125" style="5" bestFit="1" customWidth="1"/>
    <col min="12557" max="12557" width="17.5703125" style="5" bestFit="1" customWidth="1"/>
    <col min="12558" max="12558" width="12.42578125" style="5" bestFit="1" customWidth="1"/>
    <col min="12559" max="12559" width="13.42578125" style="5" bestFit="1" customWidth="1"/>
    <col min="12560" max="12793" width="9.140625" style="5"/>
    <col min="12794" max="12794" width="33.5703125" style="5" customWidth="1"/>
    <col min="12795" max="12795" width="16" style="5" customWidth="1"/>
    <col min="12796" max="12797" width="15" style="5" bestFit="1" customWidth="1"/>
    <col min="12798" max="12798" width="16.5703125" style="5" bestFit="1" customWidth="1"/>
    <col min="12799" max="12799" width="12.5703125" style="5" customWidth="1"/>
    <col min="12800" max="12800" width="17.5703125" style="5" bestFit="1" customWidth="1"/>
    <col min="12801" max="12802" width="18.140625" style="5" bestFit="1" customWidth="1"/>
    <col min="12803" max="12803" width="12.85546875" style="5" bestFit="1" customWidth="1"/>
    <col min="12804" max="12805" width="16.5703125" style="5" bestFit="1" customWidth="1"/>
    <col min="12806" max="12807" width="13.140625" style="5" bestFit="1" customWidth="1"/>
    <col min="12808" max="12808" width="15.5703125" style="5" bestFit="1" customWidth="1"/>
    <col min="12809" max="12809" width="13.5703125" style="5" bestFit="1" customWidth="1"/>
    <col min="12810" max="12812" width="12.42578125" style="5" bestFit="1" customWidth="1"/>
    <col min="12813" max="12813" width="17.5703125" style="5" bestFit="1" customWidth="1"/>
    <col min="12814" max="12814" width="12.42578125" style="5" bestFit="1" customWidth="1"/>
    <col min="12815" max="12815" width="13.42578125" style="5" bestFit="1" customWidth="1"/>
    <col min="12816" max="13049" width="9.140625" style="5"/>
    <col min="13050" max="13050" width="33.5703125" style="5" customWidth="1"/>
    <col min="13051" max="13051" width="16" style="5" customWidth="1"/>
    <col min="13052" max="13053" width="15" style="5" bestFit="1" customWidth="1"/>
    <col min="13054" max="13054" width="16.5703125" style="5" bestFit="1" customWidth="1"/>
    <col min="13055" max="13055" width="12.5703125" style="5" customWidth="1"/>
    <col min="13056" max="13056" width="17.5703125" style="5" bestFit="1" customWidth="1"/>
    <col min="13057" max="13058" width="18.140625" style="5" bestFit="1" customWidth="1"/>
    <col min="13059" max="13059" width="12.85546875" style="5" bestFit="1" customWidth="1"/>
    <col min="13060" max="13061" width="16.5703125" style="5" bestFit="1" customWidth="1"/>
    <col min="13062" max="13063" width="13.140625" style="5" bestFit="1" customWidth="1"/>
    <col min="13064" max="13064" width="15.5703125" style="5" bestFit="1" customWidth="1"/>
    <col min="13065" max="13065" width="13.5703125" style="5" bestFit="1" customWidth="1"/>
    <col min="13066" max="13068" width="12.42578125" style="5" bestFit="1" customWidth="1"/>
    <col min="13069" max="13069" width="17.5703125" style="5" bestFit="1" customWidth="1"/>
    <col min="13070" max="13070" width="12.42578125" style="5" bestFit="1" customWidth="1"/>
    <col min="13071" max="13071" width="13.42578125" style="5" bestFit="1" customWidth="1"/>
    <col min="13072" max="13305" width="9.140625" style="5"/>
    <col min="13306" max="13306" width="33.5703125" style="5" customWidth="1"/>
    <col min="13307" max="13307" width="16" style="5" customWidth="1"/>
    <col min="13308" max="13309" width="15" style="5" bestFit="1" customWidth="1"/>
    <col min="13310" max="13310" width="16.5703125" style="5" bestFit="1" customWidth="1"/>
    <col min="13311" max="13311" width="12.5703125" style="5" customWidth="1"/>
    <col min="13312" max="13312" width="17.5703125" style="5" bestFit="1" customWidth="1"/>
    <col min="13313" max="13314" width="18.140625" style="5" bestFit="1" customWidth="1"/>
    <col min="13315" max="13315" width="12.85546875" style="5" bestFit="1" customWidth="1"/>
    <col min="13316" max="13317" width="16.5703125" style="5" bestFit="1" customWidth="1"/>
    <col min="13318" max="13319" width="13.140625" style="5" bestFit="1" customWidth="1"/>
    <col min="13320" max="13320" width="15.5703125" style="5" bestFit="1" customWidth="1"/>
    <col min="13321" max="13321" width="13.5703125" style="5" bestFit="1" customWidth="1"/>
    <col min="13322" max="13324" width="12.42578125" style="5" bestFit="1" customWidth="1"/>
    <col min="13325" max="13325" width="17.5703125" style="5" bestFit="1" customWidth="1"/>
    <col min="13326" max="13326" width="12.42578125" style="5" bestFit="1" customWidth="1"/>
    <col min="13327" max="13327" width="13.42578125" style="5" bestFit="1" customWidth="1"/>
    <col min="13328" max="13561" width="9.140625" style="5"/>
    <col min="13562" max="13562" width="33.5703125" style="5" customWidth="1"/>
    <col min="13563" max="13563" width="16" style="5" customWidth="1"/>
    <col min="13564" max="13565" width="15" style="5" bestFit="1" customWidth="1"/>
    <col min="13566" max="13566" width="16.5703125" style="5" bestFit="1" customWidth="1"/>
    <col min="13567" max="13567" width="12.5703125" style="5" customWidth="1"/>
    <col min="13568" max="13568" width="17.5703125" style="5" bestFit="1" customWidth="1"/>
    <col min="13569" max="13570" width="18.140625" style="5" bestFit="1" customWidth="1"/>
    <col min="13571" max="13571" width="12.85546875" style="5" bestFit="1" customWidth="1"/>
    <col min="13572" max="13573" width="16.5703125" style="5" bestFit="1" customWidth="1"/>
    <col min="13574" max="13575" width="13.140625" style="5" bestFit="1" customWidth="1"/>
    <col min="13576" max="13576" width="15.5703125" style="5" bestFit="1" customWidth="1"/>
    <col min="13577" max="13577" width="13.5703125" style="5" bestFit="1" customWidth="1"/>
    <col min="13578" max="13580" width="12.42578125" style="5" bestFit="1" customWidth="1"/>
    <col min="13581" max="13581" width="17.5703125" style="5" bestFit="1" customWidth="1"/>
    <col min="13582" max="13582" width="12.42578125" style="5" bestFit="1" customWidth="1"/>
    <col min="13583" max="13583" width="13.42578125" style="5" bestFit="1" customWidth="1"/>
    <col min="13584" max="13817" width="9.140625" style="5"/>
    <col min="13818" max="13818" width="33.5703125" style="5" customWidth="1"/>
    <col min="13819" max="13819" width="16" style="5" customWidth="1"/>
    <col min="13820" max="13821" width="15" style="5" bestFit="1" customWidth="1"/>
    <col min="13822" max="13822" width="16.5703125" style="5" bestFit="1" customWidth="1"/>
    <col min="13823" max="13823" width="12.5703125" style="5" customWidth="1"/>
    <col min="13824" max="13824" width="17.5703125" style="5" bestFit="1" customWidth="1"/>
    <col min="13825" max="13826" width="18.140625" style="5" bestFit="1" customWidth="1"/>
    <col min="13827" max="13827" width="12.85546875" style="5" bestFit="1" customWidth="1"/>
    <col min="13828" max="13829" width="16.5703125" style="5" bestFit="1" customWidth="1"/>
    <col min="13830" max="13831" width="13.140625" style="5" bestFit="1" customWidth="1"/>
    <col min="13832" max="13832" width="15.5703125" style="5" bestFit="1" customWidth="1"/>
    <col min="13833" max="13833" width="13.5703125" style="5" bestFit="1" customWidth="1"/>
    <col min="13834" max="13836" width="12.42578125" style="5" bestFit="1" customWidth="1"/>
    <col min="13837" max="13837" width="17.5703125" style="5" bestFit="1" customWidth="1"/>
    <col min="13838" max="13838" width="12.42578125" style="5" bestFit="1" customWidth="1"/>
    <col min="13839" max="13839" width="13.42578125" style="5" bestFit="1" customWidth="1"/>
    <col min="13840" max="14073" width="9.140625" style="5"/>
    <col min="14074" max="14074" width="33.5703125" style="5" customWidth="1"/>
    <col min="14075" max="14075" width="16" style="5" customWidth="1"/>
    <col min="14076" max="14077" width="15" style="5" bestFit="1" customWidth="1"/>
    <col min="14078" max="14078" width="16.5703125" style="5" bestFit="1" customWidth="1"/>
    <col min="14079" max="14079" width="12.5703125" style="5" customWidth="1"/>
    <col min="14080" max="14080" width="17.5703125" style="5" bestFit="1" customWidth="1"/>
    <col min="14081" max="14082" width="18.140625" style="5" bestFit="1" customWidth="1"/>
    <col min="14083" max="14083" width="12.85546875" style="5" bestFit="1" customWidth="1"/>
    <col min="14084" max="14085" width="16.5703125" style="5" bestFit="1" customWidth="1"/>
    <col min="14086" max="14087" width="13.140625" style="5" bestFit="1" customWidth="1"/>
    <col min="14088" max="14088" width="15.5703125" style="5" bestFit="1" customWidth="1"/>
    <col min="14089" max="14089" width="13.5703125" style="5" bestFit="1" customWidth="1"/>
    <col min="14090" max="14092" width="12.42578125" style="5" bestFit="1" customWidth="1"/>
    <col min="14093" max="14093" width="17.5703125" style="5" bestFit="1" customWidth="1"/>
    <col min="14094" max="14094" width="12.42578125" style="5" bestFit="1" customWidth="1"/>
    <col min="14095" max="14095" width="13.42578125" style="5" bestFit="1" customWidth="1"/>
    <col min="14096" max="14329" width="9.140625" style="5"/>
    <col min="14330" max="14330" width="33.5703125" style="5" customWidth="1"/>
    <col min="14331" max="14331" width="16" style="5" customWidth="1"/>
    <col min="14332" max="14333" width="15" style="5" bestFit="1" customWidth="1"/>
    <col min="14334" max="14334" width="16.5703125" style="5" bestFit="1" customWidth="1"/>
    <col min="14335" max="14335" width="12.5703125" style="5" customWidth="1"/>
    <col min="14336" max="14336" width="17.5703125" style="5" bestFit="1" customWidth="1"/>
    <col min="14337" max="14338" width="18.140625" style="5" bestFit="1" customWidth="1"/>
    <col min="14339" max="14339" width="12.85546875" style="5" bestFit="1" customWidth="1"/>
    <col min="14340" max="14341" width="16.5703125" style="5" bestFit="1" customWidth="1"/>
    <col min="14342" max="14343" width="13.140625" style="5" bestFit="1" customWidth="1"/>
    <col min="14344" max="14344" width="15.5703125" style="5" bestFit="1" customWidth="1"/>
    <col min="14345" max="14345" width="13.5703125" style="5" bestFit="1" customWidth="1"/>
    <col min="14346" max="14348" width="12.42578125" style="5" bestFit="1" customWidth="1"/>
    <col min="14349" max="14349" width="17.5703125" style="5" bestFit="1" customWidth="1"/>
    <col min="14350" max="14350" width="12.42578125" style="5" bestFit="1" customWidth="1"/>
    <col min="14351" max="14351" width="13.42578125" style="5" bestFit="1" customWidth="1"/>
    <col min="14352" max="14585" width="9.140625" style="5"/>
    <col min="14586" max="14586" width="33.5703125" style="5" customWidth="1"/>
    <col min="14587" max="14587" width="16" style="5" customWidth="1"/>
    <col min="14588" max="14589" width="15" style="5" bestFit="1" customWidth="1"/>
    <col min="14590" max="14590" width="16.5703125" style="5" bestFit="1" customWidth="1"/>
    <col min="14591" max="14591" width="12.5703125" style="5" customWidth="1"/>
    <col min="14592" max="14592" width="17.5703125" style="5" bestFit="1" customWidth="1"/>
    <col min="14593" max="14594" width="18.140625" style="5" bestFit="1" customWidth="1"/>
    <col min="14595" max="14595" width="12.85546875" style="5" bestFit="1" customWidth="1"/>
    <col min="14596" max="14597" width="16.5703125" style="5" bestFit="1" customWidth="1"/>
    <col min="14598" max="14599" width="13.140625" style="5" bestFit="1" customWidth="1"/>
    <col min="14600" max="14600" width="15.5703125" style="5" bestFit="1" customWidth="1"/>
    <col min="14601" max="14601" width="13.5703125" style="5" bestFit="1" customWidth="1"/>
    <col min="14602" max="14604" width="12.42578125" style="5" bestFit="1" customWidth="1"/>
    <col min="14605" max="14605" width="17.5703125" style="5" bestFit="1" customWidth="1"/>
    <col min="14606" max="14606" width="12.42578125" style="5" bestFit="1" customWidth="1"/>
    <col min="14607" max="14607" width="13.42578125" style="5" bestFit="1" customWidth="1"/>
    <col min="14608" max="14841" width="9.140625" style="5"/>
    <col min="14842" max="14842" width="33.5703125" style="5" customWidth="1"/>
    <col min="14843" max="14843" width="16" style="5" customWidth="1"/>
    <col min="14844" max="14845" width="15" style="5" bestFit="1" customWidth="1"/>
    <col min="14846" max="14846" width="16.5703125" style="5" bestFit="1" customWidth="1"/>
    <col min="14847" max="14847" width="12.5703125" style="5" customWidth="1"/>
    <col min="14848" max="14848" width="17.5703125" style="5" bestFit="1" customWidth="1"/>
    <col min="14849" max="14850" width="18.140625" style="5" bestFit="1" customWidth="1"/>
    <col min="14851" max="14851" width="12.85546875" style="5" bestFit="1" customWidth="1"/>
    <col min="14852" max="14853" width="16.5703125" style="5" bestFit="1" customWidth="1"/>
    <col min="14854" max="14855" width="13.140625" style="5" bestFit="1" customWidth="1"/>
    <col min="14856" max="14856" width="15.5703125" style="5" bestFit="1" customWidth="1"/>
    <col min="14857" max="14857" width="13.5703125" style="5" bestFit="1" customWidth="1"/>
    <col min="14858" max="14860" width="12.42578125" style="5" bestFit="1" customWidth="1"/>
    <col min="14861" max="14861" width="17.5703125" style="5" bestFit="1" customWidth="1"/>
    <col min="14862" max="14862" width="12.42578125" style="5" bestFit="1" customWidth="1"/>
    <col min="14863" max="14863" width="13.42578125" style="5" bestFit="1" customWidth="1"/>
    <col min="14864" max="15097" width="9.140625" style="5"/>
    <col min="15098" max="15098" width="33.5703125" style="5" customWidth="1"/>
    <col min="15099" max="15099" width="16" style="5" customWidth="1"/>
    <col min="15100" max="15101" width="15" style="5" bestFit="1" customWidth="1"/>
    <col min="15102" max="15102" width="16.5703125" style="5" bestFit="1" customWidth="1"/>
    <col min="15103" max="15103" width="12.5703125" style="5" customWidth="1"/>
    <col min="15104" max="15104" width="17.5703125" style="5" bestFit="1" customWidth="1"/>
    <col min="15105" max="15106" width="18.140625" style="5" bestFit="1" customWidth="1"/>
    <col min="15107" max="15107" width="12.85546875" style="5" bestFit="1" customWidth="1"/>
    <col min="15108" max="15109" width="16.5703125" style="5" bestFit="1" customWidth="1"/>
    <col min="15110" max="15111" width="13.140625" style="5" bestFit="1" customWidth="1"/>
    <col min="15112" max="15112" width="15.5703125" style="5" bestFit="1" customWidth="1"/>
    <col min="15113" max="15113" width="13.5703125" style="5" bestFit="1" customWidth="1"/>
    <col min="15114" max="15116" width="12.42578125" style="5" bestFit="1" customWidth="1"/>
    <col min="15117" max="15117" width="17.5703125" style="5" bestFit="1" customWidth="1"/>
    <col min="15118" max="15118" width="12.42578125" style="5" bestFit="1" customWidth="1"/>
    <col min="15119" max="15119" width="13.42578125" style="5" bestFit="1" customWidth="1"/>
    <col min="15120" max="15353" width="9.140625" style="5"/>
    <col min="15354" max="15354" width="33.5703125" style="5" customWidth="1"/>
    <col min="15355" max="15355" width="16" style="5" customWidth="1"/>
    <col min="15356" max="15357" width="15" style="5" bestFit="1" customWidth="1"/>
    <col min="15358" max="15358" width="16.5703125" style="5" bestFit="1" customWidth="1"/>
    <col min="15359" max="15359" width="12.5703125" style="5" customWidth="1"/>
    <col min="15360" max="15360" width="17.5703125" style="5" bestFit="1" customWidth="1"/>
    <col min="15361" max="15362" width="18.140625" style="5" bestFit="1" customWidth="1"/>
    <col min="15363" max="15363" width="12.85546875" style="5" bestFit="1" customWidth="1"/>
    <col min="15364" max="15365" width="16.5703125" style="5" bestFit="1" customWidth="1"/>
    <col min="15366" max="15367" width="13.140625" style="5" bestFit="1" customWidth="1"/>
    <col min="15368" max="15368" width="15.5703125" style="5" bestFit="1" customWidth="1"/>
    <col min="15369" max="15369" width="13.5703125" style="5" bestFit="1" customWidth="1"/>
    <col min="15370" max="15372" width="12.42578125" style="5" bestFit="1" customWidth="1"/>
    <col min="15373" max="15373" width="17.5703125" style="5" bestFit="1" customWidth="1"/>
    <col min="15374" max="15374" width="12.42578125" style="5" bestFit="1" customWidth="1"/>
    <col min="15375" max="15375" width="13.42578125" style="5" bestFit="1" customWidth="1"/>
    <col min="15376" max="15609" width="9.140625" style="5"/>
    <col min="15610" max="15610" width="33.5703125" style="5" customWidth="1"/>
    <col min="15611" max="15611" width="16" style="5" customWidth="1"/>
    <col min="15612" max="15613" width="15" style="5" bestFit="1" customWidth="1"/>
    <col min="15614" max="15614" width="16.5703125" style="5" bestFit="1" customWidth="1"/>
    <col min="15615" max="15615" width="12.5703125" style="5" customWidth="1"/>
    <col min="15616" max="15616" width="17.5703125" style="5" bestFit="1" customWidth="1"/>
    <col min="15617" max="15618" width="18.140625" style="5" bestFit="1" customWidth="1"/>
    <col min="15619" max="15619" width="12.85546875" style="5" bestFit="1" customWidth="1"/>
    <col min="15620" max="15621" width="16.5703125" style="5" bestFit="1" customWidth="1"/>
    <col min="15622" max="15623" width="13.140625" style="5" bestFit="1" customWidth="1"/>
    <col min="15624" max="15624" width="15.5703125" style="5" bestFit="1" customWidth="1"/>
    <col min="15625" max="15625" width="13.5703125" style="5" bestFit="1" customWidth="1"/>
    <col min="15626" max="15628" width="12.42578125" style="5" bestFit="1" customWidth="1"/>
    <col min="15629" max="15629" width="17.5703125" style="5" bestFit="1" customWidth="1"/>
    <col min="15630" max="15630" width="12.42578125" style="5" bestFit="1" customWidth="1"/>
    <col min="15631" max="15631" width="13.42578125" style="5" bestFit="1" customWidth="1"/>
    <col min="15632" max="15865" width="9.140625" style="5"/>
    <col min="15866" max="15866" width="33.5703125" style="5" customWidth="1"/>
    <col min="15867" max="15867" width="16" style="5" customWidth="1"/>
    <col min="15868" max="15869" width="15" style="5" bestFit="1" customWidth="1"/>
    <col min="15870" max="15870" width="16.5703125" style="5" bestFit="1" customWidth="1"/>
    <col min="15871" max="15871" width="12.5703125" style="5" customWidth="1"/>
    <col min="15872" max="15872" width="17.5703125" style="5" bestFit="1" customWidth="1"/>
    <col min="15873" max="15874" width="18.140625" style="5" bestFit="1" customWidth="1"/>
    <col min="15875" max="15875" width="12.85546875" style="5" bestFit="1" customWidth="1"/>
    <col min="15876" max="15877" width="16.5703125" style="5" bestFit="1" customWidth="1"/>
    <col min="15878" max="15879" width="13.140625" style="5" bestFit="1" customWidth="1"/>
    <col min="15880" max="15880" width="15.5703125" style="5" bestFit="1" customWidth="1"/>
    <col min="15881" max="15881" width="13.5703125" style="5" bestFit="1" customWidth="1"/>
    <col min="15882" max="15884" width="12.42578125" style="5" bestFit="1" customWidth="1"/>
    <col min="15885" max="15885" width="17.5703125" style="5" bestFit="1" customWidth="1"/>
    <col min="15886" max="15886" width="12.42578125" style="5" bestFit="1" customWidth="1"/>
    <col min="15887" max="15887" width="13.42578125" style="5" bestFit="1" customWidth="1"/>
    <col min="15888" max="16121" width="9.140625" style="5"/>
    <col min="16122" max="16122" width="33.5703125" style="5" customWidth="1"/>
    <col min="16123" max="16123" width="16" style="5" customWidth="1"/>
    <col min="16124" max="16125" width="15" style="5" bestFit="1" customWidth="1"/>
    <col min="16126" max="16126" width="16.5703125" style="5" bestFit="1" customWidth="1"/>
    <col min="16127" max="16127" width="12.5703125" style="5" customWidth="1"/>
    <col min="16128" max="16128" width="17.5703125" style="5" bestFit="1" customWidth="1"/>
    <col min="16129" max="16130" width="18.140625" style="5" bestFit="1" customWidth="1"/>
    <col min="16131" max="16131" width="12.85546875" style="5" bestFit="1" customWidth="1"/>
    <col min="16132" max="16133" width="16.5703125" style="5" bestFit="1" customWidth="1"/>
    <col min="16134" max="16135" width="13.140625" style="5" bestFit="1" customWidth="1"/>
    <col min="16136" max="16136" width="15.5703125" style="5" bestFit="1" customWidth="1"/>
    <col min="16137" max="16137" width="13.5703125" style="5" bestFit="1" customWidth="1"/>
    <col min="16138" max="16140" width="12.42578125" style="5" bestFit="1" customWidth="1"/>
    <col min="16141" max="16141" width="17.5703125" style="5" bestFit="1" customWidth="1"/>
    <col min="16142" max="16142" width="12.42578125" style="5" bestFit="1" customWidth="1"/>
    <col min="16143" max="16143" width="13.42578125" style="5" bestFit="1" customWidth="1"/>
    <col min="16144" max="16384" width="9.140625" style="5"/>
  </cols>
  <sheetData>
    <row r="1" spans="1:27">
      <c r="B1" s="8" t="s">
        <v>68</v>
      </c>
      <c r="C1" s="295"/>
      <c r="D1" s="8"/>
      <c r="E1" s="8"/>
      <c r="F1" s="8"/>
      <c r="G1" s="8"/>
      <c r="H1" s="69"/>
      <c r="I1" s="69"/>
      <c r="J1" s="69"/>
      <c r="K1" s="69"/>
      <c r="L1" s="69"/>
      <c r="M1" s="69"/>
      <c r="N1" s="69"/>
    </row>
    <row r="2" spans="1:27" s="131" customFormat="1" ht="22.5">
      <c r="A2" s="351"/>
      <c r="B2" s="176"/>
      <c r="C2" s="2" t="s">
        <v>69</v>
      </c>
      <c r="D2" s="721" t="s">
        <v>70</v>
      </c>
      <c r="E2" s="721"/>
      <c r="F2" s="4" t="s">
        <v>69</v>
      </c>
      <c r="G2" s="2" t="s">
        <v>71</v>
      </c>
      <c r="H2" s="722" t="s">
        <v>72</v>
      </c>
      <c r="I2" s="723"/>
      <c r="J2" s="723"/>
      <c r="K2" s="724"/>
      <c r="L2" s="725" t="s">
        <v>73</v>
      </c>
      <c r="M2" s="726"/>
      <c r="N2" s="151"/>
    </row>
    <row r="3" spans="1:27" s="131" customFormat="1" ht="45">
      <c r="A3" s="352" t="s">
        <v>124</v>
      </c>
      <c r="B3" s="177" t="s">
        <v>24</v>
      </c>
      <c r="C3" s="316" t="s">
        <v>654</v>
      </c>
      <c r="D3" s="2" t="s">
        <v>74</v>
      </c>
      <c r="E3" s="2" t="s">
        <v>75</v>
      </c>
      <c r="F3" s="3">
        <v>46022</v>
      </c>
      <c r="G3" s="2" t="s">
        <v>76</v>
      </c>
      <c r="H3" s="70" t="s">
        <v>121</v>
      </c>
      <c r="I3" s="70" t="s">
        <v>122</v>
      </c>
      <c r="J3" s="70" t="s">
        <v>77</v>
      </c>
      <c r="K3" s="70" t="s">
        <v>78</v>
      </c>
      <c r="L3" s="71" t="s">
        <v>79</v>
      </c>
      <c r="M3" s="71" t="s">
        <v>80</v>
      </c>
      <c r="N3" s="152" t="s">
        <v>63</v>
      </c>
    </row>
    <row r="4" spans="1:27" s="10" customFormat="1" ht="11.25">
      <c r="A4" s="353"/>
      <c r="B4" s="129" t="s">
        <v>6</v>
      </c>
      <c r="C4" s="296" t="e">
        <f>+#REF!-SUM(C5:C41)</f>
        <v>#REF!</v>
      </c>
      <c r="D4" s="128"/>
      <c r="E4" s="128"/>
      <c r="F4" s="128" t="e">
        <f>SUM(F5:F38)-#REF!</f>
        <v>#REF!</v>
      </c>
      <c r="G4" s="128"/>
      <c r="H4" s="128"/>
      <c r="I4" s="128"/>
      <c r="J4" s="128"/>
      <c r="K4" s="128"/>
      <c r="L4" s="128"/>
      <c r="M4" s="128"/>
      <c r="N4" s="127">
        <f>SUM(G4:M4)</f>
        <v>0</v>
      </c>
    </row>
    <row r="5" spans="1:27" s="13" customFormat="1" ht="11.25">
      <c r="A5" s="349">
        <v>1</v>
      </c>
      <c r="B5" s="9" t="s">
        <v>132</v>
      </c>
      <c r="C5" s="294" t="e">
        <f>+SUMIF(#REF!,'CA EF'!A5,#REF!)</f>
        <v>#REF!</v>
      </c>
      <c r="D5" s="166"/>
      <c r="E5" s="166"/>
      <c r="F5" s="360" t="e">
        <f>+SUMIF(#REF!,'CA EF'!A5,#REF!)</f>
        <v>#REF!</v>
      </c>
      <c r="G5" s="164" t="e">
        <f t="shared" ref="G5:G38" si="0">+C5+D5-E5-F5</f>
        <v>#REF!</v>
      </c>
      <c r="H5" s="164"/>
      <c r="I5" s="164"/>
      <c r="J5" s="294"/>
      <c r="K5" s="294"/>
      <c r="L5" s="294"/>
      <c r="M5" s="294"/>
      <c r="N5" s="306" t="e">
        <f>SUM(G5:M5)</f>
        <v>#REF!</v>
      </c>
      <c r="O5" s="12"/>
      <c r="P5" s="12"/>
      <c r="Q5" s="12"/>
      <c r="R5" s="12"/>
      <c r="S5" s="12"/>
      <c r="T5" s="12"/>
      <c r="U5" s="12"/>
      <c r="V5" s="12"/>
      <c r="W5" s="12"/>
      <c r="X5" s="12"/>
      <c r="Y5" s="12"/>
      <c r="Z5" s="12"/>
      <c r="AA5" s="12"/>
    </row>
    <row r="6" spans="1:27" s="10" customFormat="1" ht="11.25">
      <c r="A6" s="349">
        <v>1001</v>
      </c>
      <c r="B6" s="9" t="s">
        <v>133</v>
      </c>
      <c r="C6" s="294" t="e">
        <f>+SUMIF(#REF!,'CA EF'!A6,#REF!)</f>
        <v>#REF!</v>
      </c>
      <c r="D6" s="103"/>
      <c r="E6" s="103"/>
      <c r="F6" s="360" t="e">
        <f>+SUMIF(#REF!,'CA EF'!A6,#REF!)</f>
        <v>#REF!</v>
      </c>
      <c r="G6" s="164" t="e">
        <f t="shared" si="0"/>
        <v>#REF!</v>
      </c>
      <c r="H6" s="104"/>
      <c r="I6" s="104"/>
      <c r="J6" s="303"/>
      <c r="K6" s="303"/>
      <c r="L6" s="303"/>
      <c r="M6" s="303"/>
      <c r="N6" s="306" t="e">
        <f t="shared" ref="N6:N38" si="1">SUM(G6:M6)</f>
        <v>#REF!</v>
      </c>
      <c r="O6" s="11"/>
      <c r="P6" s="11"/>
      <c r="Q6" s="11"/>
      <c r="R6" s="11"/>
      <c r="S6" s="11"/>
      <c r="T6" s="11"/>
      <c r="U6" s="11"/>
      <c r="V6" s="11"/>
      <c r="W6" s="11"/>
      <c r="X6" s="11"/>
      <c r="Y6" s="11"/>
      <c r="Z6" s="11"/>
      <c r="AA6" s="11"/>
    </row>
    <row r="7" spans="1:27" s="13" customFormat="1" ht="11.25">
      <c r="A7" s="349">
        <v>1001001</v>
      </c>
      <c r="B7" s="9" t="s">
        <v>134</v>
      </c>
      <c r="C7" s="294" t="e">
        <f>+SUMIF(#REF!,'CA EF'!A7,#REF!)</f>
        <v>#REF!</v>
      </c>
      <c r="D7" s="103"/>
      <c r="E7" s="103"/>
      <c r="F7" s="360" t="e">
        <f>+SUMIF(#REF!,'CA EF'!A7,#REF!)</f>
        <v>#REF!</v>
      </c>
      <c r="G7" s="294" t="e">
        <f t="shared" si="0"/>
        <v>#REF!</v>
      </c>
      <c r="H7" s="303"/>
      <c r="I7" s="303"/>
      <c r="J7" s="303"/>
      <c r="K7" s="303"/>
      <c r="L7" s="303"/>
      <c r="M7" s="303"/>
      <c r="N7" s="306" t="e">
        <f t="shared" si="1"/>
        <v>#REF!</v>
      </c>
      <c r="O7" s="12"/>
      <c r="P7" s="12"/>
      <c r="Q7" s="12"/>
      <c r="R7" s="12"/>
      <c r="S7" s="12"/>
      <c r="T7" s="12"/>
      <c r="U7" s="12"/>
      <c r="V7" s="12"/>
      <c r="W7" s="12"/>
      <c r="X7" s="12"/>
      <c r="Y7" s="12"/>
      <c r="Z7" s="12"/>
      <c r="AA7" s="12"/>
    </row>
    <row r="8" spans="1:27" s="13" customFormat="1" ht="11.25">
      <c r="A8" s="349">
        <v>1001001001</v>
      </c>
      <c r="B8" s="9" t="s">
        <v>135</v>
      </c>
      <c r="C8" s="294" t="e">
        <f>+SUMIF(#REF!,'CA EF'!A8,#REF!)</f>
        <v>#REF!</v>
      </c>
      <c r="D8" s="166"/>
      <c r="E8" s="166"/>
      <c r="F8" s="360" t="e">
        <f>+SUMIF(#REF!,'CA EF'!A8,#REF!)</f>
        <v>#REF!</v>
      </c>
      <c r="G8" s="294" t="e">
        <f t="shared" si="0"/>
        <v>#REF!</v>
      </c>
      <c r="H8" s="294"/>
      <c r="I8" s="294"/>
      <c r="J8" s="294"/>
      <c r="K8" s="294"/>
      <c r="L8" s="294"/>
      <c r="M8" s="294"/>
      <c r="N8" s="306" t="e">
        <f t="shared" si="1"/>
        <v>#REF!</v>
      </c>
      <c r="O8" s="12"/>
      <c r="P8" s="12"/>
      <c r="Q8" s="12"/>
      <c r="R8" s="12"/>
      <c r="S8" s="12"/>
      <c r="T8" s="12"/>
      <c r="U8" s="12"/>
      <c r="V8" s="12"/>
      <c r="W8" s="12"/>
      <c r="X8" s="12"/>
      <c r="Y8" s="12"/>
      <c r="Z8" s="12"/>
      <c r="AA8" s="12"/>
    </row>
    <row r="9" spans="1:27" s="10" customFormat="1" ht="11.25">
      <c r="A9" s="349">
        <v>1001001001001</v>
      </c>
      <c r="B9" s="14" t="s">
        <v>194</v>
      </c>
      <c r="C9" s="294" t="e">
        <f>+SUMIF(#REF!,'CA EF'!A9,#REF!)</f>
        <v>#REF!</v>
      </c>
      <c r="D9" s="166"/>
      <c r="E9" s="166"/>
      <c r="F9" s="360" t="e">
        <f>+SUMIF(#REF!,'CA EF'!A9,#REF!)</f>
        <v>#REF!</v>
      </c>
      <c r="G9" s="294" t="e">
        <f t="shared" si="0"/>
        <v>#REF!</v>
      </c>
      <c r="H9" s="294"/>
      <c r="I9" s="294"/>
      <c r="J9" s="294"/>
      <c r="K9" s="294"/>
      <c r="L9" s="294"/>
      <c r="M9" s="294"/>
      <c r="N9" s="306" t="e">
        <f t="shared" si="1"/>
        <v>#REF!</v>
      </c>
      <c r="O9" s="11"/>
      <c r="P9" s="11"/>
      <c r="Q9" s="11"/>
      <c r="R9" s="11"/>
      <c r="S9" s="11"/>
      <c r="T9" s="11"/>
      <c r="U9" s="11"/>
      <c r="V9" s="11"/>
      <c r="W9" s="11"/>
      <c r="X9" s="11"/>
      <c r="Y9" s="11"/>
      <c r="Z9" s="11"/>
      <c r="AA9" s="11"/>
    </row>
    <row r="10" spans="1:27" s="13" customFormat="1" ht="11.25">
      <c r="A10" s="349">
        <v>1002</v>
      </c>
      <c r="B10" s="14" t="s">
        <v>136</v>
      </c>
      <c r="C10" s="294" t="e">
        <f>+SUMIF(#REF!,'CA EF'!A10,#REF!)</f>
        <v>#REF!</v>
      </c>
      <c r="D10" s="166"/>
      <c r="E10" s="166"/>
      <c r="F10" s="360" t="e">
        <f>+SUMIF(#REF!,'CA EF'!A10,#REF!)</f>
        <v>#REF!</v>
      </c>
      <c r="G10" s="294" t="e">
        <f>+C10+D10-E10-F10</f>
        <v>#REF!</v>
      </c>
      <c r="H10" s="294"/>
      <c r="I10" s="294"/>
      <c r="J10" s="294"/>
      <c r="K10" s="294"/>
      <c r="L10" s="294"/>
      <c r="M10" s="294"/>
      <c r="N10" s="306" t="e">
        <f t="shared" si="1"/>
        <v>#REF!</v>
      </c>
      <c r="O10" s="12"/>
      <c r="P10" s="12"/>
      <c r="Q10" s="12"/>
      <c r="R10" s="12"/>
      <c r="S10" s="12"/>
      <c r="T10" s="12"/>
      <c r="U10" s="12"/>
      <c r="V10" s="12"/>
      <c r="W10" s="12"/>
      <c r="X10" s="12"/>
      <c r="Y10" s="12"/>
      <c r="Z10" s="12"/>
      <c r="AA10" s="12"/>
    </row>
    <row r="11" spans="1:27" s="13" customFormat="1" ht="11.25">
      <c r="A11" s="349">
        <v>1002001</v>
      </c>
      <c r="B11" s="139" t="s">
        <v>137</v>
      </c>
      <c r="C11" s="294" t="e">
        <f>+SUMIF(#REF!,'CA EF'!A11,#REF!)</f>
        <v>#REF!</v>
      </c>
      <c r="D11" s="166"/>
      <c r="E11" s="166"/>
      <c r="F11" s="360" t="e">
        <f>+SUMIF(#REF!,'CA EF'!A11,#REF!)</f>
        <v>#REF!</v>
      </c>
      <c r="G11" s="294" t="e">
        <f t="shared" si="0"/>
        <v>#REF!</v>
      </c>
      <c r="H11" s="294"/>
      <c r="I11" s="294"/>
      <c r="J11" s="294"/>
      <c r="K11" s="294"/>
      <c r="L11" s="294"/>
      <c r="M11" s="294"/>
      <c r="N11" s="306" t="e">
        <f t="shared" si="1"/>
        <v>#REF!</v>
      </c>
      <c r="O11" s="12"/>
      <c r="P11" s="12"/>
      <c r="Q11" s="12"/>
      <c r="R11" s="12"/>
      <c r="S11" s="12"/>
      <c r="T11" s="12"/>
      <c r="U11" s="12"/>
      <c r="V11" s="12"/>
      <c r="W11" s="12"/>
      <c r="X11" s="12"/>
      <c r="Y11" s="12"/>
      <c r="Z11" s="12"/>
      <c r="AA11" s="12"/>
    </row>
    <row r="12" spans="1:27" s="13" customFormat="1" ht="11.25">
      <c r="A12" s="349">
        <v>10020010010</v>
      </c>
      <c r="B12" s="9" t="s">
        <v>369</v>
      </c>
      <c r="C12" s="294" t="e">
        <f>+SUMIF(#REF!,'CA EF'!A12,#REF!)</f>
        <v>#REF!</v>
      </c>
      <c r="D12" s="103"/>
      <c r="E12" s="103"/>
      <c r="F12" s="360" t="e">
        <f>+SUMIF(#REF!,'CA EF'!A12,#REF!)</f>
        <v>#REF!</v>
      </c>
      <c r="G12" s="294" t="e">
        <f t="shared" si="0"/>
        <v>#REF!</v>
      </c>
      <c r="H12" s="294" t="e">
        <f t="shared" ref="H12:H13" si="2">-G12</f>
        <v>#REF!</v>
      </c>
      <c r="I12" s="303"/>
      <c r="J12" s="303"/>
      <c r="K12" s="303"/>
      <c r="L12" s="303"/>
      <c r="M12" s="303"/>
      <c r="N12" s="306" t="e">
        <f t="shared" ref="N12:N13" si="3">SUM(G12:M12)</f>
        <v>#REF!</v>
      </c>
      <c r="O12" s="12"/>
      <c r="P12" s="12"/>
      <c r="Q12" s="12"/>
      <c r="R12" s="12"/>
      <c r="S12" s="12"/>
      <c r="T12" s="12"/>
      <c r="U12" s="12"/>
      <c r="V12" s="12"/>
      <c r="W12" s="12"/>
      <c r="X12" s="12"/>
      <c r="Y12" s="12"/>
      <c r="Z12" s="12"/>
      <c r="AA12" s="12"/>
    </row>
    <row r="13" spans="1:27" s="13" customFormat="1" ht="11.25">
      <c r="A13" s="349">
        <v>1005000000001</v>
      </c>
      <c r="B13" s="9" t="s">
        <v>370</v>
      </c>
      <c r="C13" s="294" t="e">
        <f>+SUMIF(#REF!,'CA EF'!A13,#REF!)</f>
        <v>#REF!</v>
      </c>
      <c r="D13" s="166"/>
      <c r="E13" s="166"/>
      <c r="F13" s="360" t="e">
        <f>+SUMIF(#REF!,'CA EF'!A13,#REF!)</f>
        <v>#REF!</v>
      </c>
      <c r="G13" s="294" t="e">
        <f t="shared" si="0"/>
        <v>#REF!</v>
      </c>
      <c r="H13" s="294" t="e">
        <f t="shared" si="2"/>
        <v>#REF!</v>
      </c>
      <c r="I13" s="294"/>
      <c r="J13" s="294"/>
      <c r="K13" s="294"/>
      <c r="L13" s="294"/>
      <c r="M13" s="294"/>
      <c r="N13" s="306" t="e">
        <f t="shared" si="3"/>
        <v>#REF!</v>
      </c>
      <c r="O13" s="12"/>
      <c r="P13" s="12"/>
      <c r="Q13" s="12"/>
      <c r="R13" s="12"/>
      <c r="S13" s="12"/>
      <c r="T13" s="12"/>
      <c r="U13" s="12"/>
      <c r="V13" s="12"/>
      <c r="W13" s="12"/>
      <c r="X13" s="12"/>
      <c r="Y13" s="12"/>
      <c r="Z13" s="12"/>
      <c r="AA13" s="12"/>
    </row>
    <row r="14" spans="1:27" s="13" customFormat="1" ht="11.25">
      <c r="A14" s="349">
        <v>1002001002</v>
      </c>
      <c r="B14" s="9" t="s">
        <v>332</v>
      </c>
      <c r="C14" s="294" t="e">
        <f>+SUMIF(#REF!,'CA EF'!A14,#REF!)</f>
        <v>#REF!</v>
      </c>
      <c r="D14" s="103"/>
      <c r="E14" s="103"/>
      <c r="F14" s="360" t="e">
        <f>+SUMIF(#REF!,'CA EF'!A14,#REF!)</f>
        <v>#REF!</v>
      </c>
      <c r="G14" s="294" t="e">
        <f t="shared" ref="G14:G15" si="4">+C14+D14-E14-F14</f>
        <v>#REF!</v>
      </c>
      <c r="H14" s="294" t="e">
        <f t="shared" ref="H14:H19" si="5">-G14</f>
        <v>#REF!</v>
      </c>
      <c r="I14" s="303"/>
      <c r="J14" s="303"/>
      <c r="K14" s="303"/>
      <c r="L14" s="303"/>
      <c r="M14" s="303"/>
      <c r="N14" s="306" t="e">
        <f t="shared" si="1"/>
        <v>#REF!</v>
      </c>
      <c r="O14" s="12"/>
      <c r="P14" s="12"/>
      <c r="Q14" s="12"/>
      <c r="R14" s="12"/>
      <c r="S14" s="12"/>
      <c r="T14" s="12"/>
      <c r="U14" s="12"/>
      <c r="V14" s="12"/>
      <c r="W14" s="12"/>
      <c r="X14" s="12"/>
      <c r="Y14" s="12"/>
      <c r="Z14" s="12"/>
      <c r="AA14" s="12"/>
    </row>
    <row r="15" spans="1:27" s="13" customFormat="1" ht="11.25">
      <c r="A15" s="349">
        <v>1002001002001</v>
      </c>
      <c r="B15" s="9" t="s">
        <v>333</v>
      </c>
      <c r="C15" s="294" t="e">
        <f>+SUMIF(#REF!,'CA EF'!A15,#REF!)</f>
        <v>#REF!</v>
      </c>
      <c r="D15" s="166"/>
      <c r="E15" s="166"/>
      <c r="F15" s="360" t="e">
        <f>+SUMIF(#REF!,'CA EF'!A15,#REF!)</f>
        <v>#REF!</v>
      </c>
      <c r="G15" s="294" t="e">
        <f t="shared" si="4"/>
        <v>#REF!</v>
      </c>
      <c r="H15" s="294" t="e">
        <f t="shared" si="5"/>
        <v>#REF!</v>
      </c>
      <c r="I15" s="294"/>
      <c r="J15" s="294"/>
      <c r="K15" s="294"/>
      <c r="L15" s="294"/>
      <c r="M15" s="294"/>
      <c r="N15" s="306" t="e">
        <f t="shared" si="1"/>
        <v>#REF!</v>
      </c>
      <c r="O15" s="12"/>
      <c r="P15" s="12"/>
      <c r="Q15" s="12"/>
      <c r="R15" s="12"/>
      <c r="S15" s="12"/>
      <c r="T15" s="12"/>
      <c r="U15" s="12"/>
      <c r="V15" s="12"/>
      <c r="W15" s="12"/>
      <c r="X15" s="12"/>
      <c r="Y15" s="12"/>
      <c r="Z15" s="12"/>
      <c r="AA15" s="12"/>
    </row>
    <row r="16" spans="1:27" s="13" customFormat="1" ht="11.25">
      <c r="A16" s="349">
        <v>1002001005</v>
      </c>
      <c r="B16" s="9" t="s">
        <v>261</v>
      </c>
      <c r="C16" s="294" t="e">
        <f>+SUMIF(#REF!,'CA EF'!A16,#REF!)</f>
        <v>#REF!</v>
      </c>
      <c r="D16" s="103"/>
      <c r="E16" s="103"/>
      <c r="F16" s="360" t="e">
        <f>+SUMIF(#REF!,'CA EF'!A16,#REF!)</f>
        <v>#REF!</v>
      </c>
      <c r="G16" s="294" t="e">
        <f t="shared" si="0"/>
        <v>#REF!</v>
      </c>
      <c r="H16" s="294" t="e">
        <f t="shared" si="5"/>
        <v>#REF!</v>
      </c>
      <c r="I16" s="303"/>
      <c r="J16" s="303"/>
      <c r="K16" s="303"/>
      <c r="L16" s="303"/>
      <c r="M16" s="303"/>
      <c r="N16" s="306" t="e">
        <f t="shared" ref="N16:N17" si="6">SUM(G16:M16)</f>
        <v>#REF!</v>
      </c>
      <c r="O16" s="12"/>
      <c r="P16" s="12"/>
      <c r="Q16" s="12"/>
      <c r="R16" s="12"/>
      <c r="S16" s="12"/>
      <c r="T16" s="12"/>
      <c r="U16" s="12"/>
      <c r="V16" s="12"/>
      <c r="W16" s="12"/>
      <c r="X16" s="12"/>
      <c r="Y16" s="12"/>
      <c r="Z16" s="12"/>
      <c r="AA16" s="12"/>
    </row>
    <row r="17" spans="1:27" s="13" customFormat="1" ht="11.25">
      <c r="A17" s="349">
        <v>1002001005001</v>
      </c>
      <c r="B17" s="9" t="s">
        <v>262</v>
      </c>
      <c r="C17" s="294" t="e">
        <f>+SUMIF(#REF!,'CA EF'!A17,#REF!)</f>
        <v>#REF!</v>
      </c>
      <c r="D17" s="166"/>
      <c r="E17" s="166"/>
      <c r="F17" s="360" t="e">
        <f>+SUMIF(#REF!,'CA EF'!A17,#REF!)</f>
        <v>#REF!</v>
      </c>
      <c r="G17" s="294" t="e">
        <f t="shared" si="0"/>
        <v>#REF!</v>
      </c>
      <c r="H17" s="294" t="e">
        <f t="shared" si="5"/>
        <v>#REF!</v>
      </c>
      <c r="I17" s="294"/>
      <c r="J17" s="294"/>
      <c r="K17" s="294"/>
      <c r="L17" s="294"/>
      <c r="M17" s="294"/>
      <c r="N17" s="306" t="e">
        <f t="shared" si="6"/>
        <v>#REF!</v>
      </c>
      <c r="O17" s="12"/>
      <c r="P17" s="12"/>
      <c r="Q17" s="12"/>
      <c r="R17" s="12"/>
      <c r="S17" s="12"/>
      <c r="T17" s="12"/>
      <c r="U17" s="12"/>
      <c r="V17" s="12"/>
      <c r="W17" s="12"/>
      <c r="X17" s="12"/>
      <c r="Y17" s="12"/>
      <c r="Z17" s="12"/>
      <c r="AA17" s="12"/>
    </row>
    <row r="18" spans="1:27" s="13" customFormat="1" ht="11.25">
      <c r="A18" s="349">
        <v>1002001007</v>
      </c>
      <c r="B18" s="9" t="s">
        <v>138</v>
      </c>
      <c r="C18" s="294" t="e">
        <f>+SUMIF(#REF!,'CA EF'!A18,#REF!)</f>
        <v>#REF!</v>
      </c>
      <c r="D18" s="103"/>
      <c r="E18" s="103"/>
      <c r="F18" s="360" t="e">
        <f>+SUMIF(#REF!,'CA EF'!A18,#REF!)</f>
        <v>#REF!</v>
      </c>
      <c r="G18" s="294" t="e">
        <f t="shared" ref="G18:G20" si="7">+C18+D18-E18-F18</f>
        <v>#REF!</v>
      </c>
      <c r="H18" s="294" t="e">
        <f t="shared" si="5"/>
        <v>#REF!</v>
      </c>
      <c r="I18" s="303"/>
      <c r="J18" s="303"/>
      <c r="K18" s="303"/>
      <c r="L18" s="303"/>
      <c r="M18" s="303"/>
      <c r="N18" s="306" t="e">
        <f t="shared" si="1"/>
        <v>#REF!</v>
      </c>
      <c r="O18" s="12"/>
      <c r="P18" s="12"/>
      <c r="Q18" s="12"/>
      <c r="R18" s="12"/>
      <c r="S18" s="12"/>
      <c r="T18" s="12"/>
      <c r="U18" s="12"/>
      <c r="V18" s="12"/>
      <c r="W18" s="12"/>
      <c r="X18" s="12"/>
      <c r="Y18" s="12"/>
      <c r="Z18" s="12"/>
      <c r="AA18" s="12"/>
    </row>
    <row r="19" spans="1:27" s="13" customFormat="1" ht="11.25">
      <c r="A19" s="349">
        <v>1002001007001</v>
      </c>
      <c r="B19" s="9" t="s">
        <v>195</v>
      </c>
      <c r="C19" s="294" t="e">
        <f>+SUMIF(#REF!,'CA EF'!A19,#REF!)</f>
        <v>#REF!</v>
      </c>
      <c r="D19" s="166"/>
      <c r="E19" s="166"/>
      <c r="F19" s="360" t="e">
        <f>+SUMIF(#REF!,'CA EF'!A19,#REF!)</f>
        <v>#REF!</v>
      </c>
      <c r="G19" s="294" t="e">
        <f t="shared" si="7"/>
        <v>#REF!</v>
      </c>
      <c r="H19" s="294" t="e">
        <f t="shared" si="5"/>
        <v>#REF!</v>
      </c>
      <c r="I19" s="294"/>
      <c r="J19" s="294"/>
      <c r="K19" s="294"/>
      <c r="L19" s="294"/>
      <c r="M19" s="294"/>
      <c r="N19" s="306" t="e">
        <f t="shared" si="1"/>
        <v>#REF!</v>
      </c>
      <c r="O19" s="12"/>
      <c r="P19" s="12"/>
      <c r="Q19" s="12"/>
      <c r="R19" s="12"/>
      <c r="S19" s="12"/>
      <c r="T19" s="12"/>
      <c r="U19" s="12"/>
      <c r="V19" s="12"/>
      <c r="W19" s="12"/>
      <c r="X19" s="12"/>
      <c r="Y19" s="12"/>
      <c r="Z19" s="12"/>
      <c r="AA19" s="12"/>
    </row>
    <row r="20" spans="1:27" s="10" customFormat="1" ht="11.25">
      <c r="A20" s="349">
        <v>1002001009</v>
      </c>
      <c r="B20" s="14" t="s">
        <v>139</v>
      </c>
      <c r="C20" s="294" t="e">
        <f>+SUMIF(#REF!,'CA EF'!A20,#REF!)</f>
        <v>#REF!</v>
      </c>
      <c r="D20" s="166"/>
      <c r="E20" s="166"/>
      <c r="F20" s="360" t="e">
        <f>+SUMIF(#REF!,'CA EF'!A20,#REF!)</f>
        <v>#REF!</v>
      </c>
      <c r="G20" s="294" t="e">
        <f t="shared" si="7"/>
        <v>#REF!</v>
      </c>
      <c r="H20" s="294" t="e">
        <f t="shared" ref="H20" si="8">-G20</f>
        <v>#REF!</v>
      </c>
      <c r="I20" s="294"/>
      <c r="J20" s="294"/>
      <c r="K20" s="294"/>
      <c r="L20" s="294"/>
      <c r="M20" s="294"/>
      <c r="N20" s="306" t="e">
        <f t="shared" si="1"/>
        <v>#REF!</v>
      </c>
      <c r="O20" s="11"/>
      <c r="P20" s="11"/>
      <c r="Q20" s="11"/>
      <c r="R20" s="11"/>
      <c r="S20" s="11"/>
      <c r="T20" s="11"/>
      <c r="U20" s="11"/>
      <c r="V20" s="11"/>
      <c r="W20" s="11"/>
      <c r="X20" s="11"/>
      <c r="Y20" s="11"/>
      <c r="Z20" s="11"/>
      <c r="AA20" s="11"/>
    </row>
    <row r="21" spans="1:27" s="13" customFormat="1" ht="11.25">
      <c r="A21" s="349">
        <v>1002001009001</v>
      </c>
      <c r="B21" s="14" t="s">
        <v>196</v>
      </c>
      <c r="C21" s="294" t="e">
        <f>+SUMIF(#REF!,'CA EF'!A21,#REF!)</f>
        <v>#REF!</v>
      </c>
      <c r="D21" s="166"/>
      <c r="E21" s="166"/>
      <c r="F21" s="360" t="e">
        <f>+SUMIF(#REF!,'CA EF'!A21,#REF!)</f>
        <v>#REF!</v>
      </c>
      <c r="G21" s="294" t="e">
        <f>+C21+D21-E21-F21</f>
        <v>#REF!</v>
      </c>
      <c r="H21" s="294" t="e">
        <f>-G21</f>
        <v>#REF!</v>
      </c>
      <c r="I21" s="294"/>
      <c r="J21" s="294"/>
      <c r="K21" s="294"/>
      <c r="L21" s="294"/>
      <c r="M21" s="294"/>
      <c r="N21" s="306" t="e">
        <f t="shared" ref="N21" si="9">SUM(G21:M21)</f>
        <v>#REF!</v>
      </c>
      <c r="O21" s="12"/>
      <c r="P21" s="12"/>
      <c r="Q21" s="12"/>
      <c r="R21" s="12"/>
      <c r="S21" s="12"/>
      <c r="T21" s="12"/>
      <c r="U21" s="12"/>
      <c r="V21" s="12"/>
      <c r="W21" s="12"/>
      <c r="X21" s="12"/>
      <c r="Y21" s="12"/>
      <c r="Z21" s="12"/>
      <c r="AA21" s="12"/>
    </row>
    <row r="22" spans="1:27" s="13" customFormat="1" ht="11.25">
      <c r="A22" s="349">
        <v>1002001010001</v>
      </c>
      <c r="B22" s="14" t="s">
        <v>369</v>
      </c>
      <c r="C22" s="294" t="e">
        <f>+SUMIF(#REF!,'CA EF'!A22,#REF!)</f>
        <v>#REF!</v>
      </c>
      <c r="D22" s="166"/>
      <c r="E22" s="166"/>
      <c r="F22" s="360" t="e">
        <f>+SUMIF(#REF!,'CA EF'!A22,#REF!)</f>
        <v>#REF!</v>
      </c>
      <c r="G22" s="294" t="e">
        <f>+C22+D22-E22-F22</f>
        <v>#REF!</v>
      </c>
      <c r="H22" s="294" t="e">
        <f>-G22</f>
        <v>#REF!</v>
      </c>
      <c r="I22" s="294"/>
      <c r="J22" s="294"/>
      <c r="K22" s="294"/>
      <c r="L22" s="294"/>
      <c r="M22" s="294"/>
      <c r="N22" s="306" t="e">
        <f t="shared" si="1"/>
        <v>#REF!</v>
      </c>
      <c r="O22" s="12"/>
      <c r="P22" s="12"/>
      <c r="Q22" s="12"/>
      <c r="R22" s="12"/>
      <c r="S22" s="12"/>
      <c r="T22" s="12"/>
      <c r="U22" s="12"/>
      <c r="V22" s="12"/>
      <c r="W22" s="12"/>
      <c r="X22" s="12"/>
      <c r="Y22" s="12"/>
      <c r="Z22" s="12"/>
      <c r="AA22" s="12"/>
    </row>
    <row r="23" spans="1:27" s="13" customFormat="1" ht="11.25">
      <c r="A23" s="349">
        <v>1003</v>
      </c>
      <c r="B23" s="14" t="s">
        <v>140</v>
      </c>
      <c r="C23" s="294" t="e">
        <f>+SUMIF(#REF!,'CA EF'!A23,#REF!)</f>
        <v>#REF!</v>
      </c>
      <c r="D23" s="166"/>
      <c r="E23" s="166"/>
      <c r="F23" s="360" t="e">
        <f>+SUMIF(#REF!,'CA EF'!A23,#REF!)</f>
        <v>#REF!</v>
      </c>
      <c r="G23" s="294" t="e">
        <f t="shared" ref="G23" si="10">+C23+D23-E23-F23</f>
        <v>#REF!</v>
      </c>
      <c r="H23" s="294"/>
      <c r="I23" s="294"/>
      <c r="J23" s="294"/>
      <c r="K23" s="294"/>
      <c r="L23" s="294"/>
      <c r="M23" s="294"/>
      <c r="N23" s="306" t="e">
        <f t="shared" si="1"/>
        <v>#REF!</v>
      </c>
      <c r="O23" s="12"/>
      <c r="P23" s="12"/>
      <c r="Q23" s="12"/>
      <c r="R23" s="12"/>
      <c r="S23" s="12"/>
      <c r="T23" s="12"/>
      <c r="U23" s="12"/>
      <c r="V23" s="12"/>
      <c r="W23" s="12"/>
      <c r="X23" s="12"/>
      <c r="Y23" s="12"/>
      <c r="Z23" s="12"/>
      <c r="AA23" s="12"/>
    </row>
    <row r="24" spans="1:27" s="13" customFormat="1" ht="11.25">
      <c r="A24" s="349">
        <v>1003001001</v>
      </c>
      <c r="B24" s="14" t="s">
        <v>141</v>
      </c>
      <c r="C24" s="294" t="e">
        <f>+SUMIF(#REF!,'CA EF'!A24,#REF!)</f>
        <v>#REF!</v>
      </c>
      <c r="D24" s="166"/>
      <c r="E24" s="166"/>
      <c r="F24" s="360" t="e">
        <f>+SUMIF(#REF!,'CA EF'!A24,#REF!)</f>
        <v>#REF!</v>
      </c>
      <c r="G24" s="294" t="e">
        <f t="shared" si="0"/>
        <v>#REF!</v>
      </c>
      <c r="H24" s="294" t="e">
        <f t="shared" ref="H24" si="11">-G24</f>
        <v>#REF!</v>
      </c>
      <c r="I24" s="294"/>
      <c r="J24" s="294"/>
      <c r="K24" s="294"/>
      <c r="L24" s="294"/>
      <c r="M24" s="294"/>
      <c r="N24" s="306" t="e">
        <f t="shared" si="1"/>
        <v>#REF!</v>
      </c>
      <c r="O24" s="12"/>
      <c r="P24" s="12"/>
      <c r="Q24" s="12"/>
      <c r="R24" s="12"/>
      <c r="S24" s="12"/>
      <c r="T24" s="12"/>
      <c r="U24" s="12"/>
      <c r="V24" s="12"/>
      <c r="W24" s="12"/>
      <c r="X24" s="12"/>
      <c r="Y24" s="12"/>
      <c r="Z24" s="12"/>
      <c r="AA24" s="12"/>
    </row>
    <row r="25" spans="1:27" s="13" customFormat="1" ht="11.25">
      <c r="A25" s="349">
        <v>1003001001001</v>
      </c>
      <c r="B25" s="14" t="s">
        <v>197</v>
      </c>
      <c r="C25" s="294" t="e">
        <f>+SUMIF(#REF!,'CA EF'!A25,#REF!)</f>
        <v>#REF!</v>
      </c>
      <c r="D25" s="166"/>
      <c r="E25" s="166"/>
      <c r="F25" s="360" t="e">
        <f>+SUMIF(#REF!,'CA EF'!A25,#REF!)</f>
        <v>#REF!</v>
      </c>
      <c r="G25" s="294" t="e">
        <f t="shared" ref="G25" si="12">+C25+D25-E25-F25</f>
        <v>#REF!</v>
      </c>
      <c r="H25" s="294"/>
      <c r="I25" s="294" t="e">
        <f>-G25</f>
        <v>#REF!</v>
      </c>
      <c r="J25" s="294"/>
      <c r="K25" s="294"/>
      <c r="L25" s="294"/>
      <c r="M25" s="294"/>
      <c r="N25" s="306" t="e">
        <f t="shared" ref="N25" si="13">SUM(G25:M25)</f>
        <v>#REF!</v>
      </c>
      <c r="O25" s="12"/>
      <c r="P25" s="12"/>
      <c r="Q25" s="12"/>
      <c r="R25" s="12"/>
      <c r="S25" s="12"/>
      <c r="T25" s="12"/>
      <c r="U25" s="12"/>
      <c r="V25" s="12"/>
      <c r="W25" s="12"/>
      <c r="X25" s="12"/>
      <c r="Y25" s="12"/>
      <c r="Z25" s="12"/>
      <c r="AA25" s="12"/>
    </row>
    <row r="26" spans="1:27" s="13" customFormat="1" ht="11.25">
      <c r="A26" s="349">
        <v>1003001001002</v>
      </c>
      <c r="B26" s="14" t="s">
        <v>372</v>
      </c>
      <c r="C26" s="294" t="e">
        <f>+SUMIF(#REF!,'CA EF'!A26,#REF!)</f>
        <v>#REF!</v>
      </c>
      <c r="D26" s="166"/>
      <c r="E26" s="166"/>
      <c r="F26" s="360" t="e">
        <f>+SUMIF(#REF!,'CA EF'!A26,#REF!)</f>
        <v>#REF!</v>
      </c>
      <c r="G26" s="294" t="e">
        <f t="shared" si="0"/>
        <v>#REF!</v>
      </c>
      <c r="H26" s="294"/>
      <c r="I26" s="294" t="e">
        <f>-G26</f>
        <v>#REF!</v>
      </c>
      <c r="J26" s="294"/>
      <c r="K26" s="294"/>
      <c r="L26" s="294"/>
      <c r="M26" s="294"/>
      <c r="N26" s="306" t="e">
        <f t="shared" si="1"/>
        <v>#REF!</v>
      </c>
      <c r="O26" s="12"/>
      <c r="P26" s="12"/>
      <c r="Q26" s="12"/>
      <c r="R26" s="12"/>
      <c r="S26" s="12"/>
      <c r="T26" s="12"/>
      <c r="U26" s="12"/>
      <c r="V26" s="12"/>
      <c r="W26" s="12"/>
      <c r="X26" s="12"/>
      <c r="Y26" s="12"/>
      <c r="Z26" s="12"/>
      <c r="AA26" s="12"/>
    </row>
    <row r="27" spans="1:27" s="13" customFormat="1" ht="11.25">
      <c r="A27" s="349">
        <v>1004</v>
      </c>
      <c r="B27" s="14" t="s">
        <v>198</v>
      </c>
      <c r="C27" s="294" t="e">
        <f>+SUMIF(#REF!,'CA EF'!A27,#REF!)</f>
        <v>#REF!</v>
      </c>
      <c r="D27" s="166"/>
      <c r="E27" s="166"/>
      <c r="F27" s="360" t="e">
        <f>+SUMIF(#REF!,'CA EF'!A27,#REF!)</f>
        <v>#REF!</v>
      </c>
      <c r="G27" s="294" t="e">
        <f t="shared" si="0"/>
        <v>#REF!</v>
      </c>
      <c r="H27" s="294"/>
      <c r="I27" s="294"/>
      <c r="J27" s="294"/>
      <c r="K27" s="294"/>
      <c r="L27" s="294"/>
      <c r="M27" s="294"/>
      <c r="N27" s="306" t="e">
        <f t="shared" si="1"/>
        <v>#REF!</v>
      </c>
      <c r="O27" s="12"/>
      <c r="P27" s="12"/>
      <c r="Q27" s="12"/>
      <c r="R27" s="12"/>
      <c r="S27" s="12"/>
      <c r="T27" s="12"/>
      <c r="U27" s="12"/>
      <c r="V27" s="12"/>
      <c r="W27" s="12"/>
      <c r="X27" s="12"/>
      <c r="Y27" s="12"/>
      <c r="Z27" s="12"/>
      <c r="AA27" s="12"/>
    </row>
    <row r="28" spans="1:27" s="13" customFormat="1" ht="11.25">
      <c r="A28" s="349">
        <v>1004002</v>
      </c>
      <c r="B28" s="14" t="s">
        <v>199</v>
      </c>
      <c r="C28" s="294" t="e">
        <f>+SUMIF(#REF!,'CA EF'!A28,#REF!)</f>
        <v>#REF!</v>
      </c>
      <c r="D28" s="166"/>
      <c r="E28" s="166"/>
      <c r="F28" s="360" t="e">
        <f>+SUMIF(#REF!,'CA EF'!A28,#REF!)</f>
        <v>#REF!</v>
      </c>
      <c r="G28" s="294" t="e">
        <f t="shared" si="0"/>
        <v>#REF!</v>
      </c>
      <c r="H28" s="294"/>
      <c r="I28" s="294"/>
      <c r="J28" s="294"/>
      <c r="K28" s="294"/>
      <c r="L28" s="294"/>
      <c r="M28" s="294"/>
      <c r="N28" s="306" t="e">
        <f t="shared" si="1"/>
        <v>#REF!</v>
      </c>
      <c r="O28" s="12"/>
      <c r="P28" s="12"/>
      <c r="Q28" s="12"/>
      <c r="R28" s="12"/>
      <c r="S28" s="12"/>
      <c r="T28" s="12"/>
      <c r="U28" s="12"/>
      <c r="V28" s="12"/>
      <c r="W28" s="12"/>
      <c r="X28" s="12"/>
      <c r="Y28" s="12"/>
      <c r="Z28" s="12"/>
      <c r="AA28" s="12"/>
    </row>
    <row r="29" spans="1:27" s="13" customFormat="1" ht="11.25">
      <c r="A29" s="349">
        <v>1004002000001</v>
      </c>
      <c r="B29" s="14" t="s">
        <v>263</v>
      </c>
      <c r="C29" s="299" t="e">
        <f>+SUMIF(#REF!,'CA EF'!A29,#REF!)</f>
        <v>#REF!</v>
      </c>
      <c r="D29" s="166"/>
      <c r="E29" s="166"/>
      <c r="F29" s="360" t="e">
        <f>+SUMIF(#REF!,'CA EF'!A29,#REF!)</f>
        <v>#REF!</v>
      </c>
      <c r="G29" s="299" t="e">
        <f t="shared" ref="G29" si="14">+C29+D29-E29-F29</f>
        <v>#REF!</v>
      </c>
      <c r="H29" s="299"/>
      <c r="I29" s="299"/>
      <c r="J29" s="299"/>
      <c r="K29" s="299" t="e">
        <f t="shared" ref="K29" si="15">-G29</f>
        <v>#REF!</v>
      </c>
      <c r="L29" s="299"/>
      <c r="M29" s="299"/>
      <c r="N29" s="306" t="e">
        <f t="shared" ref="N29" si="16">SUM(G29:M29)</f>
        <v>#REF!</v>
      </c>
      <c r="O29" s="12"/>
      <c r="P29" s="12"/>
      <c r="Q29" s="12"/>
      <c r="R29" s="12"/>
      <c r="S29" s="12"/>
      <c r="T29" s="12"/>
      <c r="U29" s="12"/>
      <c r="V29" s="12"/>
      <c r="W29" s="12"/>
      <c r="X29" s="12"/>
      <c r="Y29" s="12"/>
      <c r="Z29" s="12"/>
      <c r="AA29" s="12"/>
    </row>
    <row r="30" spans="1:27" s="13" customFormat="1" ht="11.25">
      <c r="A30" s="349">
        <v>1004002000002</v>
      </c>
      <c r="B30" s="14" t="s">
        <v>264</v>
      </c>
      <c r="C30" s="299" t="e">
        <f>+SUMIF(#REF!,'CA EF'!A30,#REF!)</f>
        <v>#REF!</v>
      </c>
      <c r="D30" s="166"/>
      <c r="E30" s="166"/>
      <c r="F30" s="360" t="e">
        <f>+SUMIF(#REF!,'CA EF'!A30,#REF!)</f>
        <v>#REF!</v>
      </c>
      <c r="G30" s="299" t="e">
        <f t="shared" si="0"/>
        <v>#REF!</v>
      </c>
      <c r="H30" s="299"/>
      <c r="I30" s="299"/>
      <c r="J30" s="299"/>
      <c r="K30" s="299" t="e">
        <f t="shared" ref="K30:K32" si="17">-G30</f>
        <v>#REF!</v>
      </c>
      <c r="L30" s="299"/>
      <c r="M30" s="299"/>
      <c r="N30" s="306" t="e">
        <f t="shared" si="1"/>
        <v>#REF!</v>
      </c>
      <c r="O30" s="12"/>
      <c r="P30" s="12"/>
      <c r="Q30" s="12"/>
      <c r="R30" s="12"/>
      <c r="S30" s="12"/>
      <c r="T30" s="12"/>
      <c r="U30" s="12"/>
      <c r="V30" s="12"/>
      <c r="W30" s="12"/>
      <c r="X30" s="12"/>
      <c r="Y30" s="12"/>
      <c r="Z30" s="12"/>
      <c r="AA30" s="12"/>
    </row>
    <row r="31" spans="1:27" s="13" customFormat="1" ht="11.25">
      <c r="A31" s="349">
        <v>1004002000003</v>
      </c>
      <c r="B31" s="14" t="s">
        <v>265</v>
      </c>
      <c r="C31" s="299" t="e">
        <f>+SUMIF(#REF!,'CA EF'!A31,#REF!)</f>
        <v>#REF!</v>
      </c>
      <c r="D31" s="166"/>
      <c r="E31" s="166"/>
      <c r="F31" s="360" t="e">
        <f>+SUMIF(#REF!,'CA EF'!A31,#REF!)</f>
        <v>#REF!</v>
      </c>
      <c r="G31" s="299" t="e">
        <f t="shared" si="0"/>
        <v>#REF!</v>
      </c>
      <c r="H31" s="299"/>
      <c r="I31" s="299"/>
      <c r="J31" s="299"/>
      <c r="K31" s="299" t="e">
        <f t="shared" si="17"/>
        <v>#REF!</v>
      </c>
      <c r="L31" s="299"/>
      <c r="M31" s="299"/>
      <c r="N31" s="306" t="e">
        <f t="shared" si="1"/>
        <v>#REF!</v>
      </c>
      <c r="O31" s="12"/>
      <c r="P31" s="12"/>
      <c r="Q31" s="12"/>
      <c r="R31" s="12"/>
      <c r="S31" s="12"/>
      <c r="T31" s="12"/>
      <c r="U31" s="12"/>
      <c r="V31" s="12"/>
      <c r="W31" s="12"/>
      <c r="X31" s="12"/>
      <c r="Y31" s="12"/>
      <c r="Z31" s="12"/>
      <c r="AA31" s="12"/>
    </row>
    <row r="32" spans="1:27" s="13" customFormat="1" ht="11.25">
      <c r="A32" s="349">
        <v>1004002000004</v>
      </c>
      <c r="B32" s="14" t="s">
        <v>266</v>
      </c>
      <c r="C32" s="299" t="e">
        <f>+SUMIF(#REF!,'CA EF'!A32,#REF!)</f>
        <v>#REF!</v>
      </c>
      <c r="D32" s="166"/>
      <c r="E32" s="166"/>
      <c r="F32" s="360" t="e">
        <f>+SUMIF(#REF!,'CA EF'!A32,#REF!)</f>
        <v>#REF!</v>
      </c>
      <c r="G32" s="299" t="e">
        <f t="shared" si="0"/>
        <v>#REF!</v>
      </c>
      <c r="H32" s="299"/>
      <c r="I32" s="299"/>
      <c r="J32" s="299"/>
      <c r="K32" s="299" t="e">
        <f t="shared" si="17"/>
        <v>#REF!</v>
      </c>
      <c r="L32" s="299"/>
      <c r="M32" s="299"/>
      <c r="N32" s="306" t="e">
        <f t="shared" si="1"/>
        <v>#REF!</v>
      </c>
      <c r="O32" s="12"/>
      <c r="P32" s="12"/>
      <c r="Q32" s="12"/>
      <c r="R32" s="12"/>
      <c r="S32" s="12"/>
      <c r="T32" s="12"/>
      <c r="U32" s="12"/>
      <c r="V32" s="12"/>
      <c r="W32" s="12"/>
      <c r="X32" s="12"/>
      <c r="Y32" s="12"/>
      <c r="Z32" s="12"/>
      <c r="AA32" s="12"/>
    </row>
    <row r="33" spans="1:27" s="13" customFormat="1" ht="11.25">
      <c r="A33" s="349">
        <v>1004002000006</v>
      </c>
      <c r="B33" s="14" t="s">
        <v>200</v>
      </c>
      <c r="C33" s="299" t="e">
        <f>+SUMIF(#REF!,'CA EF'!A33,#REF!)</f>
        <v>#REF!</v>
      </c>
      <c r="D33" s="166"/>
      <c r="E33" s="166"/>
      <c r="F33" s="360" t="e">
        <f>+SUMIF(#REF!,'CA EF'!A33,#REF!)</f>
        <v>#REF!</v>
      </c>
      <c r="G33" s="299" t="e">
        <f t="shared" si="0"/>
        <v>#REF!</v>
      </c>
      <c r="H33" s="299"/>
      <c r="I33" s="299"/>
      <c r="J33" s="299"/>
      <c r="K33" s="299" t="e">
        <f t="shared" ref="K33:K38" si="18">-G33</f>
        <v>#REF!</v>
      </c>
      <c r="L33" s="299"/>
      <c r="M33" s="299"/>
      <c r="N33" s="306" t="e">
        <f t="shared" ref="N33" si="19">SUM(G33:M33)</f>
        <v>#REF!</v>
      </c>
      <c r="O33" s="12"/>
      <c r="P33" s="12"/>
      <c r="Q33" s="12"/>
      <c r="R33" s="12"/>
      <c r="S33" s="12"/>
      <c r="T33" s="12"/>
      <c r="U33" s="12"/>
      <c r="V33" s="12"/>
      <c r="W33" s="12"/>
      <c r="X33" s="12"/>
      <c r="Y33" s="12"/>
      <c r="Z33" s="12"/>
      <c r="AA33" s="12"/>
    </row>
    <row r="34" spans="1:27" s="13" customFormat="1" ht="11.25">
      <c r="A34" s="349">
        <v>1004002000005</v>
      </c>
      <c r="B34" s="14" t="s">
        <v>232</v>
      </c>
      <c r="C34" s="299" t="e">
        <f>+SUMIF(#REF!,'CA EF'!A34,#REF!)</f>
        <v>#REF!</v>
      </c>
      <c r="D34" s="166"/>
      <c r="E34" s="166"/>
      <c r="F34" s="360" t="e">
        <f>+SUMIF(#REF!,'CA EF'!A34,#REF!)</f>
        <v>#REF!</v>
      </c>
      <c r="G34" s="299" t="e">
        <f t="shared" ref="G34:G36" si="20">+C34+D34-E34-F34</f>
        <v>#REF!</v>
      </c>
      <c r="H34" s="299"/>
      <c r="I34" s="299"/>
      <c r="J34" s="299"/>
      <c r="K34" s="299" t="e">
        <f t="shared" si="18"/>
        <v>#REF!</v>
      </c>
      <c r="L34" s="299"/>
      <c r="M34" s="299"/>
      <c r="N34" s="306" t="e">
        <f t="shared" ref="N34:N36" si="21">SUM(G34:M34)</f>
        <v>#REF!</v>
      </c>
      <c r="O34" s="12"/>
      <c r="P34" s="12"/>
      <c r="Q34" s="12"/>
      <c r="R34" s="12"/>
      <c r="S34" s="12"/>
      <c r="T34" s="12"/>
      <c r="U34" s="12"/>
      <c r="V34" s="12"/>
      <c r="W34" s="12"/>
      <c r="X34" s="12"/>
      <c r="Y34" s="12"/>
      <c r="Z34" s="12"/>
      <c r="AA34" s="12"/>
    </row>
    <row r="35" spans="1:27" s="13" customFormat="1" ht="11.25">
      <c r="A35" s="349">
        <v>1004002000007</v>
      </c>
      <c r="B35" s="14" t="s">
        <v>535</v>
      </c>
      <c r="C35" s="299" t="e">
        <f>+SUMIF(#REF!,'CA EF'!A35,#REF!)</f>
        <v>#REF!</v>
      </c>
      <c r="D35" s="166"/>
      <c r="E35" s="166"/>
      <c r="F35" s="360" t="e">
        <f>+SUMIF(#REF!,'CA EF'!A35,#REF!)</f>
        <v>#REF!</v>
      </c>
      <c r="G35" s="299" t="e">
        <f t="shared" si="20"/>
        <v>#REF!</v>
      </c>
      <c r="H35" s="299"/>
      <c r="I35" s="299"/>
      <c r="J35" s="299"/>
      <c r="K35" s="299" t="e">
        <f t="shared" si="18"/>
        <v>#REF!</v>
      </c>
      <c r="L35" s="299"/>
      <c r="M35" s="299"/>
      <c r="N35" s="306" t="e">
        <f t="shared" si="21"/>
        <v>#REF!</v>
      </c>
      <c r="O35" s="12"/>
      <c r="P35" s="12"/>
      <c r="Q35" s="12"/>
      <c r="R35" s="12"/>
      <c r="S35" s="12"/>
      <c r="T35" s="12"/>
      <c r="U35" s="12"/>
      <c r="V35" s="12"/>
      <c r="W35" s="12"/>
      <c r="X35" s="12"/>
      <c r="Y35" s="12"/>
      <c r="Z35" s="12"/>
      <c r="AA35" s="12"/>
    </row>
    <row r="36" spans="1:27" s="13" customFormat="1" ht="11.25">
      <c r="A36" s="349">
        <v>1004002000008</v>
      </c>
      <c r="B36" s="14" t="s">
        <v>536</v>
      </c>
      <c r="C36" s="299" t="e">
        <f>+SUMIF(#REF!,'CA EF'!A36,#REF!)</f>
        <v>#REF!</v>
      </c>
      <c r="D36" s="166"/>
      <c r="E36" s="166"/>
      <c r="F36" s="360" t="e">
        <f>+SUMIF(#REF!,'CA EF'!A36,#REF!)</f>
        <v>#REF!</v>
      </c>
      <c r="G36" s="299" t="e">
        <f t="shared" si="20"/>
        <v>#REF!</v>
      </c>
      <c r="H36" s="299"/>
      <c r="I36" s="299"/>
      <c r="J36" s="299"/>
      <c r="K36" s="299" t="e">
        <f t="shared" si="18"/>
        <v>#REF!</v>
      </c>
      <c r="L36" s="299"/>
      <c r="M36" s="299"/>
      <c r="N36" s="306" t="e">
        <f t="shared" si="21"/>
        <v>#REF!</v>
      </c>
      <c r="O36" s="12"/>
      <c r="P36" s="12"/>
      <c r="Q36" s="12"/>
      <c r="R36" s="12"/>
      <c r="S36" s="12"/>
      <c r="T36" s="12"/>
      <c r="U36" s="12"/>
      <c r="V36" s="12"/>
      <c r="W36" s="12"/>
      <c r="X36" s="12"/>
      <c r="Y36" s="12"/>
      <c r="Z36" s="12"/>
      <c r="AA36" s="12"/>
    </row>
    <row r="37" spans="1:27" s="13" customFormat="1" ht="11.25">
      <c r="A37" s="349">
        <v>1004002000009</v>
      </c>
      <c r="B37" s="14" t="s">
        <v>592</v>
      </c>
      <c r="C37" s="299" t="e">
        <f>+SUMIF(#REF!,'CA EF'!A37,#REF!)</f>
        <v>#REF!</v>
      </c>
      <c r="D37" s="166"/>
      <c r="E37" s="166"/>
      <c r="F37" s="360" t="e">
        <f>+SUMIF(#REF!,'CA EF'!A37,#REF!)</f>
        <v>#REF!</v>
      </c>
      <c r="G37" s="299" t="e">
        <f t="shared" ref="G37" si="22">+C37+D37-E37-F37</f>
        <v>#REF!</v>
      </c>
      <c r="H37" s="299"/>
      <c r="I37" s="299"/>
      <c r="J37" s="299"/>
      <c r="K37" s="299" t="e">
        <f t="shared" si="18"/>
        <v>#REF!</v>
      </c>
      <c r="L37" s="299"/>
      <c r="M37" s="299"/>
      <c r="N37" s="306" t="e">
        <f t="shared" ref="N37" si="23">SUM(G37:M37)</f>
        <v>#REF!</v>
      </c>
      <c r="O37" s="12"/>
      <c r="P37" s="12"/>
      <c r="Q37" s="12"/>
      <c r="R37" s="12"/>
      <c r="S37" s="12"/>
      <c r="T37" s="12"/>
      <c r="U37" s="12"/>
      <c r="V37" s="12"/>
      <c r="W37" s="12"/>
      <c r="X37" s="12"/>
      <c r="Y37" s="12"/>
      <c r="Z37" s="12"/>
      <c r="AA37" s="12"/>
    </row>
    <row r="38" spans="1:27" s="13" customFormat="1" ht="11.25">
      <c r="A38" s="349">
        <v>1004002000010</v>
      </c>
      <c r="B38" s="14" t="s">
        <v>593</v>
      </c>
      <c r="C38" s="299" t="e">
        <f>+SUMIF(#REF!,'CA EF'!A38,#REF!)</f>
        <v>#REF!</v>
      </c>
      <c r="D38" s="166"/>
      <c r="E38" s="166"/>
      <c r="F38" s="360" t="e">
        <f>+SUMIF(#REF!,'CA EF'!A38,#REF!)</f>
        <v>#REF!</v>
      </c>
      <c r="G38" s="299" t="e">
        <f t="shared" si="0"/>
        <v>#REF!</v>
      </c>
      <c r="H38" s="299"/>
      <c r="I38" s="299"/>
      <c r="J38" s="299"/>
      <c r="K38" s="299" t="e">
        <f t="shared" si="18"/>
        <v>#REF!</v>
      </c>
      <c r="L38" s="299"/>
      <c r="M38" s="299"/>
      <c r="N38" s="306" t="e">
        <f t="shared" si="1"/>
        <v>#REF!</v>
      </c>
      <c r="O38" s="12"/>
      <c r="P38" s="12"/>
      <c r="Q38" s="12"/>
      <c r="R38" s="12"/>
      <c r="S38" s="12"/>
      <c r="T38" s="12"/>
      <c r="U38" s="12"/>
      <c r="V38" s="12"/>
      <c r="W38" s="12"/>
      <c r="X38" s="12"/>
      <c r="Y38" s="12"/>
      <c r="Z38" s="12"/>
      <c r="AA38" s="12"/>
    </row>
    <row r="39" spans="1:27" s="13" customFormat="1" ht="11.25">
      <c r="A39" s="349">
        <v>1003001002</v>
      </c>
      <c r="B39" s="14" t="s">
        <v>655</v>
      </c>
      <c r="C39" s="294" t="e">
        <f>+SUMIF(#REF!,'CA EF'!A39,#REF!)</f>
        <v>#REF!</v>
      </c>
      <c r="D39" s="166"/>
      <c r="E39" s="166"/>
      <c r="F39" s="360" t="e">
        <f>+SUMIF(#REF!,'CA EF'!A39,#REF!)</f>
        <v>#REF!</v>
      </c>
      <c r="G39" s="294" t="e">
        <f t="shared" ref="G39:G40" si="24">+C39+D39-E39-F39</f>
        <v>#REF!</v>
      </c>
      <c r="H39" s="294"/>
      <c r="I39" s="294"/>
      <c r="J39" s="294"/>
      <c r="K39" s="294"/>
      <c r="L39" s="294"/>
      <c r="M39" s="294"/>
      <c r="N39" s="306" t="e">
        <f t="shared" ref="N39:N40" si="25">SUM(G39:M39)</f>
        <v>#REF!</v>
      </c>
      <c r="O39" s="12"/>
      <c r="P39" s="12"/>
      <c r="Q39" s="12"/>
      <c r="R39" s="12"/>
      <c r="S39" s="12"/>
      <c r="T39" s="12"/>
      <c r="U39" s="12"/>
      <c r="V39" s="12"/>
      <c r="W39" s="12"/>
      <c r="X39" s="12"/>
      <c r="Y39" s="12"/>
      <c r="Z39" s="12"/>
      <c r="AA39" s="12"/>
    </row>
    <row r="40" spans="1:27" s="13" customFormat="1" ht="11.25">
      <c r="A40" s="349">
        <v>1003001002007</v>
      </c>
      <c r="B40" s="14" t="s">
        <v>656</v>
      </c>
      <c r="C40" s="299" t="e">
        <f>+SUMIF(#REF!,'CA EF'!A40,#REF!)</f>
        <v>#REF!</v>
      </c>
      <c r="D40" s="166"/>
      <c r="E40" s="166"/>
      <c r="F40" s="360" t="e">
        <f>+SUMIF(#REF!,'CA EF'!A40,#REF!)</f>
        <v>#REF!</v>
      </c>
      <c r="G40" s="299" t="e">
        <f t="shared" si="24"/>
        <v>#REF!</v>
      </c>
      <c r="H40" s="299"/>
      <c r="I40" s="299"/>
      <c r="J40" s="299"/>
      <c r="K40" s="299" t="e">
        <f t="shared" ref="K40" si="26">-G40</f>
        <v>#REF!</v>
      </c>
      <c r="L40" s="299"/>
      <c r="M40" s="299"/>
      <c r="N40" s="306" t="e">
        <f t="shared" si="25"/>
        <v>#REF!</v>
      </c>
      <c r="O40" s="12"/>
      <c r="P40" s="12"/>
      <c r="Q40" s="12"/>
      <c r="R40" s="12"/>
      <c r="S40" s="12"/>
      <c r="T40" s="12"/>
      <c r="U40" s="12"/>
      <c r="V40" s="12"/>
      <c r="W40" s="12"/>
      <c r="X40" s="12"/>
      <c r="Y40" s="12"/>
      <c r="Z40" s="12"/>
      <c r="AA40" s="12"/>
    </row>
    <row r="41" spans="1:27" s="13" customFormat="1" ht="11.25">
      <c r="A41" s="354"/>
      <c r="B41" s="324"/>
      <c r="C41" s="297"/>
      <c r="D41" s="167"/>
      <c r="E41" s="167"/>
      <c r="F41" s="168"/>
      <c r="G41" s="297"/>
      <c r="H41" s="297"/>
      <c r="I41" s="297"/>
      <c r="J41" s="297"/>
      <c r="K41" s="297"/>
      <c r="L41" s="297"/>
      <c r="M41" s="297"/>
      <c r="N41" s="307"/>
      <c r="O41" s="12"/>
      <c r="P41" s="12"/>
      <c r="Q41" s="12"/>
      <c r="R41" s="12"/>
      <c r="S41" s="12"/>
      <c r="T41" s="12"/>
      <c r="U41" s="12"/>
      <c r="V41" s="12"/>
      <c r="W41" s="12"/>
      <c r="X41" s="12"/>
      <c r="Y41" s="12"/>
      <c r="Z41" s="12"/>
      <c r="AA41" s="12"/>
    </row>
    <row r="42" spans="1:27" s="10" customFormat="1" ht="11.25">
      <c r="A42" s="355"/>
      <c r="B42" s="147" t="s">
        <v>9</v>
      </c>
      <c r="C42" s="298" t="e">
        <f>+#REF!+SUM('CA EF'!C43:C56)</f>
        <v>#REF!</v>
      </c>
      <c r="D42" s="165"/>
      <c r="E42" s="165"/>
      <c r="F42" s="165" t="e">
        <f>-SUM(F44:F56)-#REF!</f>
        <v>#REF!</v>
      </c>
      <c r="G42" s="304"/>
      <c r="H42" s="304"/>
      <c r="I42" s="304"/>
      <c r="J42" s="304"/>
      <c r="K42" s="304"/>
      <c r="L42" s="304"/>
      <c r="M42" s="304"/>
      <c r="N42" s="308">
        <f t="shared" ref="N42:N98" si="27">SUM(G42:M42)</f>
        <v>0</v>
      </c>
      <c r="O42" s="11"/>
      <c r="P42" s="11"/>
      <c r="Q42" s="11"/>
      <c r="R42" s="11"/>
      <c r="S42" s="11"/>
      <c r="T42" s="11"/>
      <c r="U42" s="11"/>
      <c r="V42" s="11"/>
      <c r="W42" s="11"/>
      <c r="X42" s="11"/>
      <c r="Y42" s="11"/>
      <c r="Z42" s="11"/>
      <c r="AA42" s="11"/>
    </row>
    <row r="43" spans="1:27" s="10" customFormat="1" ht="11.25">
      <c r="A43" s="349">
        <v>2</v>
      </c>
      <c r="B43" s="9" t="s">
        <v>142</v>
      </c>
      <c r="C43" s="294" t="e">
        <f>-SUMIF(#REF!,'CA EF'!A43,#REF!)</f>
        <v>#REF!</v>
      </c>
      <c r="D43" s="166"/>
      <c r="E43" s="166"/>
      <c r="F43" s="360" t="e">
        <f>-SUMIF(#REF!,'CA EF'!A43,#REF!)</f>
        <v>#REF!</v>
      </c>
      <c r="G43" s="294" t="e">
        <f>+C43-F43+D43-E43</f>
        <v>#REF!</v>
      </c>
      <c r="H43" s="294"/>
      <c r="I43" s="294"/>
      <c r="J43" s="294"/>
      <c r="K43" s="294"/>
      <c r="L43" s="294"/>
      <c r="M43" s="294"/>
      <c r="N43" s="306" t="e">
        <f t="shared" si="27"/>
        <v>#REF!</v>
      </c>
      <c r="O43" s="11"/>
      <c r="P43" s="11"/>
      <c r="Q43" s="11"/>
      <c r="R43" s="11"/>
      <c r="S43" s="11"/>
      <c r="T43" s="11"/>
      <c r="U43" s="11"/>
      <c r="V43" s="11"/>
      <c r="W43" s="11"/>
      <c r="X43" s="11"/>
      <c r="Y43" s="11"/>
      <c r="Z43" s="11"/>
      <c r="AA43" s="11"/>
    </row>
    <row r="44" spans="1:27" s="10" customFormat="1" ht="11.25">
      <c r="A44" s="349">
        <v>2001</v>
      </c>
      <c r="B44" s="7" t="s">
        <v>143</v>
      </c>
      <c r="C44" s="294" t="e">
        <f>-SUMIF(#REF!,'CA EF'!A44,#REF!)</f>
        <v>#REF!</v>
      </c>
      <c r="D44" s="166">
        <f>+E67</f>
        <v>0</v>
      </c>
      <c r="E44" s="166"/>
      <c r="F44" s="360" t="e">
        <f>-SUMIF(#REF!,'CA EF'!A44,#REF!)</f>
        <v>#REF!</v>
      </c>
      <c r="G44" s="294" t="e">
        <f t="shared" ref="G44:G56" si="28">+C44-F44+D44-E44</f>
        <v>#REF!</v>
      </c>
      <c r="H44" s="294"/>
      <c r="I44" s="294"/>
      <c r="J44" s="294"/>
      <c r="K44" s="294"/>
      <c r="L44" s="294"/>
      <c r="M44" s="294"/>
      <c r="N44" s="306" t="e">
        <f t="shared" si="27"/>
        <v>#REF!</v>
      </c>
    </row>
    <row r="45" spans="1:27" s="10" customFormat="1" ht="11.25">
      <c r="A45" s="349">
        <v>2001001000001</v>
      </c>
      <c r="B45" s="9" t="s">
        <v>373</v>
      </c>
      <c r="C45" s="299" t="e">
        <f>-SUMIF(#REF!,'CA EF'!A45,#REF!)</f>
        <v>#REF!</v>
      </c>
      <c r="D45" s="166"/>
      <c r="E45" s="166"/>
      <c r="F45" s="360" t="e">
        <f>-SUMIF(#REF!,'CA EF'!A45,#REF!)</f>
        <v>#REF!</v>
      </c>
      <c r="G45" s="299" t="e">
        <f t="shared" si="28"/>
        <v>#REF!</v>
      </c>
      <c r="H45" s="299"/>
      <c r="I45" s="299"/>
      <c r="J45" s="299"/>
      <c r="K45" s="299" t="e">
        <f>-G45</f>
        <v>#REF!</v>
      </c>
      <c r="L45" s="299"/>
      <c r="M45" s="299"/>
      <c r="N45" s="306" t="e">
        <f t="shared" ref="N45" si="29">SUM(G45:M45)</f>
        <v>#REF!</v>
      </c>
      <c r="O45" s="11"/>
      <c r="P45" s="11"/>
      <c r="Q45" s="11"/>
      <c r="R45" s="11"/>
      <c r="S45" s="11"/>
      <c r="T45" s="11"/>
      <c r="U45" s="11"/>
      <c r="V45" s="11"/>
      <c r="W45" s="11"/>
      <c r="X45" s="11"/>
      <c r="Y45" s="11"/>
      <c r="Z45" s="11"/>
      <c r="AA45" s="11"/>
    </row>
    <row r="46" spans="1:27" s="10" customFormat="1" ht="11.25">
      <c r="A46" s="349">
        <v>2001001000002</v>
      </c>
      <c r="B46" s="9" t="s">
        <v>237</v>
      </c>
      <c r="C46" s="299" t="e">
        <f>-SUMIF(#REF!,'CA EF'!A46,#REF!)</f>
        <v>#REF!</v>
      </c>
      <c r="D46" s="166"/>
      <c r="E46" s="166"/>
      <c r="F46" s="360" t="e">
        <f>-SUMIF(#REF!,'CA EF'!A46,#REF!)</f>
        <v>#REF!</v>
      </c>
      <c r="G46" s="299" t="e">
        <f t="shared" ref="G46" si="30">+C46-F46+D46-E46</f>
        <v>#REF!</v>
      </c>
      <c r="H46" s="299"/>
      <c r="I46" s="299"/>
      <c r="J46" s="299"/>
      <c r="K46" s="299" t="e">
        <f>-G46</f>
        <v>#REF!</v>
      </c>
      <c r="L46" s="299"/>
      <c r="M46" s="299"/>
      <c r="N46" s="306" t="e">
        <f t="shared" ref="N46" si="31">SUM(G46:M46)</f>
        <v>#REF!</v>
      </c>
      <c r="O46" s="11"/>
      <c r="P46" s="11"/>
      <c r="Q46" s="11"/>
      <c r="R46" s="11"/>
      <c r="S46" s="11"/>
      <c r="T46" s="11"/>
      <c r="U46" s="11"/>
      <c r="V46" s="11"/>
      <c r="W46" s="11"/>
      <c r="X46" s="11"/>
      <c r="Y46" s="11"/>
      <c r="Z46" s="11"/>
      <c r="AA46" s="11"/>
    </row>
    <row r="47" spans="1:27" s="10" customFormat="1" ht="11.25">
      <c r="A47" s="349">
        <v>2001001002</v>
      </c>
      <c r="B47" s="7" t="s">
        <v>144</v>
      </c>
      <c r="C47" s="299" t="e">
        <f>-SUMIF(#REF!,'CA EF'!A47,#REF!)</f>
        <v>#REF!</v>
      </c>
      <c r="D47" s="166">
        <v>0</v>
      </c>
      <c r="E47" s="166"/>
      <c r="F47" s="360" t="e">
        <f>-SUMIF(#REF!,'CA EF'!A47,#REF!)</f>
        <v>#REF!</v>
      </c>
      <c r="G47" s="299" t="e">
        <f t="shared" si="28"/>
        <v>#REF!</v>
      </c>
      <c r="H47" s="299"/>
      <c r="I47" s="299"/>
      <c r="J47" s="299" t="e">
        <f>-G47</f>
        <v>#REF!</v>
      </c>
      <c r="K47" s="299"/>
      <c r="L47" s="299"/>
      <c r="M47" s="299"/>
      <c r="N47" s="306" t="e">
        <f t="shared" si="27"/>
        <v>#REF!</v>
      </c>
    </row>
    <row r="48" spans="1:27" s="10" customFormat="1" ht="11.25">
      <c r="A48" s="349">
        <v>2001001004</v>
      </c>
      <c r="B48" s="9" t="s">
        <v>201</v>
      </c>
      <c r="C48" s="299" t="e">
        <f>-SUMIF(#REF!,'CA EF'!A48,#REF!)</f>
        <v>#REF!</v>
      </c>
      <c r="D48" s="166"/>
      <c r="E48" s="166"/>
      <c r="F48" s="360" t="e">
        <f>-SUMIF(#REF!,'CA EF'!A48,#REF!)</f>
        <v>#REF!</v>
      </c>
      <c r="G48" s="299" t="e">
        <f t="shared" si="28"/>
        <v>#REF!</v>
      </c>
      <c r="H48" s="299"/>
      <c r="I48" s="299"/>
      <c r="J48" s="299" t="e">
        <f>-G48</f>
        <v>#REF!</v>
      </c>
      <c r="K48" s="299"/>
      <c r="L48" s="299"/>
      <c r="M48" s="299"/>
      <c r="N48" s="306" t="e">
        <f t="shared" si="27"/>
        <v>#REF!</v>
      </c>
      <c r="O48" s="11"/>
      <c r="P48" s="11"/>
      <c r="Q48" s="11"/>
      <c r="R48" s="11"/>
      <c r="S48" s="11"/>
      <c r="T48" s="11"/>
      <c r="U48" s="11"/>
      <c r="V48" s="11"/>
      <c r="W48" s="11"/>
      <c r="X48" s="11"/>
      <c r="Y48" s="11"/>
      <c r="Z48" s="11"/>
      <c r="AA48" s="11"/>
    </row>
    <row r="49" spans="1:27" s="10" customFormat="1" ht="11.25">
      <c r="A49" s="349">
        <v>2001001004001</v>
      </c>
      <c r="B49" s="9" t="s">
        <v>202</v>
      </c>
      <c r="C49" s="299" t="e">
        <f>-SUMIF(#REF!,'CA EF'!A49,#REF!)</f>
        <v>#REF!</v>
      </c>
      <c r="D49" s="166">
        <f>+E96</f>
        <v>0</v>
      </c>
      <c r="E49" s="166"/>
      <c r="F49" s="360" t="e">
        <f>-SUMIF(#REF!,'CA EF'!A49,#REF!)</f>
        <v>#REF!</v>
      </c>
      <c r="G49" s="299" t="e">
        <f t="shared" si="28"/>
        <v>#REF!</v>
      </c>
      <c r="H49" s="299"/>
      <c r="I49" s="299"/>
      <c r="J49" s="299"/>
      <c r="K49" s="299" t="e">
        <f>-G49</f>
        <v>#REF!</v>
      </c>
      <c r="L49" s="299"/>
      <c r="M49" s="299"/>
      <c r="N49" s="306" t="e">
        <f t="shared" si="27"/>
        <v>#REF!</v>
      </c>
      <c r="O49" s="11"/>
      <c r="P49" s="11"/>
      <c r="Q49" s="11"/>
      <c r="R49" s="11"/>
      <c r="S49" s="11"/>
      <c r="T49" s="11"/>
      <c r="U49" s="11"/>
      <c r="V49" s="11"/>
      <c r="W49" s="11"/>
      <c r="X49" s="11"/>
      <c r="Y49" s="11"/>
      <c r="Z49" s="11"/>
      <c r="AA49" s="11"/>
    </row>
    <row r="50" spans="1:27" s="10" customFormat="1" ht="11.25">
      <c r="A50" s="349">
        <v>2001005</v>
      </c>
      <c r="B50" s="9" t="s">
        <v>203</v>
      </c>
      <c r="C50" s="299" t="e">
        <f>-SUMIF(#REF!,'CA EF'!A50,#REF!)</f>
        <v>#REF!</v>
      </c>
      <c r="D50" s="166"/>
      <c r="E50" s="166"/>
      <c r="F50" s="360" t="e">
        <f>-SUMIF(#REF!,'CA EF'!A50,#REF!)</f>
        <v>#REF!</v>
      </c>
      <c r="G50" s="299" t="e">
        <f t="shared" ref="G50:G51" si="32">+C50-F50+D50-E50</f>
        <v>#REF!</v>
      </c>
      <c r="H50" s="299"/>
      <c r="I50" s="299"/>
      <c r="J50" s="299" t="e">
        <f t="shared" ref="J50" si="33">-G50</f>
        <v>#REF!</v>
      </c>
      <c r="K50" s="299"/>
      <c r="L50" s="299"/>
      <c r="M50" s="299"/>
      <c r="N50" s="306" t="e">
        <f t="shared" si="27"/>
        <v>#REF!</v>
      </c>
      <c r="O50" s="11"/>
      <c r="P50" s="11"/>
      <c r="Q50" s="11"/>
      <c r="R50" s="11"/>
      <c r="S50" s="11"/>
      <c r="T50" s="11"/>
      <c r="U50" s="11"/>
      <c r="V50" s="11"/>
      <c r="W50" s="11"/>
      <c r="X50" s="11"/>
      <c r="Y50" s="11"/>
      <c r="Z50" s="11"/>
      <c r="AA50" s="11"/>
    </row>
    <row r="51" spans="1:27" s="10" customFormat="1" ht="11.25">
      <c r="A51" s="349">
        <v>2001001002001</v>
      </c>
      <c r="B51" s="9" t="s">
        <v>204</v>
      </c>
      <c r="C51" s="299" t="e">
        <f>-SUMIF(#REF!,'CA EF'!A51,#REF!)</f>
        <v>#REF!</v>
      </c>
      <c r="D51" s="166"/>
      <c r="E51" s="166"/>
      <c r="F51" s="360" t="e">
        <f>-SUMIF(#REF!,'CA EF'!A51,#REF!)</f>
        <v>#REF!</v>
      </c>
      <c r="G51" s="299" t="e">
        <f t="shared" si="32"/>
        <v>#REF!</v>
      </c>
      <c r="H51" s="299"/>
      <c r="I51" s="299"/>
      <c r="J51" s="299"/>
      <c r="K51" s="299" t="e">
        <f>-G51</f>
        <v>#REF!</v>
      </c>
      <c r="L51" s="299"/>
      <c r="M51" s="299"/>
      <c r="N51" s="306" t="e">
        <f t="shared" si="27"/>
        <v>#REF!</v>
      </c>
      <c r="O51" s="11"/>
      <c r="P51" s="11"/>
      <c r="Q51" s="11"/>
      <c r="R51" s="11"/>
      <c r="S51" s="11"/>
      <c r="T51" s="11"/>
      <c r="U51" s="11"/>
      <c r="V51" s="11"/>
      <c r="W51" s="11"/>
      <c r="X51" s="11"/>
      <c r="Y51" s="11"/>
      <c r="Z51" s="11"/>
      <c r="AA51" s="11"/>
    </row>
    <row r="52" spans="1:27" s="10" customFormat="1" ht="11.25">
      <c r="A52" s="349">
        <v>2001001002002</v>
      </c>
      <c r="B52" s="9" t="s">
        <v>205</v>
      </c>
      <c r="C52" s="299" t="e">
        <f>-SUMIF(#REF!,'CA EF'!A52,#REF!)</f>
        <v>#REF!</v>
      </c>
      <c r="D52" s="166"/>
      <c r="E52" s="166"/>
      <c r="F52" s="360" t="e">
        <f>-SUMIF(#REF!,'CA EF'!A52,#REF!)</f>
        <v>#REF!</v>
      </c>
      <c r="G52" s="299" t="e">
        <f t="shared" si="28"/>
        <v>#REF!</v>
      </c>
      <c r="H52" s="299"/>
      <c r="I52" s="299"/>
      <c r="J52" s="299"/>
      <c r="K52" s="299" t="e">
        <f>-G52</f>
        <v>#REF!</v>
      </c>
      <c r="L52" s="299"/>
      <c r="M52" s="299"/>
      <c r="N52" s="306" t="e">
        <f t="shared" si="27"/>
        <v>#REF!</v>
      </c>
      <c r="O52" s="11"/>
      <c r="P52" s="11"/>
      <c r="Q52" s="11"/>
      <c r="R52" s="11"/>
      <c r="S52" s="11"/>
      <c r="T52" s="11"/>
      <c r="U52" s="11"/>
      <c r="V52" s="11"/>
      <c r="W52" s="11"/>
      <c r="X52" s="11"/>
      <c r="Y52" s="11"/>
      <c r="Z52" s="11"/>
      <c r="AA52" s="11"/>
    </row>
    <row r="53" spans="1:27" s="10" customFormat="1" ht="11.25">
      <c r="A53" s="349">
        <v>2001005000005</v>
      </c>
      <c r="B53" s="9" t="s">
        <v>62</v>
      </c>
      <c r="C53" s="299" t="e">
        <f>-SUMIF(#REF!,'CA EF'!A53,#REF!)</f>
        <v>#REF!</v>
      </c>
      <c r="D53" s="166"/>
      <c r="E53" s="166"/>
      <c r="F53" s="360" t="e">
        <f>-SUMIF(#REF!,'CA EF'!A53,#REF!)</f>
        <v>#REF!</v>
      </c>
      <c r="G53" s="299" t="e">
        <f t="shared" si="28"/>
        <v>#REF!</v>
      </c>
      <c r="H53" s="299"/>
      <c r="I53" s="299"/>
      <c r="J53" s="299"/>
      <c r="K53" s="299" t="e">
        <f>-G53</f>
        <v>#REF!</v>
      </c>
      <c r="L53" s="299"/>
      <c r="M53" s="299"/>
      <c r="N53" s="306" t="e">
        <f t="shared" si="27"/>
        <v>#REF!</v>
      </c>
      <c r="O53" s="11"/>
      <c r="P53" s="11"/>
      <c r="Q53" s="11"/>
      <c r="R53" s="11"/>
      <c r="S53" s="11"/>
      <c r="T53" s="11"/>
      <c r="U53" s="11"/>
      <c r="V53" s="11"/>
      <c r="W53" s="11"/>
      <c r="X53" s="11"/>
      <c r="Y53" s="11"/>
      <c r="Z53" s="11"/>
      <c r="AA53" s="11"/>
    </row>
    <row r="54" spans="1:27" s="10" customFormat="1" ht="11.25">
      <c r="A54" s="349">
        <v>2001005000006</v>
      </c>
      <c r="B54" s="9" t="s">
        <v>302</v>
      </c>
      <c r="C54" s="299" t="e">
        <f>-SUMIF(#REF!,'CA EF'!A54,#REF!)</f>
        <v>#REF!</v>
      </c>
      <c r="D54" s="166"/>
      <c r="E54" s="166"/>
      <c r="F54" s="360" t="e">
        <f>-SUMIF(#REF!,'CA EF'!A54,#REF!)</f>
        <v>#REF!</v>
      </c>
      <c r="G54" s="299" t="e">
        <f t="shared" ref="G54" si="34">+C54-F54+D54-E54</f>
        <v>#REF!</v>
      </c>
      <c r="H54" s="299" t="e">
        <f>-G54</f>
        <v>#REF!</v>
      </c>
      <c r="I54" s="299"/>
      <c r="J54" s="299"/>
      <c r="K54" s="299">
        <v>0</v>
      </c>
      <c r="L54" s="299"/>
      <c r="M54" s="299"/>
      <c r="N54" s="306" t="e">
        <f t="shared" ref="N54" si="35">SUM(G54:M54)</f>
        <v>#REF!</v>
      </c>
      <c r="O54" s="11"/>
      <c r="P54" s="11"/>
      <c r="Q54" s="11"/>
      <c r="R54" s="11"/>
      <c r="S54" s="11"/>
      <c r="T54" s="11"/>
      <c r="U54" s="11"/>
      <c r="V54" s="11"/>
      <c r="W54" s="11"/>
      <c r="X54" s="11"/>
      <c r="Y54" s="11"/>
      <c r="Z54" s="11"/>
      <c r="AA54" s="11"/>
    </row>
    <row r="55" spans="1:27" s="10" customFormat="1" ht="11.25">
      <c r="A55" s="349">
        <v>2001002</v>
      </c>
      <c r="B55" s="9" t="s">
        <v>233</v>
      </c>
      <c r="C55" s="299" t="e">
        <f>-SUMIF(#REF!,'CA EF'!A55,#REF!)</f>
        <v>#REF!</v>
      </c>
      <c r="D55" s="166"/>
      <c r="E55" s="166"/>
      <c r="F55" s="360" t="e">
        <f>-SUMIF(#REF!,'CA EF'!A55,#REF!)</f>
        <v>#REF!</v>
      </c>
      <c r="G55" s="299" t="e">
        <f t="shared" si="28"/>
        <v>#REF!</v>
      </c>
      <c r="H55" s="299"/>
      <c r="I55" s="299"/>
      <c r="J55" s="299" t="e">
        <f t="shared" ref="J55" si="36">-G55</f>
        <v>#REF!</v>
      </c>
      <c r="K55" s="299"/>
      <c r="L55" s="299"/>
      <c r="M55" s="299"/>
      <c r="N55" s="306" t="e">
        <f t="shared" ref="N55:N56" si="37">SUM(G55:M55)</f>
        <v>#REF!</v>
      </c>
      <c r="O55" s="11"/>
      <c r="P55" s="11"/>
      <c r="Q55" s="11"/>
      <c r="R55" s="11"/>
      <c r="S55" s="11"/>
      <c r="T55" s="11"/>
      <c r="U55" s="11"/>
      <c r="V55" s="11"/>
      <c r="W55" s="11"/>
      <c r="X55" s="11"/>
      <c r="Y55" s="11"/>
      <c r="Z55" s="11"/>
      <c r="AA55" s="11"/>
    </row>
    <row r="56" spans="1:27" s="10" customFormat="1" ht="11.25">
      <c r="A56" s="349">
        <v>2001002000004</v>
      </c>
      <c r="B56" s="9" t="s">
        <v>234</v>
      </c>
      <c r="C56" s="299" t="e">
        <f>-SUMIF(#REF!,'CA EF'!A56,#REF!)</f>
        <v>#REF!</v>
      </c>
      <c r="D56" s="166"/>
      <c r="E56" s="166"/>
      <c r="F56" s="360" t="e">
        <f>-SUMIF(#REF!,'CA EF'!A56,#REF!)</f>
        <v>#REF!</v>
      </c>
      <c r="G56" s="299" t="e">
        <f t="shared" si="28"/>
        <v>#REF!</v>
      </c>
      <c r="H56" s="299"/>
      <c r="I56" s="299"/>
      <c r="J56" s="299"/>
      <c r="K56" s="299" t="e">
        <f>-G56</f>
        <v>#REF!</v>
      </c>
      <c r="L56" s="299"/>
      <c r="M56" s="299"/>
      <c r="N56" s="306" t="e">
        <f t="shared" si="37"/>
        <v>#REF!</v>
      </c>
      <c r="O56" s="11"/>
      <c r="P56" s="11"/>
      <c r="Q56" s="11"/>
      <c r="R56" s="11"/>
      <c r="S56" s="11"/>
      <c r="T56" s="11"/>
      <c r="U56" s="11"/>
      <c r="V56" s="11"/>
      <c r="W56" s="11"/>
      <c r="X56" s="11"/>
      <c r="Y56" s="11"/>
      <c r="Z56" s="11"/>
      <c r="AA56" s="11"/>
    </row>
    <row r="57" spans="1:27" s="13" customFormat="1" ht="11.25">
      <c r="A57" s="356"/>
      <c r="B57" s="148"/>
      <c r="C57" s="297"/>
      <c r="D57" s="167"/>
      <c r="E57" s="167"/>
      <c r="F57" s="168"/>
      <c r="G57" s="168"/>
      <c r="H57" s="168"/>
      <c r="I57" s="168"/>
      <c r="J57" s="297"/>
      <c r="K57" s="297"/>
      <c r="L57" s="297"/>
      <c r="M57" s="297"/>
      <c r="N57" s="307"/>
      <c r="O57" s="12"/>
      <c r="P57" s="12"/>
      <c r="Q57" s="12"/>
      <c r="R57" s="12"/>
      <c r="S57" s="12"/>
      <c r="T57" s="12"/>
      <c r="U57" s="12"/>
      <c r="V57" s="12"/>
      <c r="W57" s="12"/>
      <c r="X57" s="12"/>
      <c r="Y57" s="12"/>
      <c r="Z57" s="12"/>
      <c r="AA57" s="12"/>
    </row>
    <row r="58" spans="1:27" s="10" customFormat="1" ht="11.25">
      <c r="A58" s="353"/>
      <c r="B58" s="130" t="s">
        <v>81</v>
      </c>
      <c r="C58" s="298" t="e">
        <f>+#REF!+SUM('CA EF'!C59:C62)</f>
        <v>#REF!</v>
      </c>
      <c r="D58" s="165"/>
      <c r="E58" s="165"/>
      <c r="F58" s="304"/>
      <c r="G58" s="165"/>
      <c r="H58" s="165"/>
      <c r="I58" s="165"/>
      <c r="J58" s="304"/>
      <c r="K58" s="304"/>
      <c r="L58" s="304"/>
      <c r="M58" s="304"/>
      <c r="N58" s="308">
        <f t="shared" si="27"/>
        <v>0</v>
      </c>
      <c r="O58" s="11"/>
      <c r="P58" s="11"/>
      <c r="Q58" s="11"/>
      <c r="R58" s="11"/>
      <c r="S58" s="11"/>
      <c r="T58" s="11"/>
      <c r="U58" s="11"/>
      <c r="V58" s="11"/>
      <c r="W58" s="11"/>
      <c r="X58" s="11"/>
      <c r="Y58" s="11"/>
      <c r="Z58" s="11"/>
      <c r="AA58" s="11"/>
    </row>
    <row r="59" spans="1:27" s="10" customFormat="1" ht="11.25">
      <c r="A59" s="349">
        <v>3001000000001</v>
      </c>
      <c r="B59" s="9" t="s">
        <v>206</v>
      </c>
      <c r="C59" s="294" t="e">
        <f>-SUMIF(#REF!,'CA EF'!A59,#REF!)</f>
        <v>#REF!</v>
      </c>
      <c r="D59" s="164"/>
      <c r="E59" s="164"/>
      <c r="F59" s="360" t="e">
        <f>-SUMIF(#REF!,'CA EF'!A59,#REF!)</f>
        <v>#REF!</v>
      </c>
      <c r="G59" s="294" t="e">
        <f>+C59-F59+D59-E59</f>
        <v>#REF!</v>
      </c>
      <c r="H59" s="299"/>
      <c r="I59" s="299"/>
      <c r="J59" s="299"/>
      <c r="K59" s="299"/>
      <c r="L59" s="294"/>
      <c r="M59" s="294" t="e">
        <f>-G59</f>
        <v>#REF!</v>
      </c>
      <c r="N59" s="306" t="e">
        <f t="shared" si="27"/>
        <v>#REF!</v>
      </c>
    </row>
    <row r="60" spans="1:27" s="10" customFormat="1" ht="11.25">
      <c r="A60" s="349">
        <v>3001000000002</v>
      </c>
      <c r="B60" s="9" t="s">
        <v>207</v>
      </c>
      <c r="C60" s="294" t="e">
        <f>-SUMIF(#REF!,'CA EF'!A60,#REF!)</f>
        <v>#REF!</v>
      </c>
      <c r="D60" s="164"/>
      <c r="E60" s="164"/>
      <c r="F60" s="360" t="e">
        <f>-SUMIF(#REF!,'CA EF'!A60,#REF!)</f>
        <v>#REF!</v>
      </c>
      <c r="G60" s="294" t="e">
        <f>+C60-F60+D60-E60</f>
        <v>#REF!</v>
      </c>
      <c r="H60" s="299"/>
      <c r="I60" s="299"/>
      <c r="J60" s="299"/>
      <c r="K60" s="299"/>
      <c r="L60" s="294" t="e">
        <f>-G60</f>
        <v>#REF!</v>
      </c>
      <c r="M60" s="294"/>
      <c r="N60" s="306" t="e">
        <f t="shared" si="27"/>
        <v>#REF!</v>
      </c>
    </row>
    <row r="61" spans="1:27" s="10" customFormat="1" ht="11.25">
      <c r="A61" s="349" t="e">
        <v>#N/A</v>
      </c>
      <c r="B61" s="9" t="s">
        <v>129</v>
      </c>
      <c r="C61" s="294" t="e">
        <f>-#REF!</f>
        <v>#REF!</v>
      </c>
      <c r="D61" s="166" t="e">
        <f>-C61</f>
        <v>#REF!</v>
      </c>
      <c r="E61" s="166"/>
      <c r="F61" s="360" t="e">
        <f>-SUMIF(#REF!,'CA EF'!A61,#REF!)</f>
        <v>#REF!</v>
      </c>
      <c r="G61" s="299" t="e">
        <f>+C61-F61+D61-E61</f>
        <v>#REF!</v>
      </c>
      <c r="H61" s="299"/>
      <c r="I61" s="299"/>
      <c r="J61" s="299"/>
      <c r="K61" s="299"/>
      <c r="L61" s="294"/>
      <c r="M61" s="294"/>
      <c r="N61" s="306" t="e">
        <f t="shared" si="27"/>
        <v>#REF!</v>
      </c>
    </row>
    <row r="62" spans="1:27" s="10" customFormat="1" ht="11.25">
      <c r="A62" s="349" t="e">
        <v>#N/A</v>
      </c>
      <c r="B62" s="9" t="s">
        <v>82</v>
      </c>
      <c r="C62" s="294" t="e">
        <f>-#REF!</f>
        <v>#REF!</v>
      </c>
      <c r="D62" s="166" t="e">
        <f>-C62</f>
        <v>#REF!</v>
      </c>
      <c r="E62" s="166" t="e">
        <f>+D61</f>
        <v>#REF!</v>
      </c>
      <c r="F62" s="360" t="e">
        <f>-#REF!</f>
        <v>#REF!</v>
      </c>
      <c r="G62" s="305" t="e">
        <f>+C62-F62+D62-E62</f>
        <v>#REF!</v>
      </c>
      <c r="H62" s="299"/>
      <c r="I62" s="299"/>
      <c r="J62" s="299"/>
      <c r="K62" s="299" t="e">
        <f>-G62</f>
        <v>#REF!</v>
      </c>
      <c r="L62" s="294"/>
      <c r="M62" s="294"/>
      <c r="N62" s="306" t="e">
        <f t="shared" si="27"/>
        <v>#REF!</v>
      </c>
    </row>
    <row r="63" spans="1:27" s="13" customFormat="1" ht="11.25">
      <c r="A63" s="356"/>
      <c r="B63" s="148"/>
      <c r="C63" s="297"/>
      <c r="D63" s="167"/>
      <c r="E63" s="167"/>
      <c r="F63" s="168"/>
      <c r="G63" s="297"/>
      <c r="H63" s="297"/>
      <c r="I63" s="297"/>
      <c r="J63" s="297"/>
      <c r="K63" s="297"/>
      <c r="L63" s="297"/>
      <c r="M63" s="297"/>
      <c r="N63" s="307"/>
      <c r="O63" s="12"/>
      <c r="P63" s="12"/>
      <c r="Q63" s="12"/>
      <c r="R63" s="12"/>
      <c r="S63" s="12"/>
      <c r="T63" s="12"/>
      <c r="U63" s="12"/>
      <c r="V63" s="12"/>
      <c r="W63" s="12"/>
      <c r="X63" s="12"/>
      <c r="Y63" s="12"/>
      <c r="Z63" s="12"/>
      <c r="AA63" s="12"/>
    </row>
    <row r="64" spans="1:27" s="10" customFormat="1" ht="11.25">
      <c r="A64" s="353"/>
      <c r="B64" s="130" t="s">
        <v>13</v>
      </c>
      <c r="C64" s="298" t="e">
        <f>+#REF!+SUM('CA EF'!C65:C75)</f>
        <v>#REF!</v>
      </c>
      <c r="D64" s="165"/>
      <c r="E64" s="165"/>
      <c r="F64" s="165"/>
      <c r="G64" s="304"/>
      <c r="H64" s="304"/>
      <c r="I64" s="304"/>
      <c r="J64" s="304"/>
      <c r="K64" s="304"/>
      <c r="L64" s="304"/>
      <c r="M64" s="304"/>
      <c r="N64" s="308">
        <f t="shared" si="27"/>
        <v>0</v>
      </c>
      <c r="O64" s="11"/>
      <c r="P64" s="11"/>
      <c r="Q64" s="11"/>
      <c r="R64" s="11"/>
      <c r="S64" s="11"/>
      <c r="T64" s="11"/>
      <c r="U64" s="11"/>
      <c r="V64" s="11"/>
      <c r="W64" s="11"/>
      <c r="X64" s="11"/>
      <c r="Y64" s="11"/>
      <c r="Z64" s="11"/>
      <c r="AA64" s="11"/>
    </row>
    <row r="65" spans="1:27" s="10" customFormat="1" ht="11.25">
      <c r="A65" s="349">
        <v>4001001000002</v>
      </c>
      <c r="B65" s="9" t="s">
        <v>346</v>
      </c>
      <c r="C65" s="294" t="e">
        <f>-SUMIF(#REF!,'CA EF'!A65,#REF!)</f>
        <v>#REF!</v>
      </c>
      <c r="D65" s="164"/>
      <c r="E65" s="164"/>
      <c r="F65" s="360"/>
      <c r="G65" s="294" t="e">
        <f t="shared" ref="G65" si="38">+C65-F65+D65-E65</f>
        <v>#REF!</v>
      </c>
      <c r="H65" s="294" t="e">
        <f t="shared" ref="H65" si="39">-G65</f>
        <v>#REF!</v>
      </c>
      <c r="I65" s="294"/>
      <c r="J65" s="294"/>
      <c r="K65" s="294"/>
      <c r="L65" s="294"/>
      <c r="M65" s="294"/>
      <c r="N65" s="306" t="e">
        <f t="shared" ref="N65" si="40">SUM(G65:M65)</f>
        <v>#REF!</v>
      </c>
      <c r="O65" s="11"/>
      <c r="P65" s="11"/>
      <c r="Q65" s="11"/>
      <c r="R65" s="11"/>
      <c r="S65" s="11"/>
      <c r="T65" s="11"/>
      <c r="U65" s="11"/>
      <c r="V65" s="11"/>
      <c r="W65" s="11"/>
      <c r="X65" s="11"/>
      <c r="Y65" s="11"/>
      <c r="Z65" s="11"/>
      <c r="AA65" s="11"/>
    </row>
    <row r="66" spans="1:27" s="10" customFormat="1" ht="11.25">
      <c r="A66" s="349">
        <v>4001001000005</v>
      </c>
      <c r="B66" s="9" t="s">
        <v>273</v>
      </c>
      <c r="C66" s="294" t="e">
        <f>-SUMIF(#REF!,'CA EF'!A66,#REF!)</f>
        <v>#REF!</v>
      </c>
      <c r="D66" s="164"/>
      <c r="E66" s="164"/>
      <c r="F66" s="360"/>
      <c r="G66" s="294" t="e">
        <f t="shared" ref="G66" si="41">+C66-F66+D66-E66</f>
        <v>#REF!</v>
      </c>
      <c r="H66" s="294" t="e">
        <f t="shared" ref="H66" si="42">-G66</f>
        <v>#REF!</v>
      </c>
      <c r="I66" s="294"/>
      <c r="J66" s="294"/>
      <c r="K66" s="294"/>
      <c r="L66" s="294"/>
      <c r="M66" s="294"/>
      <c r="N66" s="306" t="e">
        <f t="shared" ref="N66" si="43">SUM(G66:M66)</f>
        <v>#REF!</v>
      </c>
      <c r="O66" s="11"/>
      <c r="P66" s="11"/>
      <c r="Q66" s="11"/>
      <c r="R66" s="11"/>
      <c r="S66" s="11"/>
      <c r="T66" s="11"/>
      <c r="U66" s="11"/>
      <c r="V66" s="11"/>
      <c r="W66" s="11"/>
      <c r="X66" s="11"/>
      <c r="Y66" s="11"/>
      <c r="Z66" s="11"/>
      <c r="AA66" s="11"/>
    </row>
    <row r="67" spans="1:27" s="10" customFormat="1" ht="11.25">
      <c r="A67" s="349">
        <v>4001001000007</v>
      </c>
      <c r="B67" s="9" t="s">
        <v>208</v>
      </c>
      <c r="C67" s="294" t="e">
        <f>-SUMIF(#REF!,'CA EF'!A67,#REF!)</f>
        <v>#REF!</v>
      </c>
      <c r="D67" s="164"/>
      <c r="E67" s="164"/>
      <c r="F67" s="360"/>
      <c r="G67" s="294" t="e">
        <f t="shared" ref="G67:G75" si="44">+C67-F67+D67-E67</f>
        <v>#REF!</v>
      </c>
      <c r="H67" s="294" t="e">
        <f t="shared" ref="H67:H74" si="45">-G67</f>
        <v>#REF!</v>
      </c>
      <c r="I67" s="294"/>
      <c r="J67" s="294"/>
      <c r="K67" s="294"/>
      <c r="L67" s="294"/>
      <c r="M67" s="294"/>
      <c r="N67" s="306" t="e">
        <f t="shared" si="27"/>
        <v>#REF!</v>
      </c>
      <c r="O67" s="11"/>
      <c r="P67" s="11"/>
      <c r="Q67" s="11"/>
      <c r="R67" s="11"/>
      <c r="S67" s="11"/>
      <c r="T67" s="11"/>
      <c r="U67" s="11"/>
      <c r="V67" s="11"/>
      <c r="W67" s="11"/>
      <c r="X67" s="11"/>
      <c r="Y67" s="11"/>
      <c r="Z67" s="11"/>
      <c r="AA67" s="11"/>
    </row>
    <row r="68" spans="1:27" s="10" customFormat="1" ht="11.25">
      <c r="A68" s="349">
        <v>4001001000011</v>
      </c>
      <c r="B68" s="9" t="s">
        <v>209</v>
      </c>
      <c r="C68" s="294" t="e">
        <f>-SUMIF(#REF!,'CA EF'!A68,#REF!)</f>
        <v>#REF!</v>
      </c>
      <c r="D68" s="164"/>
      <c r="E68" s="164"/>
      <c r="F68" s="360"/>
      <c r="G68" s="294" t="e">
        <f t="shared" si="44"/>
        <v>#REF!</v>
      </c>
      <c r="H68" s="294" t="e">
        <f t="shared" si="45"/>
        <v>#REF!</v>
      </c>
      <c r="I68" s="294"/>
      <c r="J68" s="294"/>
      <c r="K68" s="294"/>
      <c r="L68" s="294"/>
      <c r="M68" s="294"/>
      <c r="N68" s="306" t="e">
        <f t="shared" si="27"/>
        <v>#REF!</v>
      </c>
      <c r="O68" s="11"/>
      <c r="P68" s="11"/>
      <c r="Q68" s="11"/>
      <c r="R68" s="11"/>
      <c r="S68" s="11"/>
      <c r="T68" s="11"/>
      <c r="U68" s="11"/>
      <c r="V68" s="11"/>
      <c r="W68" s="11"/>
      <c r="X68" s="11"/>
      <c r="Y68" s="11"/>
      <c r="Z68" s="11"/>
      <c r="AA68" s="11"/>
    </row>
    <row r="69" spans="1:27" s="10" customFormat="1" ht="11.25">
      <c r="A69" s="349">
        <v>4001003001001</v>
      </c>
      <c r="B69" s="9" t="s">
        <v>210</v>
      </c>
      <c r="C69" s="294" t="e">
        <f>-SUMIF(#REF!,'CA EF'!A69,#REF!)</f>
        <v>#REF!</v>
      </c>
      <c r="D69" s="164"/>
      <c r="E69" s="164"/>
      <c r="F69" s="360"/>
      <c r="G69" s="294" t="e">
        <f t="shared" ref="G69" si="46">+C69-F69+D69-E69</f>
        <v>#REF!</v>
      </c>
      <c r="H69" s="294"/>
      <c r="I69" s="294" t="e">
        <f>-G69</f>
        <v>#REF!</v>
      </c>
      <c r="J69" s="294"/>
      <c r="K69" s="294"/>
      <c r="L69" s="294"/>
      <c r="M69" s="294"/>
      <c r="N69" s="306" t="e">
        <f t="shared" ref="N69" si="47">SUM(G69:M69)</f>
        <v>#REF!</v>
      </c>
      <c r="O69" s="11"/>
      <c r="P69" s="11"/>
      <c r="Q69" s="11"/>
      <c r="R69" s="11"/>
      <c r="S69" s="11"/>
      <c r="T69" s="11"/>
      <c r="U69" s="11"/>
      <c r="V69" s="11"/>
      <c r="W69" s="11"/>
      <c r="X69" s="11"/>
      <c r="Y69" s="11"/>
      <c r="Z69" s="11"/>
      <c r="AA69" s="11"/>
    </row>
    <row r="70" spans="1:27" s="10" customFormat="1" ht="11.25">
      <c r="A70" s="349">
        <v>4001003001002</v>
      </c>
      <c r="B70" s="9" t="s">
        <v>376</v>
      </c>
      <c r="C70" s="294" t="e">
        <f>-SUMIF(#REF!,'CA EF'!A70,#REF!)</f>
        <v>#REF!</v>
      </c>
      <c r="D70" s="164"/>
      <c r="E70" s="164"/>
      <c r="F70" s="360"/>
      <c r="G70" s="294" t="e">
        <f t="shared" si="44"/>
        <v>#REF!</v>
      </c>
      <c r="H70" s="294"/>
      <c r="I70" s="294" t="e">
        <f>-G70</f>
        <v>#REF!</v>
      </c>
      <c r="J70" s="294"/>
      <c r="K70" s="294"/>
      <c r="L70" s="294"/>
      <c r="M70" s="294"/>
      <c r="N70" s="306" t="e">
        <f t="shared" si="27"/>
        <v>#REF!</v>
      </c>
      <c r="O70" s="11"/>
      <c r="P70" s="11"/>
      <c r="Q70" s="11"/>
      <c r="R70" s="11"/>
      <c r="S70" s="11"/>
      <c r="T70" s="11"/>
      <c r="U70" s="11"/>
      <c r="V70" s="11"/>
      <c r="W70" s="11"/>
      <c r="X70" s="11"/>
      <c r="Y70" s="11"/>
      <c r="Z70" s="11"/>
      <c r="AA70" s="11"/>
    </row>
    <row r="71" spans="1:27" s="10" customFormat="1" ht="11.25">
      <c r="A71" s="349">
        <v>4001005004003</v>
      </c>
      <c r="B71" s="9" t="s">
        <v>377</v>
      </c>
      <c r="C71" s="294" t="e">
        <f>-SUMIF(#REF!,'CA EF'!A71,#REF!)</f>
        <v>#REF!</v>
      </c>
      <c r="D71" s="164"/>
      <c r="E71" s="164"/>
      <c r="F71" s="360"/>
      <c r="G71" s="294" t="e">
        <f t="shared" si="44"/>
        <v>#REF!</v>
      </c>
      <c r="H71" s="294" t="e">
        <f t="shared" si="45"/>
        <v>#REF!</v>
      </c>
      <c r="I71" s="294"/>
      <c r="J71" s="294"/>
      <c r="K71" s="294"/>
      <c r="L71" s="294"/>
      <c r="M71" s="294"/>
      <c r="N71" s="306" t="e">
        <f t="shared" ref="N71:N72" si="48">SUM(G71:M71)</f>
        <v>#REF!</v>
      </c>
      <c r="O71" s="11"/>
      <c r="P71" s="11"/>
      <c r="Q71" s="11"/>
      <c r="R71" s="11"/>
      <c r="S71" s="11"/>
      <c r="T71" s="11"/>
      <c r="U71" s="11"/>
      <c r="V71" s="11"/>
      <c r="W71" s="11"/>
      <c r="X71" s="11"/>
      <c r="Y71" s="11"/>
      <c r="Z71" s="11"/>
      <c r="AA71" s="11"/>
    </row>
    <row r="72" spans="1:27" s="10" customFormat="1" ht="11.25">
      <c r="A72" s="349">
        <v>4001005004005</v>
      </c>
      <c r="B72" s="9" t="s">
        <v>657</v>
      </c>
      <c r="C72" s="294" t="e">
        <f>-SUMIF(#REF!,'CA EF'!A72,#REF!)</f>
        <v>#REF!</v>
      </c>
      <c r="D72" s="164"/>
      <c r="E72" s="164"/>
      <c r="F72" s="360"/>
      <c r="G72" s="294" t="e">
        <f t="shared" si="44"/>
        <v>#REF!</v>
      </c>
      <c r="H72" s="294" t="e">
        <f t="shared" si="45"/>
        <v>#REF!</v>
      </c>
      <c r="I72" s="294"/>
      <c r="J72" s="294"/>
      <c r="K72" s="294"/>
      <c r="L72" s="294"/>
      <c r="M72" s="294"/>
      <c r="N72" s="306" t="e">
        <f t="shared" si="48"/>
        <v>#REF!</v>
      </c>
      <c r="O72" s="11"/>
      <c r="P72" s="11"/>
      <c r="Q72" s="11"/>
      <c r="R72" s="11"/>
      <c r="S72" s="11"/>
      <c r="T72" s="11"/>
      <c r="U72" s="11"/>
      <c r="V72" s="11"/>
      <c r="W72" s="11"/>
      <c r="X72" s="11"/>
      <c r="Y72" s="11"/>
      <c r="Z72" s="11"/>
      <c r="AA72" s="11"/>
    </row>
    <row r="73" spans="1:27" s="10" customFormat="1" ht="11.25">
      <c r="A73" s="349">
        <v>4001005004006</v>
      </c>
      <c r="B73" s="9" t="s">
        <v>274</v>
      </c>
      <c r="C73" s="294" t="e">
        <f>-SUMIF(#REF!,'CA EF'!A73,#REF!)</f>
        <v>#REF!</v>
      </c>
      <c r="D73" s="164"/>
      <c r="E73" s="164"/>
      <c r="F73" s="360"/>
      <c r="G73" s="294" t="e">
        <f t="shared" ref="G73" si="49">+C73-F73+D73-E73</f>
        <v>#REF!</v>
      </c>
      <c r="H73" s="294" t="e">
        <f t="shared" ref="H73" si="50">-G73</f>
        <v>#REF!</v>
      </c>
      <c r="I73" s="294"/>
      <c r="J73" s="294"/>
      <c r="K73" s="294"/>
      <c r="L73" s="294"/>
      <c r="M73" s="294"/>
      <c r="N73" s="306" t="e">
        <f t="shared" ref="N73" si="51">SUM(G73:M73)</f>
        <v>#REF!</v>
      </c>
      <c r="O73" s="11"/>
      <c r="P73" s="11"/>
      <c r="Q73" s="11"/>
      <c r="R73" s="11"/>
      <c r="S73" s="11"/>
      <c r="T73" s="11"/>
      <c r="U73" s="11"/>
      <c r="V73" s="11"/>
      <c r="W73" s="11"/>
      <c r="X73" s="11"/>
      <c r="Y73" s="11"/>
      <c r="Z73" s="11"/>
      <c r="AA73" s="11"/>
    </row>
    <row r="74" spans="1:27" s="10" customFormat="1" ht="11.25">
      <c r="A74" s="349">
        <v>4001005004008</v>
      </c>
      <c r="B74" s="9" t="s">
        <v>211</v>
      </c>
      <c r="C74" s="294" t="e">
        <f>-SUMIF(#REF!,'CA EF'!A74,#REF!)</f>
        <v>#REF!</v>
      </c>
      <c r="D74" s="164"/>
      <c r="E74" s="164"/>
      <c r="F74" s="360"/>
      <c r="G74" s="294" t="e">
        <f t="shared" si="44"/>
        <v>#REF!</v>
      </c>
      <c r="H74" s="294" t="e">
        <f t="shared" si="45"/>
        <v>#REF!</v>
      </c>
      <c r="I74" s="294"/>
      <c r="J74" s="294"/>
      <c r="K74" s="294"/>
      <c r="L74" s="294"/>
      <c r="M74" s="294"/>
      <c r="N74" s="306" t="e">
        <f t="shared" si="27"/>
        <v>#REF!</v>
      </c>
      <c r="O74" s="11"/>
      <c r="P74" s="11"/>
      <c r="Q74" s="11"/>
      <c r="R74" s="11"/>
      <c r="S74" s="11"/>
      <c r="T74" s="11"/>
      <c r="U74" s="11"/>
      <c r="V74" s="11"/>
      <c r="W74" s="11"/>
      <c r="X74" s="11"/>
      <c r="Y74" s="11"/>
      <c r="Z74" s="11"/>
      <c r="AA74" s="11"/>
    </row>
    <row r="75" spans="1:27" s="10" customFormat="1" ht="11.25">
      <c r="A75" s="349">
        <v>4001005004011</v>
      </c>
      <c r="B75" s="9" t="s">
        <v>212</v>
      </c>
      <c r="C75" s="294" t="e">
        <f>-SUMIF(#REF!,'CA EF'!A75,#REF!)</f>
        <v>#REF!</v>
      </c>
      <c r="D75" s="164"/>
      <c r="E75" s="164"/>
      <c r="F75" s="360"/>
      <c r="G75" s="294" t="e">
        <f t="shared" si="44"/>
        <v>#REF!</v>
      </c>
      <c r="H75" s="294" t="e">
        <f t="shared" ref="H75" si="52">-G75</f>
        <v>#REF!</v>
      </c>
      <c r="I75" s="294"/>
      <c r="J75" s="294"/>
      <c r="K75" s="294"/>
      <c r="L75" s="294"/>
      <c r="M75" s="294"/>
      <c r="N75" s="306" t="e">
        <f t="shared" si="27"/>
        <v>#REF!</v>
      </c>
      <c r="O75" s="11"/>
      <c r="P75" s="11"/>
      <c r="Q75" s="11"/>
      <c r="R75" s="11"/>
      <c r="S75" s="11"/>
      <c r="T75" s="11"/>
      <c r="U75" s="11"/>
      <c r="V75" s="11"/>
      <c r="W75" s="11"/>
      <c r="X75" s="11"/>
      <c r="Y75" s="11"/>
      <c r="Z75" s="11"/>
      <c r="AA75" s="11"/>
    </row>
    <row r="76" spans="1:27" s="13" customFormat="1" ht="11.25">
      <c r="A76" s="356"/>
      <c r="B76" s="148"/>
      <c r="C76" s="297"/>
      <c r="D76" s="167"/>
      <c r="E76" s="167"/>
      <c r="F76" s="168"/>
      <c r="G76" s="297"/>
      <c r="H76" s="297"/>
      <c r="I76" s="297"/>
      <c r="J76" s="297"/>
      <c r="K76" s="297"/>
      <c r="L76" s="297"/>
      <c r="M76" s="297"/>
      <c r="N76" s="307"/>
      <c r="O76" s="12"/>
      <c r="P76" s="12"/>
      <c r="Q76" s="12"/>
      <c r="R76" s="12"/>
      <c r="S76" s="12"/>
      <c r="T76" s="12"/>
      <c r="U76" s="12"/>
      <c r="V76" s="12"/>
      <c r="W76" s="12"/>
      <c r="X76" s="12"/>
      <c r="Y76" s="12"/>
      <c r="Z76" s="12"/>
      <c r="AA76" s="12"/>
    </row>
    <row r="77" spans="1:27" s="10" customFormat="1" ht="11.25">
      <c r="A77" s="353"/>
      <c r="B77" s="130" t="s">
        <v>15</v>
      </c>
      <c r="C77" s="298" t="e">
        <f>#REF!-SUM(C78:C98)</f>
        <v>#REF!</v>
      </c>
      <c r="D77" s="165"/>
      <c r="E77" s="165"/>
      <c r="F77" s="165"/>
      <c r="G77" s="304"/>
      <c r="H77" s="304"/>
      <c r="I77" s="304"/>
      <c r="J77" s="304"/>
      <c r="K77" s="304"/>
      <c r="L77" s="304"/>
      <c r="M77" s="304"/>
      <c r="N77" s="308">
        <f t="shared" si="27"/>
        <v>0</v>
      </c>
      <c r="O77" s="11"/>
      <c r="P77" s="11"/>
      <c r="Q77" s="11"/>
      <c r="R77" s="11"/>
      <c r="S77" s="11"/>
      <c r="T77" s="11"/>
      <c r="U77" s="11"/>
      <c r="V77" s="11"/>
      <c r="W77" s="11"/>
      <c r="X77" s="11"/>
      <c r="Y77" s="11"/>
      <c r="Z77" s="11"/>
      <c r="AA77" s="11"/>
    </row>
    <row r="78" spans="1:27" s="13" customFormat="1" ht="11.25">
      <c r="A78" s="349">
        <v>5001001000002</v>
      </c>
      <c r="B78" s="9" t="s">
        <v>528</v>
      </c>
      <c r="C78" s="294" t="e">
        <f>+SUMIF(#REF!,'CA EF'!A78,#REF!)</f>
        <v>#REF!</v>
      </c>
      <c r="D78" s="164"/>
      <c r="E78" s="164"/>
      <c r="F78" s="360"/>
      <c r="G78" s="294" t="e">
        <f t="shared" ref="G78" si="53">+C78-F78+D78-E78</f>
        <v>#REF!</v>
      </c>
      <c r="H78" s="294" t="e">
        <f t="shared" ref="H78" si="54">-G78</f>
        <v>#REF!</v>
      </c>
      <c r="I78" s="294"/>
      <c r="J78" s="294"/>
      <c r="K78" s="294"/>
      <c r="L78" s="294"/>
      <c r="M78" s="294"/>
      <c r="N78" s="306" t="e">
        <f t="shared" ref="N78" si="55">SUM(G78:M78)</f>
        <v>#REF!</v>
      </c>
      <c r="O78" s="12"/>
      <c r="P78" s="12"/>
      <c r="Q78" s="12"/>
      <c r="R78" s="12"/>
      <c r="S78" s="12"/>
      <c r="T78" s="12"/>
      <c r="U78" s="12"/>
      <c r="V78" s="12"/>
      <c r="W78" s="12"/>
      <c r="X78" s="12"/>
      <c r="Y78" s="12"/>
      <c r="Z78" s="12"/>
      <c r="AA78" s="12"/>
    </row>
    <row r="79" spans="1:27" s="13" customFormat="1" ht="11.25">
      <c r="A79" s="349">
        <v>5001001000005</v>
      </c>
      <c r="B79" s="9" t="s">
        <v>276</v>
      </c>
      <c r="C79" s="294" t="e">
        <f>+SUMIF(#REF!,'CA EF'!A79,#REF!)</f>
        <v>#REF!</v>
      </c>
      <c r="D79" s="164"/>
      <c r="E79" s="164"/>
      <c r="F79" s="360"/>
      <c r="G79" s="294" t="e">
        <f t="shared" ref="G79" si="56">+C79-F79+D79-E79</f>
        <v>#REF!</v>
      </c>
      <c r="H79" s="294" t="e">
        <f t="shared" ref="H79" si="57">-G79</f>
        <v>#REF!</v>
      </c>
      <c r="I79" s="294"/>
      <c r="J79" s="294"/>
      <c r="K79" s="294"/>
      <c r="L79" s="294"/>
      <c r="M79" s="294"/>
      <c r="N79" s="306" t="e">
        <f t="shared" ref="N79" si="58">SUM(G79:M79)</f>
        <v>#REF!</v>
      </c>
      <c r="O79" s="12"/>
      <c r="P79" s="12"/>
      <c r="Q79" s="12"/>
      <c r="R79" s="12"/>
      <c r="S79" s="12"/>
      <c r="T79" s="12"/>
      <c r="U79" s="12"/>
      <c r="V79" s="12"/>
      <c r="W79" s="12"/>
      <c r="X79" s="12"/>
      <c r="Y79" s="12"/>
      <c r="Z79" s="12"/>
      <c r="AA79" s="12"/>
    </row>
    <row r="80" spans="1:27" s="13" customFormat="1" ht="11.25">
      <c r="A80" s="349">
        <v>5001001000007</v>
      </c>
      <c r="B80" s="9" t="s">
        <v>213</v>
      </c>
      <c r="C80" s="299" t="e">
        <f>+SUMIF(#REF!,'CA EF'!A80,#REF!)</f>
        <v>#REF!</v>
      </c>
      <c r="D80" s="166"/>
      <c r="E80" s="166"/>
      <c r="F80" s="379"/>
      <c r="G80" s="299" t="e">
        <f t="shared" ref="G80:G98" si="59">+C80-F80+D80-E80</f>
        <v>#REF!</v>
      </c>
      <c r="H80" s="299" t="e">
        <f t="shared" ref="H80" si="60">-G80</f>
        <v>#REF!</v>
      </c>
      <c r="I80" s="299"/>
      <c r="J80" s="299"/>
      <c r="K80" s="299"/>
      <c r="L80" s="299"/>
      <c r="M80" s="299"/>
      <c r="N80" s="306" t="e">
        <f t="shared" si="27"/>
        <v>#REF!</v>
      </c>
      <c r="O80" s="12"/>
      <c r="P80" s="12"/>
      <c r="Q80" s="12"/>
      <c r="R80" s="12"/>
      <c r="S80" s="12"/>
      <c r="T80" s="12"/>
      <c r="U80" s="12"/>
      <c r="V80" s="12"/>
      <c r="W80" s="12"/>
      <c r="X80" s="12"/>
      <c r="Y80" s="12"/>
      <c r="Z80" s="12"/>
      <c r="AA80" s="12"/>
    </row>
    <row r="81" spans="1:27" s="13" customFormat="1" ht="11.25">
      <c r="A81" s="349">
        <v>5001001000009</v>
      </c>
      <c r="B81" s="9" t="s">
        <v>214</v>
      </c>
      <c r="C81" s="299" t="e">
        <f>+SUMIF(#REF!,'CA EF'!A81,#REF!)</f>
        <v>#REF!</v>
      </c>
      <c r="D81" s="166"/>
      <c r="E81" s="166"/>
      <c r="F81" s="379"/>
      <c r="G81" s="299" t="e">
        <f t="shared" ref="G81:G94" si="61">+C81-F81+D81-E81</f>
        <v>#REF!</v>
      </c>
      <c r="H81" s="299" t="e">
        <f t="shared" ref="H81" si="62">-G81</f>
        <v>#REF!</v>
      </c>
      <c r="I81" s="299"/>
      <c r="J81" s="299"/>
      <c r="K81" s="299"/>
      <c r="L81" s="299"/>
      <c r="M81" s="299"/>
      <c r="N81" s="306" t="e">
        <f t="shared" si="27"/>
        <v>#REF!</v>
      </c>
      <c r="O81" s="12"/>
      <c r="P81" s="12"/>
      <c r="Q81" s="12"/>
      <c r="R81" s="12"/>
      <c r="S81" s="12"/>
      <c r="T81" s="12"/>
      <c r="U81" s="12"/>
      <c r="V81" s="12"/>
      <c r="W81" s="12"/>
      <c r="X81" s="12"/>
      <c r="Y81" s="12"/>
      <c r="Z81" s="12"/>
      <c r="AA81" s="12"/>
    </row>
    <row r="82" spans="1:27" s="13" customFormat="1" ht="11.25">
      <c r="A82" s="349">
        <v>5002002000002</v>
      </c>
      <c r="B82" s="9" t="s">
        <v>277</v>
      </c>
      <c r="C82" s="299" t="e">
        <f>+SUMIF(#REF!,'CA EF'!A82,#REF!)</f>
        <v>#REF!</v>
      </c>
      <c r="D82" s="166"/>
      <c r="E82" s="166"/>
      <c r="F82" s="379"/>
      <c r="G82" s="299" t="e">
        <f t="shared" si="61"/>
        <v>#REF!</v>
      </c>
      <c r="H82" s="299"/>
      <c r="I82" s="299"/>
      <c r="J82" s="299"/>
      <c r="K82" s="299" t="e">
        <f>-G82</f>
        <v>#REF!</v>
      </c>
      <c r="L82" s="299"/>
      <c r="M82" s="299"/>
      <c r="N82" s="306" t="e">
        <f t="shared" ref="N82:N83" si="63">SUM(G82:M82)</f>
        <v>#REF!</v>
      </c>
      <c r="O82" s="12"/>
      <c r="P82" s="12"/>
      <c r="Q82" s="12"/>
      <c r="R82" s="12"/>
      <c r="S82" s="12"/>
      <c r="T82" s="12"/>
      <c r="U82" s="12"/>
      <c r="V82" s="12"/>
      <c r="W82" s="12"/>
      <c r="X82" s="12"/>
      <c r="Y82" s="12"/>
      <c r="Z82" s="12"/>
      <c r="AA82" s="12"/>
    </row>
    <row r="83" spans="1:27" s="13" customFormat="1" ht="11.25">
      <c r="A83" s="349">
        <v>5002002000011</v>
      </c>
      <c r="B83" s="9" t="s">
        <v>599</v>
      </c>
      <c r="C83" s="299" t="e">
        <f>+SUMIF(#REF!,'CA EF'!A83,#REF!)</f>
        <v>#REF!</v>
      </c>
      <c r="D83" s="166"/>
      <c r="E83" s="166"/>
      <c r="F83" s="379"/>
      <c r="G83" s="299" t="e">
        <f t="shared" si="61"/>
        <v>#REF!</v>
      </c>
      <c r="H83" s="299"/>
      <c r="I83" s="299"/>
      <c r="J83" s="299"/>
      <c r="K83" s="299" t="e">
        <f>-G83</f>
        <v>#REF!</v>
      </c>
      <c r="L83" s="299"/>
      <c r="M83" s="299"/>
      <c r="N83" s="306" t="e">
        <f t="shared" si="63"/>
        <v>#REF!</v>
      </c>
      <c r="O83" s="12"/>
      <c r="P83" s="12"/>
      <c r="Q83" s="12"/>
      <c r="R83" s="12"/>
      <c r="S83" s="12"/>
      <c r="T83" s="12"/>
      <c r="U83" s="12"/>
      <c r="V83" s="12"/>
      <c r="W83" s="12"/>
      <c r="X83" s="12"/>
      <c r="Y83" s="12"/>
      <c r="Z83" s="12"/>
      <c r="AA83" s="12"/>
    </row>
    <row r="84" spans="1:27" s="13" customFormat="1" ht="11.25">
      <c r="A84" s="349">
        <v>5002002000003</v>
      </c>
      <c r="B84" s="9" t="s">
        <v>529</v>
      </c>
      <c r="C84" s="299" t="e">
        <f>+SUMIF(#REF!,'CA EF'!A84,#REF!)</f>
        <v>#REF!</v>
      </c>
      <c r="D84" s="166"/>
      <c r="E84" s="166"/>
      <c r="F84" s="379"/>
      <c r="G84" s="299" t="e">
        <f t="shared" ref="G84" si="64">+C84-F84+D84-E84</f>
        <v>#REF!</v>
      </c>
      <c r="H84" s="299"/>
      <c r="I84" s="299"/>
      <c r="J84" s="299"/>
      <c r="K84" s="299" t="e">
        <f>-G84</f>
        <v>#REF!</v>
      </c>
      <c r="L84" s="299"/>
      <c r="M84" s="299"/>
      <c r="N84" s="306" t="e">
        <f t="shared" si="27"/>
        <v>#REF!</v>
      </c>
      <c r="O84" s="12"/>
      <c r="P84" s="12"/>
      <c r="Q84" s="12"/>
      <c r="R84" s="12"/>
      <c r="S84" s="12"/>
      <c r="T84" s="12"/>
      <c r="U84" s="12"/>
      <c r="V84" s="12"/>
      <c r="W84" s="12"/>
      <c r="X84" s="12"/>
      <c r="Y84" s="12"/>
      <c r="Z84" s="12"/>
      <c r="AA84" s="12"/>
    </row>
    <row r="85" spans="1:27" s="13" customFormat="1" ht="11.25">
      <c r="A85" s="349" t="s">
        <v>278</v>
      </c>
      <c r="B85" s="9" t="s">
        <v>235</v>
      </c>
      <c r="C85" s="299" t="e">
        <f>+SUMIF(#REF!,'CA EF'!A85,#REF!)</f>
        <v>#REF!</v>
      </c>
      <c r="D85" s="166"/>
      <c r="E85" s="166"/>
      <c r="F85" s="379"/>
      <c r="G85" s="299" t="e">
        <f t="shared" ref="G85" si="65">+C85-F85+D85-E85</f>
        <v>#REF!</v>
      </c>
      <c r="H85" s="299"/>
      <c r="I85" s="299"/>
      <c r="J85" s="299"/>
      <c r="K85" s="299" t="e">
        <f>-G85</f>
        <v>#REF!</v>
      </c>
      <c r="L85" s="299"/>
      <c r="M85" s="299"/>
      <c r="N85" s="306" t="e">
        <f t="shared" si="27"/>
        <v>#REF!</v>
      </c>
      <c r="O85" s="12"/>
      <c r="P85" s="12"/>
      <c r="Q85" s="12"/>
      <c r="R85" s="12"/>
      <c r="S85" s="12"/>
      <c r="T85" s="12"/>
      <c r="U85" s="12"/>
      <c r="V85" s="12"/>
      <c r="W85" s="12"/>
      <c r="X85" s="12"/>
      <c r="Y85" s="12"/>
      <c r="Z85" s="12"/>
      <c r="AA85" s="12"/>
    </row>
    <row r="86" spans="1:27" s="13" customFormat="1" ht="11.25">
      <c r="A86" s="349">
        <v>5002002000013</v>
      </c>
      <c r="B86" s="9" t="s">
        <v>279</v>
      </c>
      <c r="C86" s="299" t="e">
        <f>+SUMIF(#REF!,'CA EF'!A86,#REF!)</f>
        <v>#REF!</v>
      </c>
      <c r="D86" s="166"/>
      <c r="E86" s="166"/>
      <c r="F86" s="379"/>
      <c r="G86" s="299" t="e">
        <f t="shared" si="61"/>
        <v>#REF!</v>
      </c>
      <c r="H86" s="299"/>
      <c r="I86" s="299"/>
      <c r="J86" s="299"/>
      <c r="K86" s="299" t="e">
        <f>-G86</f>
        <v>#REF!</v>
      </c>
      <c r="L86" s="299"/>
      <c r="M86" s="299"/>
      <c r="N86" s="306" t="e">
        <f t="shared" si="27"/>
        <v>#REF!</v>
      </c>
      <c r="O86" s="12"/>
      <c r="P86" s="12"/>
      <c r="Q86" s="12"/>
      <c r="R86" s="12"/>
      <c r="S86" s="12"/>
      <c r="T86" s="12"/>
      <c r="U86" s="12"/>
      <c r="V86" s="12"/>
      <c r="W86" s="12"/>
      <c r="X86" s="12"/>
      <c r="Y86" s="12"/>
      <c r="Z86" s="12"/>
      <c r="AA86" s="12"/>
    </row>
    <row r="87" spans="1:27" s="13" customFormat="1" ht="11.25">
      <c r="A87" s="349" t="s">
        <v>280</v>
      </c>
      <c r="B87" s="9" t="s">
        <v>281</v>
      </c>
      <c r="C87" s="299" t="e">
        <f>+SUMIF(#REF!,'CA EF'!A87,#REF!)</f>
        <v>#REF!</v>
      </c>
      <c r="D87" s="166"/>
      <c r="E87" s="166"/>
      <c r="F87" s="379"/>
      <c r="G87" s="299" t="e">
        <f t="shared" si="61"/>
        <v>#REF!</v>
      </c>
      <c r="H87" s="299"/>
      <c r="I87" s="299"/>
      <c r="J87" s="299"/>
      <c r="K87" s="299" t="e">
        <f t="shared" ref="K87:K94" si="66">-G87</f>
        <v>#REF!</v>
      </c>
      <c r="L87" s="299"/>
      <c r="M87" s="299"/>
      <c r="N87" s="306" t="e">
        <f t="shared" si="27"/>
        <v>#REF!</v>
      </c>
      <c r="O87" s="12"/>
      <c r="P87" s="12"/>
      <c r="Q87" s="12"/>
      <c r="R87" s="12"/>
      <c r="S87" s="12"/>
      <c r="T87" s="12"/>
      <c r="U87" s="12"/>
      <c r="V87" s="12"/>
      <c r="W87" s="12"/>
      <c r="X87" s="12"/>
      <c r="Y87" s="12"/>
      <c r="Z87" s="12"/>
      <c r="AA87" s="12"/>
    </row>
    <row r="88" spans="1:27" s="13" customFormat="1" ht="11.25">
      <c r="A88" s="349" t="s">
        <v>282</v>
      </c>
      <c r="B88" s="9" t="s">
        <v>283</v>
      </c>
      <c r="C88" s="299" t="e">
        <f>+SUMIF(#REF!,'CA EF'!A88,#REF!)</f>
        <v>#REF!</v>
      </c>
      <c r="D88" s="166"/>
      <c r="E88" s="166"/>
      <c r="F88" s="379"/>
      <c r="G88" s="299" t="e">
        <f t="shared" si="61"/>
        <v>#REF!</v>
      </c>
      <c r="H88" s="299"/>
      <c r="I88" s="299"/>
      <c r="J88" s="299"/>
      <c r="K88" s="299" t="e">
        <f t="shared" si="66"/>
        <v>#REF!</v>
      </c>
      <c r="L88" s="299"/>
      <c r="M88" s="299"/>
      <c r="N88" s="306" t="e">
        <f t="shared" si="27"/>
        <v>#REF!</v>
      </c>
      <c r="O88" s="12"/>
      <c r="P88" s="12"/>
      <c r="Q88" s="12"/>
      <c r="R88" s="12"/>
      <c r="S88" s="12"/>
      <c r="T88" s="12"/>
      <c r="U88" s="12"/>
      <c r="V88" s="12"/>
      <c r="W88" s="12"/>
      <c r="X88" s="12"/>
      <c r="Y88" s="12"/>
      <c r="Z88" s="12"/>
      <c r="AA88" s="12"/>
    </row>
    <row r="89" spans="1:27" s="13" customFormat="1" ht="11.25">
      <c r="A89" s="349">
        <v>5002002000016</v>
      </c>
      <c r="B89" s="9" t="s">
        <v>284</v>
      </c>
      <c r="C89" s="299" t="e">
        <f>+SUMIF(#REF!,'CA EF'!A89,#REF!)</f>
        <v>#REF!</v>
      </c>
      <c r="D89" s="166"/>
      <c r="E89" s="166"/>
      <c r="F89" s="379"/>
      <c r="G89" s="299" t="e">
        <f t="shared" si="61"/>
        <v>#REF!</v>
      </c>
      <c r="H89" s="299"/>
      <c r="I89" s="299"/>
      <c r="J89" s="299"/>
      <c r="K89" s="299" t="e">
        <f t="shared" si="66"/>
        <v>#REF!</v>
      </c>
      <c r="L89" s="299"/>
      <c r="M89" s="299"/>
      <c r="N89" s="306" t="e">
        <f t="shared" si="27"/>
        <v>#REF!</v>
      </c>
      <c r="O89" s="12"/>
      <c r="P89" s="12"/>
      <c r="Q89" s="12"/>
      <c r="R89" s="12"/>
      <c r="S89" s="12"/>
      <c r="T89" s="12"/>
      <c r="U89" s="12"/>
      <c r="V89" s="12"/>
      <c r="W89" s="12"/>
      <c r="X89" s="12"/>
      <c r="Y89" s="12"/>
      <c r="Z89" s="12"/>
      <c r="AA89" s="12"/>
    </row>
    <row r="90" spans="1:27" s="13" customFormat="1" ht="11.25">
      <c r="A90" s="349" t="s">
        <v>285</v>
      </c>
      <c r="B90" s="9" t="s">
        <v>236</v>
      </c>
      <c r="C90" s="299" t="e">
        <f>+SUMIF(#REF!,'CA EF'!A90,#REF!)</f>
        <v>#REF!</v>
      </c>
      <c r="D90" s="166"/>
      <c r="E90" s="166"/>
      <c r="F90" s="379"/>
      <c r="G90" s="299" t="e">
        <f t="shared" si="61"/>
        <v>#REF!</v>
      </c>
      <c r="H90" s="299"/>
      <c r="I90" s="299"/>
      <c r="J90" s="299"/>
      <c r="K90" s="299" t="e">
        <f t="shared" si="66"/>
        <v>#REF!</v>
      </c>
      <c r="L90" s="299"/>
      <c r="M90" s="299"/>
      <c r="N90" s="306" t="e">
        <f t="shared" ref="N90" si="67">SUM(G90:M90)</f>
        <v>#REF!</v>
      </c>
      <c r="O90" s="12"/>
      <c r="P90" s="12"/>
      <c r="Q90" s="12"/>
      <c r="R90" s="12"/>
      <c r="S90" s="12"/>
      <c r="T90" s="12"/>
      <c r="U90" s="12"/>
      <c r="V90" s="12"/>
      <c r="W90" s="12"/>
      <c r="X90" s="12"/>
      <c r="Y90" s="12"/>
      <c r="Z90" s="12"/>
      <c r="AA90" s="12"/>
    </row>
    <row r="91" spans="1:27" s="13" customFormat="1" ht="11.25">
      <c r="A91" s="349">
        <v>5002002000018</v>
      </c>
      <c r="B91" s="9" t="s">
        <v>595</v>
      </c>
      <c r="C91" s="299" t="e">
        <f>+SUMIF(#REF!,'CA EF'!A91,#REF!)</f>
        <v>#REF!</v>
      </c>
      <c r="D91" s="166"/>
      <c r="E91" s="166"/>
      <c r="F91" s="379"/>
      <c r="G91" s="299" t="e">
        <f t="shared" ref="G91" si="68">+C91-F91+D91-E91</f>
        <v>#REF!</v>
      </c>
      <c r="H91" s="299"/>
      <c r="I91" s="299"/>
      <c r="J91" s="299"/>
      <c r="K91" s="299" t="e">
        <f t="shared" ref="K91" si="69">-G91</f>
        <v>#REF!</v>
      </c>
      <c r="L91" s="299"/>
      <c r="M91" s="299"/>
      <c r="N91" s="306" t="e">
        <f t="shared" si="27"/>
        <v>#REF!</v>
      </c>
      <c r="O91" s="12"/>
      <c r="P91" s="12"/>
      <c r="Q91" s="12"/>
      <c r="R91" s="12"/>
      <c r="S91" s="12"/>
      <c r="T91" s="12"/>
      <c r="U91" s="12"/>
      <c r="V91" s="12"/>
      <c r="W91" s="12"/>
      <c r="X91" s="12"/>
      <c r="Y91" s="12"/>
      <c r="Z91" s="12"/>
      <c r="AA91" s="12"/>
    </row>
    <row r="92" spans="1:27" s="13" customFormat="1" ht="11.25">
      <c r="A92" s="349">
        <v>5002002000019</v>
      </c>
      <c r="B92" s="9" t="s">
        <v>596</v>
      </c>
      <c r="C92" s="299" t="e">
        <f>+SUMIF(#REF!,'CA EF'!A92,#REF!)</f>
        <v>#REF!</v>
      </c>
      <c r="D92" s="166"/>
      <c r="E92" s="166"/>
      <c r="F92" s="379"/>
      <c r="G92" s="299" t="e">
        <f t="shared" si="61"/>
        <v>#REF!</v>
      </c>
      <c r="H92" s="299"/>
      <c r="I92" s="299"/>
      <c r="J92" s="299"/>
      <c r="K92" s="299" t="e">
        <f t="shared" si="66"/>
        <v>#REF!</v>
      </c>
      <c r="L92" s="299"/>
      <c r="M92" s="299"/>
      <c r="N92" s="306" t="e">
        <f t="shared" ref="N92" si="70">SUM(G92:M92)</f>
        <v>#REF!</v>
      </c>
      <c r="O92" s="12"/>
      <c r="P92" s="12"/>
      <c r="Q92" s="12"/>
      <c r="R92" s="12"/>
      <c r="S92" s="12"/>
      <c r="T92" s="12"/>
      <c r="U92" s="12"/>
      <c r="V92" s="12"/>
      <c r="W92" s="12"/>
      <c r="X92" s="12"/>
      <c r="Y92" s="12"/>
      <c r="Z92" s="12"/>
      <c r="AA92" s="12"/>
    </row>
    <row r="93" spans="1:27" s="13" customFormat="1" ht="11.25">
      <c r="A93" s="349">
        <v>5002002000020</v>
      </c>
      <c r="B93" s="9" t="s">
        <v>597</v>
      </c>
      <c r="C93" s="299" t="e">
        <f>+SUMIF(#REF!,'CA EF'!A93,#REF!)</f>
        <v>#REF!</v>
      </c>
      <c r="D93" s="166"/>
      <c r="E93" s="166"/>
      <c r="F93" s="379"/>
      <c r="G93" s="299" t="e">
        <f t="shared" ref="G93" si="71">+C93-F93+D93-E93</f>
        <v>#REF!</v>
      </c>
      <c r="H93" s="299"/>
      <c r="I93" s="299"/>
      <c r="J93" s="299"/>
      <c r="K93" s="299" t="e">
        <f t="shared" ref="K93" si="72">-G93</f>
        <v>#REF!</v>
      </c>
      <c r="L93" s="299"/>
      <c r="M93" s="299"/>
      <c r="N93" s="306" t="e">
        <f t="shared" si="27"/>
        <v>#REF!</v>
      </c>
      <c r="O93" s="12"/>
      <c r="P93" s="12"/>
      <c r="Q93" s="12"/>
      <c r="R93" s="12"/>
      <c r="S93" s="12"/>
      <c r="T93" s="12"/>
      <c r="U93" s="12"/>
      <c r="V93" s="12"/>
      <c r="W93" s="12"/>
      <c r="X93" s="12"/>
      <c r="Y93" s="12"/>
      <c r="Z93" s="12"/>
      <c r="AA93" s="12"/>
    </row>
    <row r="94" spans="1:27" s="13" customFormat="1" ht="11.25">
      <c r="A94" s="349">
        <v>5002002000021</v>
      </c>
      <c r="B94" s="9" t="s">
        <v>598</v>
      </c>
      <c r="C94" s="299" t="e">
        <f>+SUMIF(#REF!,'CA EF'!A94,#REF!)</f>
        <v>#REF!</v>
      </c>
      <c r="D94" s="166"/>
      <c r="E94" s="166"/>
      <c r="F94" s="379"/>
      <c r="G94" s="299" t="e">
        <f t="shared" si="61"/>
        <v>#REF!</v>
      </c>
      <c r="H94" s="299"/>
      <c r="I94" s="299"/>
      <c r="J94" s="299"/>
      <c r="K94" s="299" t="e">
        <f t="shared" si="66"/>
        <v>#REF!</v>
      </c>
      <c r="L94" s="299"/>
      <c r="M94" s="299"/>
      <c r="N94" s="306" t="e">
        <f t="shared" ref="N94" si="73">SUM(G94:M94)</f>
        <v>#REF!</v>
      </c>
      <c r="O94" s="12"/>
      <c r="P94" s="12"/>
      <c r="Q94" s="12"/>
      <c r="R94" s="12"/>
      <c r="S94" s="12"/>
      <c r="T94" s="12"/>
      <c r="U94" s="12"/>
      <c r="V94" s="12"/>
      <c r="W94" s="12"/>
      <c r="X94" s="12"/>
      <c r="Y94" s="12"/>
      <c r="Z94" s="12"/>
      <c r="AA94" s="12"/>
    </row>
    <row r="95" spans="1:27" s="13" customFormat="1" ht="11.25">
      <c r="A95" s="349">
        <v>5002002000023</v>
      </c>
      <c r="B95" s="9" t="s">
        <v>594</v>
      </c>
      <c r="C95" s="299" t="e">
        <f>+SUMIF(#REF!,'CA EF'!A95,#REF!)</f>
        <v>#REF!</v>
      </c>
      <c r="D95" s="166"/>
      <c r="E95" s="166"/>
      <c r="F95" s="379"/>
      <c r="G95" s="299" t="e">
        <f t="shared" ref="G95" si="74">+C95-F95+D95-E95</f>
        <v>#REF!</v>
      </c>
      <c r="H95" s="299"/>
      <c r="I95" s="299"/>
      <c r="J95" s="299"/>
      <c r="K95" s="299" t="e">
        <f t="shared" ref="K95" si="75">-G95</f>
        <v>#REF!</v>
      </c>
      <c r="L95" s="299"/>
      <c r="M95" s="299"/>
      <c r="N95" s="306" t="e">
        <f t="shared" si="27"/>
        <v>#REF!</v>
      </c>
      <c r="O95" s="12"/>
      <c r="P95" s="12"/>
      <c r="Q95" s="12"/>
      <c r="R95" s="12"/>
      <c r="S95" s="12"/>
      <c r="T95" s="12"/>
      <c r="U95" s="12"/>
      <c r="V95" s="12"/>
      <c r="W95" s="12"/>
      <c r="X95" s="12"/>
      <c r="Y95" s="12"/>
      <c r="Z95" s="12"/>
      <c r="AA95" s="12"/>
    </row>
    <row r="96" spans="1:27" s="13" customFormat="1" ht="11.25">
      <c r="A96" s="349">
        <v>5002002000004</v>
      </c>
      <c r="B96" s="9" t="s">
        <v>215</v>
      </c>
      <c r="C96" s="294" t="e">
        <f>+SUMIF(#REF!,'CA EF'!A96,#REF!)</f>
        <v>#REF!</v>
      </c>
      <c r="D96" s="164"/>
      <c r="E96" s="164"/>
      <c r="F96" s="360"/>
      <c r="G96" s="294" t="e">
        <f t="shared" ref="G96" si="76">+C96-F96+D96-E96</f>
        <v>#REF!</v>
      </c>
      <c r="H96" s="294" t="e">
        <f t="shared" ref="H96" si="77">-G96</f>
        <v>#REF!</v>
      </c>
      <c r="I96" s="294"/>
      <c r="J96" s="294"/>
      <c r="K96" s="294"/>
      <c r="L96" s="294"/>
      <c r="M96" s="294"/>
      <c r="N96" s="306" t="e">
        <f t="shared" si="27"/>
        <v>#REF!</v>
      </c>
      <c r="O96" s="12"/>
      <c r="P96" s="12"/>
      <c r="Q96" s="12"/>
      <c r="R96" s="12"/>
      <c r="S96" s="12"/>
      <c r="T96" s="12"/>
      <c r="U96" s="12"/>
      <c r="V96" s="12"/>
      <c r="W96" s="12"/>
      <c r="X96" s="12"/>
      <c r="Y96" s="12"/>
      <c r="Z96" s="12"/>
      <c r="AA96" s="12"/>
    </row>
    <row r="97" spans="1:41" s="10" customFormat="1" ht="11.25">
      <c r="A97" s="349">
        <v>5002002001001</v>
      </c>
      <c r="B97" s="7" t="s">
        <v>216</v>
      </c>
      <c r="C97" s="294" t="e">
        <f>+SUMIF(#REF!,'CA EF'!A97,#REF!)</f>
        <v>#REF!</v>
      </c>
      <c r="D97" s="164"/>
      <c r="E97" s="164"/>
      <c r="F97" s="360"/>
      <c r="G97" s="294" t="e">
        <f t="shared" si="59"/>
        <v>#REF!</v>
      </c>
      <c r="H97" s="294"/>
      <c r="I97" s="294"/>
      <c r="J97" s="294" t="e">
        <f>-G97</f>
        <v>#REF!</v>
      </c>
      <c r="K97" s="294"/>
      <c r="L97" s="294"/>
      <c r="M97" s="294"/>
      <c r="N97" s="306" t="e">
        <f t="shared" si="27"/>
        <v>#REF!</v>
      </c>
    </row>
    <row r="98" spans="1:41" s="10" customFormat="1" ht="11.25">
      <c r="A98" s="349">
        <v>5002002001002</v>
      </c>
      <c r="B98" s="9" t="s">
        <v>217</v>
      </c>
      <c r="C98" s="294" t="e">
        <f>+SUMIF(#REF!,'CA EF'!A98,#REF!)</f>
        <v>#REF!</v>
      </c>
      <c r="D98" s="164"/>
      <c r="E98" s="164"/>
      <c r="F98" s="360"/>
      <c r="G98" s="294" t="e">
        <f t="shared" si="59"/>
        <v>#REF!</v>
      </c>
      <c r="H98" s="294"/>
      <c r="I98" s="294"/>
      <c r="J98" s="294" t="e">
        <f>-G98</f>
        <v>#REF!</v>
      </c>
      <c r="K98" s="294"/>
      <c r="L98" s="294"/>
      <c r="M98" s="294"/>
      <c r="N98" s="306" t="e">
        <f t="shared" si="27"/>
        <v>#REF!</v>
      </c>
    </row>
    <row r="99" spans="1:41" s="13" customFormat="1" ht="11.25">
      <c r="A99" s="356"/>
      <c r="B99" s="148"/>
      <c r="C99" s="294" t="e">
        <f>+SUMIF(#REF!,'CA EF'!A99,#REF!)</f>
        <v>#REF!</v>
      </c>
      <c r="D99" s="150"/>
      <c r="E99" s="150"/>
      <c r="F99" s="360" t="e">
        <f>SUMIF(#REF!,'CA EF'!A99,#REF!)</f>
        <v>#REF!</v>
      </c>
      <c r="G99" s="300"/>
      <c r="H99" s="300"/>
      <c r="I99" s="300"/>
      <c r="J99" s="300"/>
      <c r="K99" s="300"/>
      <c r="L99" s="300"/>
      <c r="M99" s="300"/>
      <c r="N99" s="309"/>
      <c r="O99" s="12"/>
      <c r="P99" s="12"/>
      <c r="Q99" s="12"/>
      <c r="R99" s="12"/>
      <c r="S99" s="12"/>
      <c r="T99" s="12"/>
      <c r="U99" s="12"/>
      <c r="V99" s="12"/>
      <c r="W99" s="12"/>
      <c r="X99" s="12"/>
      <c r="Y99" s="12"/>
      <c r="Z99" s="12"/>
      <c r="AA99" s="12"/>
    </row>
    <row r="100" spans="1:41" s="133" customFormat="1" ht="11.25">
      <c r="A100" s="357"/>
      <c r="B100" s="15" t="s">
        <v>82</v>
      </c>
      <c r="C100" s="301" t="e">
        <f>-SUM(C64:C75)-SUM(C77:C98)</f>
        <v>#REF!</v>
      </c>
      <c r="D100" s="317"/>
      <c r="E100" s="105" t="e">
        <f>+C100</f>
        <v>#REF!</v>
      </c>
      <c r="F100" s="106"/>
      <c r="G100" s="107" t="e">
        <f>+C100+D100-E100</f>
        <v>#REF!</v>
      </c>
      <c r="H100" s="108">
        <v>0</v>
      </c>
      <c r="I100" s="108">
        <v>0</v>
      </c>
      <c r="J100" s="310">
        <v>0</v>
      </c>
      <c r="K100" s="310">
        <v>0</v>
      </c>
      <c r="L100" s="310"/>
      <c r="M100" s="310"/>
      <c r="N100" s="311"/>
      <c r="O100" s="132"/>
      <c r="P100" s="132"/>
      <c r="Q100" s="132"/>
      <c r="R100" s="132"/>
      <c r="S100" s="132"/>
      <c r="T100" s="132"/>
      <c r="U100" s="132"/>
      <c r="V100" s="132"/>
      <c r="W100" s="132"/>
      <c r="X100" s="132"/>
      <c r="Y100" s="132"/>
      <c r="Z100" s="132"/>
      <c r="AA100" s="132"/>
    </row>
    <row r="101" spans="1:41" s="13" customFormat="1" ht="6.75" customHeight="1">
      <c r="A101" s="356"/>
      <c r="B101" s="148"/>
      <c r="C101" s="300"/>
      <c r="D101" s="150"/>
      <c r="E101" s="150"/>
      <c r="F101" s="149"/>
      <c r="G101" s="149"/>
      <c r="H101" s="149"/>
      <c r="I101" s="149"/>
      <c r="J101" s="300"/>
      <c r="K101" s="300"/>
      <c r="L101" s="300"/>
      <c r="M101" s="300"/>
      <c r="N101" s="309"/>
      <c r="O101" s="12"/>
      <c r="P101" s="12"/>
      <c r="Q101" s="12"/>
      <c r="R101" s="12"/>
      <c r="S101" s="12"/>
      <c r="T101" s="12"/>
      <c r="U101" s="12"/>
      <c r="V101" s="12"/>
      <c r="W101" s="12"/>
      <c r="X101" s="12"/>
      <c r="Y101" s="12"/>
      <c r="Z101" s="12"/>
      <c r="AA101" s="12"/>
    </row>
    <row r="102" spans="1:41" s="135" customFormat="1" ht="11.25">
      <c r="A102" s="358"/>
      <c r="B102" s="171" t="s">
        <v>83</v>
      </c>
      <c r="C102" s="171" t="e">
        <f t="shared" ref="C102:N102" si="78">SUM(C4:C100)</f>
        <v>#REF!</v>
      </c>
      <c r="D102" s="171" t="e">
        <f t="shared" si="78"/>
        <v>#REF!</v>
      </c>
      <c r="E102" s="171" t="e">
        <f t="shared" si="78"/>
        <v>#REF!</v>
      </c>
      <c r="F102" s="171" t="e">
        <f t="shared" si="78"/>
        <v>#REF!</v>
      </c>
      <c r="G102" s="171" t="e">
        <f t="shared" si="78"/>
        <v>#REF!</v>
      </c>
      <c r="H102" s="171" t="e">
        <f t="shared" si="78"/>
        <v>#REF!</v>
      </c>
      <c r="I102" s="171" t="e">
        <f t="shared" si="78"/>
        <v>#REF!</v>
      </c>
      <c r="J102" s="171" t="e">
        <f t="shared" si="78"/>
        <v>#REF!</v>
      </c>
      <c r="K102" s="171" t="e">
        <f t="shared" si="78"/>
        <v>#REF!</v>
      </c>
      <c r="L102" s="171" t="e">
        <f t="shared" si="78"/>
        <v>#REF!</v>
      </c>
      <c r="M102" s="171" t="e">
        <f t="shared" si="78"/>
        <v>#REF!</v>
      </c>
      <c r="N102" s="171" t="e">
        <f t="shared" si="78"/>
        <v>#REF!</v>
      </c>
      <c r="O102" s="134"/>
      <c r="P102" s="134"/>
      <c r="Q102" s="134"/>
      <c r="R102" s="134"/>
      <c r="S102" s="134"/>
      <c r="T102" s="134"/>
      <c r="U102" s="134"/>
      <c r="V102" s="134"/>
      <c r="W102" s="134"/>
      <c r="X102" s="134"/>
      <c r="Y102" s="134"/>
      <c r="Z102" s="134"/>
      <c r="AA102" s="134"/>
      <c r="AB102" s="134"/>
      <c r="AC102" s="134"/>
      <c r="AD102" s="134"/>
      <c r="AE102" s="134"/>
      <c r="AF102" s="134"/>
      <c r="AG102" s="134"/>
      <c r="AH102" s="134"/>
      <c r="AI102" s="134"/>
      <c r="AJ102" s="134"/>
      <c r="AK102" s="134"/>
      <c r="AL102" s="134"/>
      <c r="AM102" s="134"/>
      <c r="AN102" s="134"/>
      <c r="AO102" s="134"/>
    </row>
    <row r="103" spans="1:41" s="16" customFormat="1">
      <c r="A103" s="359"/>
      <c r="D103" s="109"/>
      <c r="E103" s="320" t="e">
        <f>+D102-E102</f>
        <v>#REF!</v>
      </c>
      <c r="F103" s="109"/>
      <c r="G103" s="110"/>
      <c r="H103" s="111"/>
      <c r="I103" s="111"/>
      <c r="J103" s="312"/>
      <c r="K103" s="312" t="e">
        <f>+SUM(H102:K102)</f>
        <v>#REF!</v>
      </c>
      <c r="L103" s="312"/>
      <c r="M103" s="312" t="e">
        <f>+SUM(L102:M102)</f>
        <v>#REF!</v>
      </c>
      <c r="N103" s="313" t="e">
        <f>SUM(G103:M103)</f>
        <v>#REF!</v>
      </c>
      <c r="P103" s="26"/>
      <c r="Q103" s="26"/>
      <c r="R103" s="26"/>
      <c r="S103" s="26"/>
      <c r="T103" s="26"/>
      <c r="U103" s="26"/>
      <c r="V103" s="26"/>
      <c r="W103" s="26"/>
      <c r="X103" s="26"/>
      <c r="Y103" s="26"/>
      <c r="Z103" s="26"/>
      <c r="AA103" s="26"/>
      <c r="AB103" s="22"/>
      <c r="AC103" s="22"/>
      <c r="AD103" s="22"/>
      <c r="AE103" s="22"/>
      <c r="AF103" s="22"/>
      <c r="AG103" s="22"/>
      <c r="AH103" s="22"/>
      <c r="AI103" s="22"/>
      <c r="AJ103" s="22"/>
      <c r="AK103" s="22"/>
      <c r="AL103" s="22"/>
      <c r="AM103" s="22"/>
      <c r="AN103" s="22"/>
      <c r="AO103" s="22"/>
    </row>
    <row r="104" spans="1:41">
      <c r="B104" s="18"/>
      <c r="C104" s="302"/>
      <c r="D104" s="18"/>
      <c r="E104" s="19"/>
      <c r="F104" s="18"/>
      <c r="G104" s="20"/>
      <c r="H104" s="72"/>
      <c r="I104" s="72"/>
      <c r="J104" s="72"/>
      <c r="K104" s="72"/>
      <c r="L104" s="72"/>
      <c r="M104" s="314"/>
      <c r="N104" s="315" t="e">
        <f>+N102-N103</f>
        <v>#REF!</v>
      </c>
      <c r="O104" s="21"/>
      <c r="P104" s="12"/>
      <c r="Q104" s="12"/>
      <c r="R104" s="12"/>
      <c r="S104" s="12"/>
      <c r="T104" s="12"/>
      <c r="U104" s="12"/>
      <c r="V104" s="12"/>
      <c r="W104" s="12"/>
      <c r="X104" s="12"/>
      <c r="Y104" s="12"/>
      <c r="Z104" s="12"/>
      <c r="AA104" s="12"/>
    </row>
    <row r="105" spans="1:41">
      <c r="B105" s="6"/>
      <c r="C105" s="22"/>
      <c r="G105" s="23"/>
      <c r="H105" s="22"/>
      <c r="I105" s="22"/>
      <c r="J105" s="22"/>
      <c r="K105" s="22"/>
      <c r="L105" s="22"/>
      <c r="M105" s="22"/>
      <c r="N105" s="22"/>
      <c r="O105" s="21"/>
    </row>
    <row r="106" spans="1:41">
      <c r="B106" s="6"/>
      <c r="F106" s="24"/>
      <c r="G106" s="25"/>
      <c r="H106" s="73"/>
      <c r="I106" s="73"/>
      <c r="J106" s="73"/>
      <c r="K106" s="73"/>
      <c r="L106" s="73"/>
      <c r="M106" s="73"/>
    </row>
    <row r="107" spans="1:41">
      <c r="H107" s="73"/>
      <c r="I107" s="73"/>
      <c r="J107" s="73"/>
      <c r="K107" s="73"/>
      <c r="L107" s="73"/>
      <c r="M107" s="73"/>
    </row>
  </sheetData>
  <sheetProtection algorithmName="SHA-512" hashValue="vHyWsMJyTVeGQHkppebvRi2bTW/ZDIX7IPuyX7r7Uvxw+YMNWYhIuZekZvJZTYw1znQ4K55A8YMQQ4pVjWxyMg==" saltValue="Eyar9bW5T87NH6d5SHOlmQ==" spinCount="100000" sheet="1" objects="1" scenarios="1"/>
  <autoFilter ref="A3:N98" xr:uid="{00000000-0001-0000-0600-000000000000}"/>
  <customSheetViews>
    <customSheetView guid="{B9F63820-5C32-455A-BC9D-0BE84D6B0867}" scale="113" state="hidden">
      <pane xSplit="6" ySplit="3" topLeftCell="G47" activePane="bottomRight" state="frozen"/>
      <selection pane="bottomRight" activeCell="A58" sqref="A58"/>
      <pageMargins left="0" right="0" top="0" bottom="0" header="0" footer="0"/>
      <pageSetup orientation="portrait" r:id="rId1"/>
    </customSheetView>
    <customSheetView guid="{7015FC6D-0680-4B00-AA0E-B83DA1D0B666}" scale="113">
      <pane xSplit="6" ySplit="3" topLeftCell="G47" activePane="bottomRight" state="frozen"/>
      <selection pane="bottomRight" activeCell="A58" sqref="A58"/>
      <pageMargins left="0" right="0" top="0" bottom="0" header="0" footer="0"/>
      <pageSetup orientation="portrait" r:id="rId2"/>
    </customSheetView>
    <customSheetView guid="{5FCC9217-B3E9-4B91-A943-5F21728EBEE9}" scale="113">
      <pane xSplit="6" ySplit="3" topLeftCell="G47" activePane="bottomRight" state="frozen"/>
      <selection pane="bottomRight" activeCell="A58" sqref="A58"/>
      <pageMargins left="0" right="0" top="0" bottom="0" header="0" footer="0"/>
      <pageSetup orientation="portrait" r:id="rId3"/>
    </customSheetView>
    <customSheetView guid="{F3648BCD-1CED-4BBB-AE63-37BDB925883F}" scale="113" state="hidden">
      <pane xSplit="6" ySplit="3" topLeftCell="G47" activePane="bottomRight" state="frozen"/>
      <selection pane="bottomRight" activeCell="A58" sqref="A58"/>
      <pageMargins left="0" right="0" top="0" bottom="0" header="0" footer="0"/>
      <pageSetup orientation="portrait" r:id="rId4"/>
    </customSheetView>
  </customSheetViews>
  <mergeCells count="3">
    <mergeCell ref="D2:E2"/>
    <mergeCell ref="H2:K2"/>
    <mergeCell ref="L2:M2"/>
  </mergeCells>
  <conditionalFormatting sqref="A1:A1048576">
    <cfRule type="duplicateValues" dxfId="0" priority="1"/>
  </conditionalFormatting>
  <pageMargins left="0.7" right="0.7" top="0.75" bottom="0.75" header="0.3" footer="0.3"/>
  <pageSetup orientation="portrait" r:id="rId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tabColor theme="2" tint="-0.499984740745262"/>
    <pageSetUpPr fitToPage="1"/>
  </sheetPr>
  <dimension ref="A1:L48"/>
  <sheetViews>
    <sheetView showGridLines="0" topLeftCell="B1" zoomScale="80" zoomScaleNormal="80" zoomScaleSheetLayoutView="80" workbookViewId="0">
      <pane ySplit="9" topLeftCell="A10" activePane="bottomLeft" state="frozen"/>
      <selection pane="bottomLeft" activeCell="F26" sqref="F26"/>
    </sheetView>
  </sheetViews>
  <sheetFormatPr baseColWidth="10" defaultColWidth="11.42578125" defaultRowHeight="15.75"/>
  <cols>
    <col min="1" max="1" width="2.85546875" style="46" customWidth="1"/>
    <col min="2" max="2" width="44.42578125" style="46" customWidth="1"/>
    <col min="3" max="3" width="19.5703125" style="46" customWidth="1"/>
    <col min="4" max="4" width="15.28515625" style="47" customWidth="1"/>
    <col min="5" max="5" width="22.85546875" style="46" customWidth="1"/>
    <col min="6" max="6" width="22.85546875" style="257" customWidth="1"/>
    <col min="7" max="7" width="23.42578125" style="46" bestFit="1" customWidth="1"/>
    <col min="8" max="8" width="20" style="46" bestFit="1" customWidth="1"/>
    <col min="9" max="9" width="16.5703125" style="46" customWidth="1"/>
    <col min="10" max="10" width="18.85546875" style="46" bestFit="1" customWidth="1"/>
    <col min="11" max="11" width="15.42578125" style="46" bestFit="1" customWidth="1"/>
    <col min="12" max="16384" width="11.42578125" style="46"/>
  </cols>
  <sheetData>
    <row r="1" spans="1:11" s="52" customFormat="1" ht="12.75" customHeight="1">
      <c r="A1" s="44"/>
      <c r="D1" s="53"/>
      <c r="F1" s="251"/>
    </row>
    <row r="2" spans="1:11" s="44" customFormat="1" ht="12.75" customHeight="1">
      <c r="D2" s="45"/>
      <c r="F2" s="252"/>
    </row>
    <row r="3" spans="1:11" s="44" customFormat="1" ht="12.75" customHeight="1">
      <c r="D3" s="45"/>
      <c r="F3" s="252"/>
    </row>
    <row r="4" spans="1:11" s="54" customFormat="1" ht="12.75" customHeight="1" thickBot="1">
      <c r="D4" s="55"/>
      <c r="F4" s="253"/>
    </row>
    <row r="5" spans="1:11" s="51" customFormat="1" ht="7.5" customHeight="1" thickTop="1">
      <c r="B5" s="56"/>
      <c r="C5" s="57"/>
      <c r="D5" s="57"/>
      <c r="E5" s="57"/>
      <c r="F5" s="254"/>
      <c r="H5" s="58"/>
      <c r="I5" s="58"/>
      <c r="J5" s="58"/>
    </row>
    <row r="6" spans="1:11" ht="15" customHeight="1">
      <c r="B6" s="170" t="s">
        <v>303</v>
      </c>
      <c r="C6" s="1"/>
      <c r="D6" s="1"/>
      <c r="E6" s="348"/>
      <c r="F6" s="255" t="s">
        <v>5</v>
      </c>
      <c r="G6" s="28"/>
      <c r="H6" s="28"/>
      <c r="I6" s="28"/>
    </row>
    <row r="7" spans="1:11" ht="15" customHeight="1">
      <c r="B7" s="170" t="s">
        <v>86</v>
      </c>
      <c r="C7" s="1"/>
      <c r="D7" s="1"/>
      <c r="E7" s="1"/>
      <c r="F7" s="256"/>
      <c r="G7" s="28"/>
      <c r="H7" s="28"/>
      <c r="I7" s="28"/>
    </row>
    <row r="8" spans="1:11" s="51" customFormat="1" ht="23.25" customHeight="1">
      <c r="A8" s="46"/>
      <c r="B8" s="692" t="s">
        <v>652</v>
      </c>
      <c r="C8" s="692"/>
      <c r="D8" s="692"/>
      <c r="E8" s="692"/>
      <c r="F8" s="692"/>
      <c r="G8" s="28"/>
      <c r="H8" s="28"/>
      <c r="I8" s="28"/>
    </row>
    <row r="9" spans="1:11" ht="15" customHeight="1">
      <c r="B9" s="172" t="s">
        <v>539</v>
      </c>
      <c r="C9" s="1"/>
      <c r="D9" s="1"/>
      <c r="E9" s="1"/>
      <c r="F9" s="256"/>
      <c r="G9" s="28"/>
      <c r="H9" s="28"/>
      <c r="I9" s="28"/>
    </row>
    <row r="10" spans="1:11" ht="11.25" customHeight="1">
      <c r="D10" s="46"/>
      <c r="E10" s="47"/>
    </row>
    <row r="11" spans="1:11" ht="26.25" customHeight="1">
      <c r="B11" s="727" t="s">
        <v>6</v>
      </c>
      <c r="C11" s="728"/>
      <c r="D11" s="728"/>
      <c r="E11" s="199" t="s">
        <v>653</v>
      </c>
      <c r="F11" s="199" t="s">
        <v>538</v>
      </c>
      <c r="G11" s="28"/>
    </row>
    <row r="12" spans="1:11" ht="6.75" customHeight="1">
      <c r="A12" s="1"/>
      <c r="B12" s="178"/>
      <c r="C12" s="179"/>
      <c r="D12" s="180"/>
      <c r="E12" s="181"/>
      <c r="F12" s="258"/>
      <c r="G12" s="1"/>
    </row>
    <row r="13" spans="1:11" ht="15">
      <c r="B13" s="182" t="s">
        <v>85</v>
      </c>
      <c r="C13" s="186"/>
      <c r="D13" s="263" t="s">
        <v>87</v>
      </c>
      <c r="E13" s="370">
        <v>3576998.74</v>
      </c>
      <c r="F13" s="382">
        <v>545004.05000000005</v>
      </c>
      <c r="G13" s="163"/>
    </row>
    <row r="14" spans="1:11" ht="15">
      <c r="B14" s="182" t="s">
        <v>7</v>
      </c>
      <c r="C14" s="186"/>
      <c r="D14" s="263" t="s">
        <v>88</v>
      </c>
      <c r="E14" s="236">
        <v>33969215.309043303</v>
      </c>
      <c r="F14" s="382">
        <v>14015231.804506358</v>
      </c>
      <c r="G14" s="163"/>
    </row>
    <row r="15" spans="1:11" ht="15">
      <c r="B15" s="182" t="s">
        <v>152</v>
      </c>
      <c r="C15" s="186"/>
      <c r="D15" s="263" t="s">
        <v>90</v>
      </c>
      <c r="E15" s="236">
        <v>22815.3</v>
      </c>
      <c r="F15" s="382">
        <v>2658.4700000000003</v>
      </c>
      <c r="G15" s="163"/>
      <c r="K15" s="322"/>
    </row>
    <row r="16" spans="1:11" s="28" customFormat="1" ht="7.5" customHeight="1">
      <c r="A16" s="1"/>
      <c r="B16" s="182"/>
      <c r="C16" s="185"/>
      <c r="D16" s="183"/>
      <c r="E16" s="184"/>
      <c r="F16" s="275"/>
    </row>
    <row r="17" spans="1:12" ht="15">
      <c r="B17" s="193" t="s">
        <v>8</v>
      </c>
      <c r="C17" s="188"/>
      <c r="D17" s="189"/>
      <c r="E17" s="386">
        <v>37569029.349043302</v>
      </c>
      <c r="F17" s="387">
        <v>14562894.324506359</v>
      </c>
      <c r="G17" s="361"/>
      <c r="H17" s="361"/>
      <c r="J17" s="371"/>
      <c r="K17" s="257"/>
      <c r="L17" s="257"/>
    </row>
    <row r="18" spans="1:12" ht="6.75" customHeight="1">
      <c r="A18" s="1"/>
      <c r="B18" s="194"/>
      <c r="C18" s="180"/>
      <c r="D18" s="180"/>
      <c r="E18" s="276"/>
      <c r="F18" s="384"/>
      <c r="G18" s="203"/>
    </row>
    <row r="19" spans="1:12" ht="26.25" customHeight="1">
      <c r="B19" s="727" t="s">
        <v>9</v>
      </c>
      <c r="C19" s="728"/>
      <c r="D19" s="728"/>
      <c r="E19" s="385"/>
      <c r="F19" s="277"/>
      <c r="G19" s="377"/>
      <c r="H19" s="371"/>
    </row>
    <row r="20" spans="1:12" ht="6.75" customHeight="1">
      <c r="A20" s="1"/>
      <c r="B20" s="178"/>
      <c r="C20" s="179"/>
      <c r="D20" s="180"/>
      <c r="E20" s="181"/>
      <c r="F20" s="383"/>
      <c r="G20" s="1"/>
    </row>
    <row r="21" spans="1:12" ht="15" hidden="1">
      <c r="B21" s="182" t="s">
        <v>89</v>
      </c>
      <c r="C21" s="188"/>
      <c r="D21" s="187" t="s">
        <v>90</v>
      </c>
      <c r="E21" s="200">
        <v>0</v>
      </c>
      <c r="F21" s="274">
        <v>0</v>
      </c>
    </row>
    <row r="22" spans="1:12" ht="15">
      <c r="B22" s="182" t="s">
        <v>524</v>
      </c>
      <c r="C22" s="186"/>
      <c r="D22" s="263" t="s">
        <v>88</v>
      </c>
      <c r="E22" s="370">
        <v>87077.399043302546</v>
      </c>
      <c r="F22" s="382">
        <v>17504.174506356372</v>
      </c>
      <c r="G22" s="163"/>
    </row>
    <row r="23" spans="1:12" ht="15">
      <c r="B23" s="182" t="s">
        <v>91</v>
      </c>
      <c r="C23" s="186"/>
      <c r="D23" s="263" t="s">
        <v>158</v>
      </c>
      <c r="E23" s="370">
        <v>41898.03</v>
      </c>
      <c r="F23" s="274">
        <v>0</v>
      </c>
    </row>
    <row r="24" spans="1:12" ht="15" hidden="1">
      <c r="B24" s="182" t="s">
        <v>182</v>
      </c>
      <c r="C24" s="186"/>
      <c r="D24" s="263" t="s">
        <v>241</v>
      </c>
      <c r="E24" s="370">
        <v>0</v>
      </c>
      <c r="F24" s="274">
        <v>0</v>
      </c>
    </row>
    <row r="25" spans="1:12" s="28" customFormat="1" ht="15">
      <c r="A25" s="1"/>
      <c r="B25" s="182" t="s">
        <v>238</v>
      </c>
      <c r="C25" s="201"/>
      <c r="D25" s="263" t="s">
        <v>188</v>
      </c>
      <c r="E25" s="370">
        <v>1706430.17</v>
      </c>
      <c r="F25" s="382">
        <v>800661</v>
      </c>
      <c r="G25" s="374"/>
    </row>
    <row r="26" spans="1:12" s="28" customFormat="1" ht="15">
      <c r="A26" s="1"/>
      <c r="B26" s="182" t="s">
        <v>242</v>
      </c>
      <c r="C26" s="201"/>
      <c r="D26" s="263" t="s">
        <v>244</v>
      </c>
      <c r="E26" s="370">
        <v>0</v>
      </c>
      <c r="F26" s="382">
        <v>305.35000000000002</v>
      </c>
      <c r="G26" s="375"/>
    </row>
    <row r="27" spans="1:12" s="28" customFormat="1" ht="14.25">
      <c r="A27" s="1"/>
      <c r="B27" s="193"/>
      <c r="C27" s="201"/>
      <c r="D27" s="183"/>
      <c r="E27" s="202"/>
      <c r="F27" s="278"/>
      <c r="G27" s="374"/>
    </row>
    <row r="28" spans="1:12" s="28" customFormat="1" ht="14.25">
      <c r="A28" s="1"/>
      <c r="B28" s="193"/>
      <c r="C28" s="201"/>
      <c r="D28" s="183"/>
      <c r="E28" s="202"/>
      <c r="F28" s="278"/>
      <c r="G28" s="374"/>
      <c r="H28" s="376"/>
    </row>
    <row r="29" spans="1:12" ht="16.5" customHeight="1" thickBot="1">
      <c r="B29" s="194" t="s">
        <v>10</v>
      </c>
      <c r="C29" s="188"/>
      <c r="D29" s="190"/>
      <c r="E29" s="237">
        <v>35733623.75</v>
      </c>
      <c r="F29" s="237">
        <v>13744423.800000003</v>
      </c>
      <c r="G29" s="146"/>
      <c r="H29" s="146"/>
    </row>
    <row r="30" spans="1:12" ht="16.5" thickTop="1" thickBot="1">
      <c r="B30" s="195" t="s">
        <v>11</v>
      </c>
      <c r="C30" s="191"/>
      <c r="D30" s="192"/>
      <c r="E30" s="327">
        <v>33863.669498370349</v>
      </c>
      <c r="F30" s="327">
        <v>13348.155341218517</v>
      </c>
    </row>
    <row r="31" spans="1:12" ht="16.5" thickTop="1" thickBot="1">
      <c r="B31" s="196" t="s">
        <v>12</v>
      </c>
      <c r="C31" s="197"/>
      <c r="D31" s="198"/>
      <c r="E31" s="327">
        <v>1055.2200715199999</v>
      </c>
      <c r="F31" s="327">
        <v>1029.68713269</v>
      </c>
    </row>
    <row r="32" spans="1:12" thickTop="1">
      <c r="B32" s="66" t="s">
        <v>22</v>
      </c>
      <c r="C32" s="28"/>
      <c r="D32" s="28"/>
      <c r="E32" s="28"/>
      <c r="F32" s="259"/>
      <c r="G32" s="28"/>
      <c r="H32" s="28"/>
      <c r="I32" s="28"/>
    </row>
    <row r="33" spans="1:9" ht="15">
      <c r="B33" s="51"/>
      <c r="C33" s="28"/>
      <c r="D33" s="28"/>
      <c r="E33" s="372"/>
      <c r="F33" s="259"/>
      <c r="G33" s="28"/>
      <c r="H33" s="28"/>
      <c r="I33" s="28"/>
    </row>
    <row r="34" spans="1:9" ht="15">
      <c r="B34" s="51"/>
      <c r="C34" s="28"/>
      <c r="D34" s="28"/>
      <c r="E34" s="28"/>
      <c r="F34" s="259"/>
      <c r="G34" s="28"/>
      <c r="H34" s="28"/>
      <c r="I34" s="28"/>
    </row>
    <row r="35" spans="1:9" ht="15">
      <c r="B35" s="51"/>
      <c r="C35" s="28"/>
      <c r="D35" s="28"/>
      <c r="E35" s="28"/>
      <c r="F35" s="259"/>
      <c r="G35" s="28"/>
      <c r="H35" s="28"/>
      <c r="I35" s="28"/>
    </row>
    <row r="38" spans="1:9" s="60" customFormat="1" ht="12.75">
      <c r="A38" s="61"/>
      <c r="B38" s="62" t="s">
        <v>147</v>
      </c>
      <c r="C38" s="713" t="s">
        <v>750</v>
      </c>
      <c r="D38" s="713"/>
      <c r="E38" s="63"/>
      <c r="F38" s="260" t="s">
        <v>650</v>
      </c>
    </row>
    <row r="39" spans="1:9" s="60" customFormat="1" ht="12.75">
      <c r="A39" s="61"/>
      <c r="B39" s="64" t="s">
        <v>116</v>
      </c>
      <c r="C39" s="714" t="s">
        <v>174</v>
      </c>
      <c r="D39" s="714"/>
      <c r="E39" s="65"/>
      <c r="F39" s="261" t="s">
        <v>117</v>
      </c>
    </row>
    <row r="46" spans="1:9" s="651" customFormat="1">
      <c r="B46" s="700" t="s">
        <v>581</v>
      </c>
      <c r="C46" s="700"/>
      <c r="D46" s="657"/>
      <c r="F46" s="648" t="s">
        <v>583</v>
      </c>
    </row>
    <row r="47" spans="1:9" s="651" customFormat="1">
      <c r="B47" s="710" t="s">
        <v>582</v>
      </c>
      <c r="C47" s="710"/>
      <c r="D47" s="657"/>
      <c r="F47" s="650" t="s">
        <v>584</v>
      </c>
    </row>
    <row r="48" spans="1:9" s="651" customFormat="1">
      <c r="D48" s="657"/>
      <c r="F48" s="658"/>
    </row>
  </sheetData>
  <customSheetViews>
    <customSheetView guid="{B9F63820-5C32-455A-BC9D-0BE84D6B0867}" scale="80" showGridLines="0" state="hidden">
      <pane ySplit="7" topLeftCell="A62" activePane="bottomLeft" state="frozen"/>
      <selection pane="bottomLeft" activeCell="F77" sqref="F77"/>
      <colBreaks count="1" manualBreakCount="1">
        <brk id="7" max="1048575" man="1"/>
      </colBreaks>
      <pageMargins left="0" right="0" top="0" bottom="0" header="0" footer="0"/>
      <pageSetup paperSize="9" scale="46" orientation="portrait" r:id="rId1"/>
    </customSheetView>
    <customSheetView guid="{7015FC6D-0680-4B00-AA0E-B83DA1D0B666}" scale="80" showPageBreaks="1" showGridLines="0" printArea="1">
      <pane ySplit="7" topLeftCell="A62" activePane="bottomLeft" state="frozen"/>
      <selection pane="bottomLeft" activeCell="F77" sqref="F77"/>
      <colBreaks count="1" manualBreakCount="1">
        <brk id="7" max="1048575" man="1"/>
      </colBreaks>
      <pageMargins left="0" right="0" top="0" bottom="0" header="0" footer="0"/>
      <pageSetup paperSize="9" scale="46" orientation="portrait" r:id="rId2"/>
    </customSheetView>
    <customSheetView guid="{5FCC9217-B3E9-4B91-A943-5F21728EBEE9}" scale="80" showPageBreaks="1" showGridLines="0" printArea="1">
      <pane ySplit="7" topLeftCell="A8" activePane="bottomLeft" state="frozen"/>
      <selection pane="bottomLeft" activeCell="B7" sqref="B7:G72"/>
      <colBreaks count="1" manualBreakCount="1">
        <brk id="7" max="1048575" man="1"/>
      </colBreaks>
      <pageMargins left="0" right="0" top="0" bottom="0" header="0" footer="0"/>
      <pageSetup paperSize="9" scale="46" orientation="portrait" r:id="rId3"/>
    </customSheetView>
    <customSheetView guid="{F3648BCD-1CED-4BBB-AE63-37BDB925883F}" scale="80" showGridLines="0">
      <pane ySplit="7" topLeftCell="A8" activePane="bottomLeft" state="frozen"/>
      <selection pane="bottomLeft" activeCell="B38" sqref="B38"/>
      <colBreaks count="1" manualBreakCount="1">
        <brk id="7" max="1048575" man="1"/>
      </colBreaks>
      <pageMargins left="0" right="0" top="0" bottom="0" header="0" footer="0"/>
      <pageSetup paperSize="9" scale="46" orientation="portrait" r:id="rId4"/>
    </customSheetView>
  </customSheetViews>
  <mergeCells count="7">
    <mergeCell ref="B46:C46"/>
    <mergeCell ref="B47:C47"/>
    <mergeCell ref="C38:D38"/>
    <mergeCell ref="C39:D39"/>
    <mergeCell ref="B8:F8"/>
    <mergeCell ref="B19:D19"/>
    <mergeCell ref="B11:D11"/>
  </mergeCells>
  <hyperlinks>
    <hyperlink ref="F6" location="INDICE!A1" display="Índice" xr:uid="{242F3235-E00B-4C92-A93F-5B04FB32E055}"/>
    <hyperlink ref="D21" location="'Nota 4.3 a Nota 4.10'!A1" display="(Nota 4.3)" xr:uid="{CC6C50E0-F965-4D1C-AA36-51600AD91152}"/>
    <hyperlink ref="D13" location="NOTAS!A1" display="(Nota 4.1)" xr:uid="{62DA1D78-FFEB-4EC7-9170-4AFA2BBDC7AC}"/>
    <hyperlink ref="D14" location="NOTAS!A1" display="(Nota 4.1)" xr:uid="{A93ED3AC-303C-4E5D-9ABC-94B44AA11D62}"/>
    <hyperlink ref="D15" location="NOTAS!A1" display="(Nota 4.1)" xr:uid="{0681CEFD-1EFA-4B1E-9374-801939243F2D}"/>
    <hyperlink ref="D23" location="NOTAS!A1" display="(Nota 4.1)" xr:uid="{7FBD666D-36BE-490D-9DAE-F78DD52584D4}"/>
    <hyperlink ref="D24" location="NOTAS!A1" display="(Nota 4.1)" xr:uid="{FC5BEA68-F0BB-4F20-8A55-18AD7C65E729}"/>
    <hyperlink ref="D25" location="NOTAS!A201" display="(Nota 4.6)" xr:uid="{48977D07-0FDB-4BCB-8839-6AF8A0E9561A}"/>
    <hyperlink ref="D26" location="NOTAS!A1" display="(Nota 4.1)" xr:uid="{5AD93F9D-DCA4-47CE-8ECB-F363BEDDD911}"/>
    <hyperlink ref="D22" location="NOTAS!A1" display="(Nota 4.1)" xr:uid="{FDBF13AB-C9F4-4921-8785-7BE4F0BC2BA1}"/>
  </hyperlinks>
  <pageMargins left="0.7" right="0.7" top="0.75" bottom="0.75" header="0.3" footer="0.3"/>
  <pageSetup paperSize="9" scale="22" fitToHeight="0" orientation="portrait" r:id="rId5"/>
  <drawing r:id="rId6"/>
  <legacyDrawing r:id="rId7"/>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76975-F3CC-4776-81D6-0D942D238D16}">
  <sheetPr codeName="Hoja13">
    <tabColor theme="2" tint="-0.499984740745262"/>
    <pageSetUpPr fitToPage="1"/>
  </sheetPr>
  <dimension ref="A1:J45"/>
  <sheetViews>
    <sheetView showGridLines="0" zoomScale="80" zoomScaleNormal="80" zoomScaleSheetLayoutView="90" workbookViewId="0">
      <pane ySplit="9" topLeftCell="A10" activePane="bottomLeft" state="frozen"/>
      <selection pane="bottomLeft" activeCell="H27" sqref="H27"/>
    </sheetView>
  </sheetViews>
  <sheetFormatPr baseColWidth="10" defaultColWidth="11.42578125" defaultRowHeight="15"/>
  <cols>
    <col min="1" max="1" width="2.85546875" style="46" customWidth="1"/>
    <col min="2" max="2" width="57.28515625" style="51" customWidth="1"/>
    <col min="3" max="3" width="20.28515625" style="51" customWidth="1"/>
    <col min="4" max="5" width="22.85546875" style="51" customWidth="1"/>
    <col min="6" max="6" width="18.42578125" style="51" customWidth="1"/>
    <col min="7" max="7" width="17.85546875" style="51" customWidth="1"/>
    <col min="8" max="8" width="27.42578125" style="51" customWidth="1"/>
    <col min="9" max="9" width="17.85546875" style="51" bestFit="1" customWidth="1"/>
    <col min="10" max="10" width="6.85546875" style="51" customWidth="1"/>
    <col min="11" max="16384" width="11.42578125" style="51"/>
  </cols>
  <sheetData>
    <row r="1" spans="1:10" s="52" customFormat="1" ht="12.75" customHeight="1">
      <c r="A1" s="44"/>
      <c r="D1" s="53"/>
    </row>
    <row r="2" spans="1:10" s="52" customFormat="1" ht="12.75" customHeight="1">
      <c r="A2" s="44"/>
      <c r="D2" s="53"/>
    </row>
    <row r="3" spans="1:10" s="52" customFormat="1" ht="12.75" customHeight="1">
      <c r="A3" s="44"/>
      <c r="D3" s="53"/>
    </row>
    <row r="4" spans="1:10" s="54" customFormat="1" ht="12.75" customHeight="1" thickBot="1">
      <c r="D4" s="55"/>
    </row>
    <row r="5" spans="1:10" ht="7.5" customHeight="1" thickTop="1">
      <c r="A5" s="51"/>
      <c r="B5" s="56"/>
      <c r="C5" s="57"/>
      <c r="D5" s="57"/>
      <c r="E5" s="57"/>
      <c r="H5" s="58"/>
      <c r="I5" s="58"/>
      <c r="J5" s="58"/>
    </row>
    <row r="6" spans="1:10">
      <c r="B6" s="50" t="s">
        <v>303</v>
      </c>
      <c r="C6" s="1"/>
      <c r="D6" s="1"/>
      <c r="E6" s="49" t="s">
        <v>5</v>
      </c>
      <c r="F6" s="28"/>
      <c r="G6" s="28"/>
      <c r="H6" s="28"/>
      <c r="I6" s="28"/>
    </row>
    <row r="7" spans="1:10">
      <c r="B7" s="170" t="s">
        <v>360</v>
      </c>
      <c r="C7" s="1"/>
      <c r="D7" s="1"/>
      <c r="E7" s="1"/>
      <c r="F7" s="28"/>
      <c r="G7" s="28"/>
      <c r="H7" s="28"/>
      <c r="I7" s="28"/>
    </row>
    <row r="8" spans="1:10" ht="23.25" customHeight="1">
      <c r="B8" s="692" t="s">
        <v>749</v>
      </c>
      <c r="C8" s="692"/>
      <c r="D8" s="692"/>
      <c r="E8" s="692"/>
      <c r="F8" s="28"/>
      <c r="G8" s="28"/>
      <c r="H8" s="28"/>
      <c r="I8" s="28"/>
    </row>
    <row r="9" spans="1:10">
      <c r="B9" s="172" t="s">
        <v>539</v>
      </c>
      <c r="C9" s="1"/>
      <c r="D9" s="1"/>
      <c r="E9" s="1"/>
      <c r="F9" s="28"/>
      <c r="G9" s="28"/>
      <c r="H9" s="28"/>
      <c r="I9" s="28"/>
    </row>
    <row r="10" spans="1:10" s="46" customFormat="1" ht="11.25" customHeight="1">
      <c r="E10" s="47"/>
    </row>
    <row r="11" spans="1:10" ht="26.25" customHeight="1">
      <c r="B11" s="409" t="s">
        <v>13</v>
      </c>
      <c r="C11" s="205"/>
      <c r="D11" s="199" t="s">
        <v>653</v>
      </c>
      <c r="E11" s="410" t="s">
        <v>658</v>
      </c>
      <c r="F11" s="28"/>
      <c r="G11" s="28"/>
      <c r="H11" s="28"/>
      <c r="I11" s="28"/>
    </row>
    <row r="12" spans="1:10" ht="6.75" customHeight="1">
      <c r="B12" s="204"/>
      <c r="C12" s="411"/>
      <c r="D12" s="412"/>
      <c r="E12" s="413"/>
      <c r="F12" s="28"/>
      <c r="G12" s="28"/>
      <c r="H12" s="28"/>
      <c r="I12" s="28"/>
    </row>
    <row r="13" spans="1:10">
      <c r="B13" s="182" t="s">
        <v>14</v>
      </c>
      <c r="C13" s="414" t="s">
        <v>363</v>
      </c>
      <c r="D13" s="388">
        <v>637777.72</v>
      </c>
      <c r="E13" s="388">
        <v>5069.54</v>
      </c>
      <c r="F13" s="28"/>
      <c r="G13" s="28"/>
      <c r="H13" s="28"/>
      <c r="I13" s="28"/>
    </row>
    <row r="14" spans="1:10">
      <c r="B14" s="182" t="s">
        <v>163</v>
      </c>
      <c r="C14" s="414" t="s">
        <v>361</v>
      </c>
      <c r="D14" s="388">
        <v>28288.949999999488</v>
      </c>
      <c r="E14" s="388">
        <v>936.68999999996504</v>
      </c>
      <c r="F14" s="28"/>
      <c r="G14" s="28"/>
      <c r="H14" s="28"/>
      <c r="I14" s="28"/>
    </row>
    <row r="15" spans="1:10">
      <c r="B15" s="182" t="s">
        <v>362</v>
      </c>
      <c r="C15" s="414" t="s">
        <v>366</v>
      </c>
      <c r="D15" s="388">
        <v>49212.22</v>
      </c>
      <c r="E15" s="388">
        <v>152.27000000000001</v>
      </c>
      <c r="F15" s="28"/>
      <c r="G15" s="28"/>
      <c r="H15" s="28"/>
      <c r="I15" s="28"/>
    </row>
    <row r="16" spans="1:10" ht="7.5" customHeight="1">
      <c r="B16" s="204"/>
      <c r="C16" s="411"/>
      <c r="D16" s="388"/>
      <c r="E16" s="415"/>
      <c r="F16" s="28"/>
      <c r="G16" s="28"/>
      <c r="H16" s="28"/>
      <c r="I16" s="28"/>
    </row>
    <row r="17" spans="2:9">
      <c r="B17" s="193" t="s">
        <v>364</v>
      </c>
      <c r="C17" s="411"/>
      <c r="D17" s="390">
        <v>715278.88999999943</v>
      </c>
      <c r="E17" s="390">
        <v>6158.4999999999654</v>
      </c>
      <c r="F17" s="28"/>
      <c r="G17" s="28"/>
      <c r="H17" s="28"/>
      <c r="I17" s="28"/>
    </row>
    <row r="18" spans="2:9" ht="7.5" customHeight="1">
      <c r="B18" s="417"/>
      <c r="C18" s="411"/>
      <c r="D18" s="416"/>
      <c r="E18" s="418"/>
      <c r="F18" s="28"/>
      <c r="G18" s="28"/>
      <c r="H18" s="28"/>
      <c r="I18" s="28"/>
    </row>
    <row r="19" spans="2:9" ht="26.25" customHeight="1">
      <c r="B19" s="409" t="s">
        <v>15</v>
      </c>
      <c r="C19" s="419"/>
      <c r="D19" s="420"/>
      <c r="E19" s="421"/>
      <c r="F19" s="28"/>
      <c r="G19" s="28"/>
      <c r="H19" s="28"/>
      <c r="I19" s="28"/>
    </row>
    <row r="20" spans="2:9" ht="6.75" customHeight="1">
      <c r="B20" s="422"/>
      <c r="C20" s="411"/>
      <c r="D20" s="423"/>
      <c r="E20" s="424"/>
      <c r="F20" s="28"/>
      <c r="G20" s="28"/>
      <c r="H20" s="28"/>
      <c r="I20" s="28"/>
    </row>
    <row r="21" spans="2:9" hidden="1">
      <c r="B21" s="182" t="s">
        <v>163</v>
      </c>
      <c r="C21" s="414" t="s">
        <v>363</v>
      </c>
      <c r="D21" s="388">
        <v>0</v>
      </c>
      <c r="E21" s="388">
        <v>0</v>
      </c>
      <c r="F21" s="28"/>
      <c r="G21" s="28"/>
      <c r="H21" s="28"/>
      <c r="I21" s="28"/>
    </row>
    <row r="22" spans="2:9">
      <c r="B22" s="182" t="s">
        <v>92</v>
      </c>
      <c r="C22" s="414" t="s">
        <v>365</v>
      </c>
      <c r="D22" s="388">
        <v>155184.47</v>
      </c>
      <c r="E22" s="388">
        <v>1326.1599999999999</v>
      </c>
      <c r="F22" s="28"/>
      <c r="G22" s="28"/>
      <c r="H22" s="28"/>
      <c r="I22" s="28"/>
    </row>
    <row r="23" spans="2:9">
      <c r="B23" s="182" t="s">
        <v>93</v>
      </c>
      <c r="C23" s="414" t="s">
        <v>588</v>
      </c>
      <c r="D23" s="388">
        <v>5429.3899999999994</v>
      </c>
      <c r="E23" s="388">
        <v>0.19</v>
      </c>
      <c r="F23" s="28"/>
      <c r="G23" s="28"/>
      <c r="H23" s="28"/>
      <c r="I23" s="28"/>
    </row>
    <row r="24" spans="2:9">
      <c r="B24" s="204"/>
      <c r="C24" s="411"/>
      <c r="D24" s="429"/>
      <c r="E24" s="415"/>
      <c r="F24" s="28"/>
      <c r="G24" s="28"/>
      <c r="H24" s="28"/>
      <c r="I24" s="28"/>
    </row>
    <row r="25" spans="2:9">
      <c r="B25" s="193" t="s">
        <v>367</v>
      </c>
      <c r="C25" s="188"/>
      <c r="D25" s="390">
        <v>160613.85999999999</v>
      </c>
      <c r="E25" s="390">
        <v>1326.35</v>
      </c>
      <c r="F25" s="28"/>
      <c r="G25" s="28"/>
      <c r="H25" s="28"/>
      <c r="I25" s="28"/>
    </row>
    <row r="26" spans="2:9" ht="6.75" customHeight="1">
      <c r="B26" s="417"/>
      <c r="C26" s="188"/>
      <c r="D26" s="416"/>
      <c r="E26" s="418"/>
      <c r="F26" s="28"/>
      <c r="G26" s="28"/>
      <c r="H26" s="28"/>
      <c r="I26" s="28"/>
    </row>
    <row r="27" spans="2:9">
      <c r="B27" s="222" t="s">
        <v>368</v>
      </c>
      <c r="C27" s="425"/>
      <c r="D27" s="430">
        <v>554665.02999999945</v>
      </c>
      <c r="E27" s="430">
        <v>4832.1499999999651</v>
      </c>
      <c r="F27" s="293"/>
      <c r="G27" s="293"/>
      <c r="H27" s="28"/>
      <c r="I27" s="28"/>
    </row>
    <row r="28" spans="2:9">
      <c r="B28" s="66" t="s">
        <v>22</v>
      </c>
      <c r="C28" s="28"/>
      <c r="D28" s="373"/>
      <c r="E28" s="28"/>
      <c r="F28" s="28"/>
      <c r="G28" s="28"/>
      <c r="H28" s="28"/>
      <c r="I28" s="28"/>
    </row>
    <row r="29" spans="2:9">
      <c r="C29" s="28"/>
      <c r="D29" s="373"/>
      <c r="E29" s="28"/>
      <c r="F29" s="28"/>
      <c r="G29" s="28"/>
      <c r="H29" s="28"/>
      <c r="I29" s="28"/>
    </row>
    <row r="30" spans="2:9">
      <c r="C30" s="28"/>
      <c r="D30" s="28"/>
      <c r="E30" s="28"/>
      <c r="F30" s="28"/>
      <c r="G30" s="28"/>
      <c r="H30" s="28"/>
    </row>
    <row r="31" spans="2:9">
      <c r="B31" s="75"/>
      <c r="C31" s="75"/>
      <c r="D31" s="75"/>
      <c r="E31" s="75"/>
      <c r="F31" s="75"/>
      <c r="G31" s="75"/>
      <c r="H31" s="75"/>
      <c r="I31" s="75"/>
    </row>
    <row r="34" spans="1:7" s="60" customFormat="1" ht="12.75">
      <c r="E34" s="63"/>
    </row>
    <row r="35" spans="1:7" s="60" customFormat="1">
      <c r="A35" s="426"/>
      <c r="B35" s="62" t="s">
        <v>147</v>
      </c>
      <c r="C35" s="59" t="s">
        <v>750</v>
      </c>
      <c r="D35" s="63"/>
      <c r="E35" s="59" t="s">
        <v>650</v>
      </c>
    </row>
    <row r="36" spans="1:7">
      <c r="A36" s="427"/>
      <c r="B36" s="64" t="s">
        <v>116</v>
      </c>
      <c r="C36" s="75" t="s">
        <v>174</v>
      </c>
      <c r="D36" s="65"/>
      <c r="E36" s="64" t="s">
        <v>117</v>
      </c>
      <c r="G36" s="46"/>
    </row>
    <row r="37" spans="1:7" ht="15.75">
      <c r="A37" s="427"/>
      <c r="B37" s="426"/>
      <c r="C37" s="426"/>
      <c r="D37" s="428"/>
      <c r="E37" s="46"/>
      <c r="G37" s="46"/>
    </row>
    <row r="38" spans="1:7" ht="15.75">
      <c r="A38" s="426"/>
      <c r="B38" s="426"/>
      <c r="C38" s="426"/>
      <c r="D38" s="428"/>
      <c r="E38" s="46"/>
      <c r="G38" s="46"/>
    </row>
    <row r="39" spans="1:7" ht="15.75">
      <c r="A39" s="426"/>
      <c r="B39" s="426"/>
      <c r="C39" s="426"/>
      <c r="D39" s="428"/>
      <c r="E39" s="46"/>
      <c r="G39" s="46"/>
    </row>
    <row r="40" spans="1:7">
      <c r="A40" s="426"/>
      <c r="B40" s="426"/>
      <c r="C40" s="59"/>
      <c r="D40" s="59"/>
      <c r="E40" s="46"/>
      <c r="G40" s="46"/>
    </row>
    <row r="41" spans="1:7">
      <c r="A41" s="426"/>
      <c r="B41" s="426"/>
      <c r="C41" s="75"/>
      <c r="D41" s="75"/>
      <c r="G41" s="46"/>
    </row>
    <row r="42" spans="1:7" s="329" customFormat="1">
      <c r="A42" s="656"/>
      <c r="C42" s="647"/>
      <c r="D42" s="647"/>
      <c r="E42" s="647"/>
      <c r="G42" s="651"/>
    </row>
    <row r="43" spans="1:7" s="329" customFormat="1">
      <c r="A43" s="656"/>
      <c r="B43" s="700" t="s">
        <v>581</v>
      </c>
      <c r="C43" s="700"/>
      <c r="D43" s="649"/>
      <c r="E43" s="648" t="s">
        <v>583</v>
      </c>
      <c r="G43" s="651"/>
    </row>
    <row r="44" spans="1:7" s="329" customFormat="1">
      <c r="A44" s="656"/>
      <c r="B44" s="710" t="s">
        <v>582</v>
      </c>
      <c r="C44" s="710"/>
      <c r="D44" s="649"/>
      <c r="E44" s="650" t="s">
        <v>584</v>
      </c>
    </row>
    <row r="45" spans="1:7" s="329" customFormat="1" ht="15.75">
      <c r="A45" s="651"/>
      <c r="B45" s="651"/>
      <c r="C45" s="651"/>
      <c r="D45" s="657"/>
      <c r="E45" s="651"/>
      <c r="F45" s="651"/>
      <c r="G45" s="651"/>
    </row>
  </sheetData>
  <mergeCells count="3">
    <mergeCell ref="B8:E8"/>
    <mergeCell ref="B43:C43"/>
    <mergeCell ref="B44:C44"/>
  </mergeCells>
  <hyperlinks>
    <hyperlink ref="E6" location="INDICE!A1" display="Índice" xr:uid="{286E5FD6-FE3A-488E-8085-97DDCD7DA7C8}"/>
    <hyperlink ref="C13" location="NOTAS!A1" display="(Nota 4.1)" xr:uid="{8BD56D7F-CB3D-4EF1-9735-275785225C57}"/>
    <hyperlink ref="C15" location="NOTAS!A1" display="(Nota 4.1)" xr:uid="{329D06B8-44FC-4E5C-A5DF-211028715170}"/>
    <hyperlink ref="C21" location="NOTAS!A1" display="(Nota 4.1)" xr:uid="{9DF4899F-A8F1-411C-B825-CECA94B07679}"/>
    <hyperlink ref="C22" location="NOTAS!A1" display="(Nota 4.1)" xr:uid="{B1792DD7-995A-44C4-9CED-BC8B5E7C0709}"/>
    <hyperlink ref="C23" location="NOTAS!A1" display="(Nota 4.1)" xr:uid="{EEF2F1F1-4858-4FE8-A3C6-A047C7BC178C}"/>
    <hyperlink ref="C14" location="NOTAS!A1" display="(Nota 4.1)" xr:uid="{03FCE1AD-CEA8-4516-83D8-10586148593F}"/>
  </hyperlinks>
  <printOptions horizontalCentered="1"/>
  <pageMargins left="0.48" right="0.39" top="0.74803149606299213" bottom="0.74803149606299213" header="0.31496062992125984" footer="0.31496062992125984"/>
  <pageSetup paperSize="9" scale="65"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8">
    <tabColor theme="2" tint="-0.499984740745262"/>
    <pageSetUpPr fitToPage="1"/>
  </sheetPr>
  <dimension ref="A1:I47"/>
  <sheetViews>
    <sheetView showGridLines="0" zoomScale="80" zoomScaleNormal="80" zoomScaleSheetLayoutView="90" workbookViewId="0">
      <pane ySplit="9" topLeftCell="A11" activePane="bottomLeft" state="frozen"/>
      <selection pane="bottomLeft" activeCell="B38" sqref="B38"/>
    </sheetView>
  </sheetViews>
  <sheetFormatPr baseColWidth="10" defaultColWidth="11.42578125" defaultRowHeight="15"/>
  <cols>
    <col min="1" max="1" width="2.85546875" style="46" customWidth="1"/>
    <col min="2" max="2" width="52.5703125" style="48" customWidth="1"/>
    <col min="3" max="3" width="16.140625" style="48" customWidth="1"/>
    <col min="4" max="4" width="10.42578125" style="48" customWidth="1"/>
    <col min="5" max="5" width="22.7109375" style="48" customWidth="1"/>
    <col min="6" max="6" width="22.7109375" style="68" customWidth="1"/>
    <col min="7" max="7" width="16.5703125" style="1" bestFit="1" customWidth="1"/>
    <col min="8" max="8" width="20" style="1" bestFit="1" customWidth="1"/>
    <col min="9" max="9" width="19.140625" style="1" bestFit="1" customWidth="1"/>
    <col min="10" max="10" width="16.140625" style="1" bestFit="1" customWidth="1"/>
    <col min="11" max="16384" width="11.42578125" style="1"/>
  </cols>
  <sheetData>
    <row r="1" spans="1:9" s="52" customFormat="1" ht="12.75" customHeight="1">
      <c r="A1" s="44"/>
      <c r="D1" s="53"/>
    </row>
    <row r="2" spans="1:9" s="52" customFormat="1" ht="12.75" customHeight="1">
      <c r="A2" s="44"/>
      <c r="D2" s="53"/>
    </row>
    <row r="3" spans="1:9" s="52" customFormat="1" ht="12.75" customHeight="1">
      <c r="A3" s="44"/>
      <c r="D3" s="53"/>
    </row>
    <row r="4" spans="1:9" s="54" customFormat="1" ht="12.75" customHeight="1" thickBot="1">
      <c r="D4" s="55"/>
    </row>
    <row r="5" spans="1:9" s="51" customFormat="1" ht="7.5" customHeight="1" thickTop="1">
      <c r="B5" s="56"/>
      <c r="C5" s="57"/>
      <c r="D5" s="57"/>
      <c r="E5" s="57"/>
      <c r="G5" s="58"/>
      <c r="H5" s="58"/>
      <c r="I5" s="58"/>
    </row>
    <row r="6" spans="1:9">
      <c r="B6" s="170" t="s">
        <v>303</v>
      </c>
      <c r="C6" s="1"/>
      <c r="D6" s="1"/>
      <c r="E6" s="1"/>
      <c r="F6" s="49" t="s">
        <v>5</v>
      </c>
      <c r="G6" s="28"/>
      <c r="H6" s="28"/>
    </row>
    <row r="7" spans="1:9">
      <c r="B7" s="170" t="s">
        <v>118</v>
      </c>
      <c r="C7" s="1"/>
      <c r="D7" s="1"/>
      <c r="E7" s="1"/>
      <c r="F7" s="1"/>
      <c r="G7" s="28"/>
      <c r="H7" s="28"/>
    </row>
    <row r="8" spans="1:9" s="51" customFormat="1" ht="23.25" customHeight="1">
      <c r="A8" s="46"/>
      <c r="B8" s="692" t="s">
        <v>749</v>
      </c>
      <c r="C8" s="692"/>
      <c r="D8" s="692"/>
      <c r="E8" s="692"/>
      <c r="F8" s="692"/>
      <c r="G8" s="28"/>
      <c r="H8" s="28"/>
    </row>
    <row r="9" spans="1:9">
      <c r="B9" s="172" t="s">
        <v>539</v>
      </c>
      <c r="C9" s="1"/>
      <c r="D9" s="1"/>
      <c r="E9" s="1"/>
      <c r="F9" s="1"/>
      <c r="G9" s="28"/>
      <c r="H9" s="28"/>
    </row>
    <row r="10" spans="1:9" ht="11.25" customHeight="1">
      <c r="A10" s="1"/>
      <c r="B10" s="1"/>
      <c r="C10" s="1"/>
      <c r="D10" s="1"/>
      <c r="E10" s="213"/>
      <c r="F10" s="1"/>
    </row>
    <row r="11" spans="1:9" ht="26.25" customHeight="1">
      <c r="B11" s="208"/>
      <c r="C11" s="205"/>
      <c r="D11" s="205"/>
      <c r="E11" s="199" t="s">
        <v>653</v>
      </c>
      <c r="F11" s="199" t="s">
        <v>658</v>
      </c>
      <c r="G11" s="28"/>
      <c r="H11" s="28"/>
    </row>
    <row r="12" spans="1:9" ht="7.5" customHeight="1">
      <c r="A12" s="1"/>
      <c r="B12" s="729"/>
      <c r="C12" s="730"/>
      <c r="D12" s="730"/>
      <c r="E12" s="212"/>
      <c r="F12" s="209"/>
    </row>
    <row r="13" spans="1:9">
      <c r="B13" s="223" t="s">
        <v>16</v>
      </c>
      <c r="C13" s="206"/>
      <c r="D13" s="206"/>
      <c r="E13" s="212"/>
      <c r="F13" s="209"/>
      <c r="G13" s="28"/>
      <c r="H13" s="28"/>
    </row>
    <row r="14" spans="1:9" ht="7.5" customHeight="1">
      <c r="B14" s="210"/>
      <c r="C14" s="206"/>
      <c r="D14" s="206"/>
      <c r="E14" s="212"/>
      <c r="F14" s="209"/>
      <c r="G14" s="28"/>
      <c r="H14" s="28"/>
    </row>
    <row r="15" spans="1:9">
      <c r="B15" s="193" t="s">
        <v>17</v>
      </c>
      <c r="C15" s="206"/>
      <c r="D15" s="206"/>
      <c r="E15" s="212"/>
      <c r="F15" s="209"/>
      <c r="G15" s="28"/>
      <c r="H15" s="28"/>
    </row>
    <row r="16" spans="1:9">
      <c r="B16" s="182" t="s">
        <v>94</v>
      </c>
      <c r="C16" s="207"/>
      <c r="D16" s="207"/>
      <c r="E16" s="271">
        <v>-19184764.030000001</v>
      </c>
      <c r="F16" s="271">
        <v>-1943134.1600000001</v>
      </c>
      <c r="G16" s="28"/>
      <c r="H16" s="28"/>
      <c r="I16" s="323"/>
    </row>
    <row r="17" spans="1:8">
      <c r="B17" s="182" t="s">
        <v>18</v>
      </c>
      <c r="C17" s="207"/>
      <c r="D17" s="207"/>
      <c r="E17" s="271">
        <v>-155184.47</v>
      </c>
      <c r="F17" s="271">
        <v>65044.38</v>
      </c>
      <c r="G17" s="28"/>
      <c r="H17" s="28"/>
    </row>
    <row r="18" spans="1:8">
      <c r="B18" s="182" t="s">
        <v>123</v>
      </c>
      <c r="C18" s="207"/>
      <c r="D18" s="207"/>
      <c r="E18" s="271">
        <v>937408.2699999999</v>
      </c>
      <c r="F18" s="271">
        <v>-4.2632564145606011E-14</v>
      </c>
      <c r="G18" s="28"/>
      <c r="H18" s="28"/>
    </row>
    <row r="19" spans="1:8" ht="6.75" customHeight="1">
      <c r="B19" s="182"/>
      <c r="C19" s="206"/>
      <c r="D19" s="206"/>
      <c r="E19" s="271"/>
      <c r="F19" s="271"/>
      <c r="G19" s="28"/>
      <c r="H19" s="28"/>
    </row>
    <row r="20" spans="1:8" ht="15" customHeight="1">
      <c r="B20" s="193" t="s">
        <v>95</v>
      </c>
      <c r="C20" s="206"/>
      <c r="D20" s="206"/>
      <c r="E20" s="272">
        <v>-18402540.23</v>
      </c>
      <c r="F20" s="272">
        <v>-1878089.7800000003</v>
      </c>
      <c r="G20" s="28"/>
      <c r="H20" s="28"/>
    </row>
    <row r="21" spans="1:8">
      <c r="B21" s="210"/>
      <c r="C21" s="206"/>
      <c r="D21" s="207"/>
      <c r="E21" s="271"/>
      <c r="F21" s="389"/>
      <c r="G21" s="28"/>
      <c r="H21" s="28"/>
    </row>
    <row r="22" spans="1:8">
      <c r="B22" s="223" t="s">
        <v>19</v>
      </c>
      <c r="C22" s="207"/>
      <c r="D22" s="207"/>
      <c r="E22" s="271"/>
      <c r="F22" s="389"/>
      <c r="G22" s="28"/>
      <c r="H22" s="28"/>
    </row>
    <row r="23" spans="1:8" ht="7.5" customHeight="1">
      <c r="B23" s="210"/>
      <c r="C23" s="206"/>
      <c r="D23" s="206"/>
      <c r="E23" s="273"/>
      <c r="F23" s="389"/>
      <c r="G23" s="28"/>
      <c r="H23" s="28"/>
    </row>
    <row r="24" spans="1:8">
      <c r="B24" s="182" t="s">
        <v>20</v>
      </c>
      <c r="C24" s="206"/>
      <c r="D24" s="206"/>
      <c r="E24" s="271">
        <v>-12454049.84</v>
      </c>
      <c r="F24" s="271">
        <v>-65044.38</v>
      </c>
      <c r="G24" s="28"/>
      <c r="H24" s="28"/>
    </row>
    <row r="25" spans="1:8">
      <c r="B25" s="182" t="s">
        <v>21</v>
      </c>
      <c r="C25" s="206"/>
      <c r="D25" s="206"/>
      <c r="E25" s="271">
        <v>33888584.760000005</v>
      </c>
      <c r="F25" s="271">
        <v>2022630.33</v>
      </c>
      <c r="G25" s="28"/>
      <c r="H25" s="28"/>
    </row>
    <row r="26" spans="1:8" ht="6.75" customHeight="1">
      <c r="B26" s="204"/>
      <c r="C26" s="206"/>
      <c r="D26" s="206"/>
      <c r="E26" s="271"/>
      <c r="F26" s="389"/>
      <c r="G26" s="28"/>
      <c r="H26" s="28"/>
    </row>
    <row r="27" spans="1:8" ht="16.5" customHeight="1">
      <c r="B27" s="193" t="s">
        <v>96</v>
      </c>
      <c r="C27" s="206"/>
      <c r="D27" s="206"/>
      <c r="E27" s="433">
        <v>21434534.920000006</v>
      </c>
      <c r="F27" s="432">
        <v>1957585.9500000002</v>
      </c>
      <c r="G27" s="28"/>
      <c r="H27" s="28"/>
    </row>
    <row r="28" spans="1:8" ht="7.5" customHeight="1">
      <c r="A28" s="51"/>
      <c r="B28" s="729"/>
      <c r="C28" s="730"/>
      <c r="D28" s="730"/>
      <c r="E28" s="271"/>
      <c r="F28" s="279"/>
    </row>
    <row r="29" spans="1:8" ht="16.5" customHeight="1">
      <c r="B29" s="193" t="s">
        <v>97</v>
      </c>
      <c r="C29" s="207"/>
      <c r="D29" s="207"/>
      <c r="E29" s="406">
        <v>545004.05000000005</v>
      </c>
      <c r="F29" s="406">
        <v>0</v>
      </c>
      <c r="G29" s="28"/>
      <c r="H29" s="28"/>
    </row>
    <row r="30" spans="1:8" ht="16.5" customHeight="1" thickBot="1">
      <c r="B30" s="222" t="s">
        <v>98</v>
      </c>
      <c r="C30" s="211"/>
      <c r="D30" s="211"/>
      <c r="E30" s="364">
        <v>3576998.7400000049</v>
      </c>
      <c r="F30" s="364">
        <v>79496.169999999925</v>
      </c>
      <c r="G30" s="293"/>
      <c r="H30" s="145"/>
    </row>
    <row r="31" spans="1:8" ht="15.75" thickTop="1">
      <c r="B31" s="66" t="s">
        <v>22</v>
      </c>
      <c r="C31" s="28"/>
      <c r="D31" s="28"/>
      <c r="E31" s="28"/>
      <c r="F31" s="28"/>
      <c r="G31" s="28"/>
      <c r="H31" s="28"/>
    </row>
    <row r="32" spans="1:8">
      <c r="B32" s="51"/>
      <c r="C32" s="28"/>
      <c r="D32" s="28"/>
      <c r="E32" s="28"/>
      <c r="F32" s="28"/>
      <c r="G32" s="28"/>
      <c r="H32" s="28"/>
    </row>
    <row r="33" spans="1:8">
      <c r="B33" s="51"/>
      <c r="C33" s="28"/>
      <c r="D33" s="28"/>
      <c r="E33" s="28"/>
      <c r="F33" s="28"/>
      <c r="G33" s="28"/>
      <c r="H33" s="28"/>
    </row>
    <row r="34" spans="1:8" ht="14.25">
      <c r="A34" s="61"/>
      <c r="B34" s="67"/>
      <c r="C34" s="28"/>
      <c r="D34" s="28"/>
      <c r="E34" s="28"/>
      <c r="F34" s="28"/>
      <c r="G34" s="28"/>
      <c r="H34" s="28"/>
    </row>
    <row r="35" spans="1:8" ht="12.75">
      <c r="A35" s="61"/>
    </row>
    <row r="36" spans="1:8" s="51" customFormat="1">
      <c r="A36" s="46"/>
    </row>
    <row r="37" spans="1:8" s="60" customFormat="1">
      <c r="A37" s="46"/>
      <c r="B37" s="62" t="s">
        <v>147</v>
      </c>
      <c r="C37" s="713" t="s">
        <v>750</v>
      </c>
      <c r="D37" s="713"/>
      <c r="F37" s="59" t="s">
        <v>650</v>
      </c>
    </row>
    <row r="38" spans="1:8" s="60" customFormat="1" ht="12.75">
      <c r="A38" s="61"/>
      <c r="B38" s="64" t="s">
        <v>116</v>
      </c>
      <c r="C38" s="714" t="s">
        <v>174</v>
      </c>
      <c r="D38" s="714"/>
      <c r="F38" s="64" t="s">
        <v>117</v>
      </c>
    </row>
    <row r="39" spans="1:8" ht="15.75">
      <c r="B39" s="46"/>
      <c r="C39" s="46"/>
      <c r="D39" s="47"/>
      <c r="F39" s="46"/>
    </row>
    <row r="40" spans="1:8" ht="15.75">
      <c r="B40" s="46"/>
      <c r="C40" s="46"/>
      <c r="D40" s="47"/>
      <c r="F40" s="46"/>
    </row>
    <row r="41" spans="1:8" ht="15.75">
      <c r="B41" s="46"/>
      <c r="C41" s="46"/>
      <c r="D41" s="47"/>
      <c r="F41" s="46"/>
    </row>
    <row r="42" spans="1:8" ht="15.75">
      <c r="B42" s="46"/>
      <c r="C42" s="46"/>
      <c r="D42" s="47"/>
      <c r="F42" s="46"/>
    </row>
    <row r="43" spans="1:8" ht="15.75">
      <c r="B43" s="46"/>
      <c r="C43" s="46"/>
      <c r="D43" s="47"/>
      <c r="F43" s="46"/>
    </row>
    <row r="44" spans="1:8" s="653" customFormat="1">
      <c r="A44" s="651"/>
      <c r="B44" s="647"/>
      <c r="C44" s="651"/>
      <c r="D44" s="654"/>
      <c r="E44" s="652"/>
      <c r="F44" s="647"/>
    </row>
    <row r="45" spans="1:8" s="653" customFormat="1">
      <c r="A45" s="651"/>
      <c r="B45" s="700" t="s">
        <v>581</v>
      </c>
      <c r="C45" s="700"/>
      <c r="D45" s="329"/>
      <c r="E45" s="652"/>
      <c r="F45" s="648" t="s">
        <v>583</v>
      </c>
    </row>
    <row r="46" spans="1:8" s="653" customFormat="1">
      <c r="A46" s="651"/>
      <c r="B46" s="710" t="s">
        <v>582</v>
      </c>
      <c r="C46" s="710"/>
      <c r="D46" s="652"/>
      <c r="E46" s="652"/>
      <c r="F46" s="650" t="s">
        <v>584</v>
      </c>
    </row>
    <row r="47" spans="1:8" s="653" customFormat="1">
      <c r="A47" s="651"/>
      <c r="B47" s="651"/>
      <c r="C47" s="651"/>
      <c r="D47" s="652"/>
      <c r="E47" s="652"/>
      <c r="F47" s="655"/>
    </row>
  </sheetData>
  <customSheetViews>
    <customSheetView guid="{B9F63820-5C32-455A-BC9D-0BE84D6B0867}" scale="80" showGridLines="0" fitToPage="1" hiddenRows="1" state="hidden">
      <pane ySplit="7" topLeftCell="A25" activePane="bottomLeft" state="frozen"/>
      <selection pane="bottomLeft" activeCell="B2" sqref="B2:G44"/>
      <pageMargins left="0" right="0" top="0" bottom="0" header="0" footer="0"/>
      <pageSetup paperSize="9" scale="71" fitToHeight="0" orientation="portrait" r:id="rId1"/>
    </customSheetView>
    <customSheetView guid="{7015FC6D-0680-4B00-AA0E-B83DA1D0B666}" scale="80" showPageBreaks="1" showGridLines="0" fitToPage="1" printArea="1" hiddenRows="1">
      <pane ySplit="7" topLeftCell="A25" activePane="bottomLeft" state="frozen"/>
      <selection pane="bottomLeft" activeCell="B2" sqref="B2:G44"/>
      <pageMargins left="0" right="0" top="0" bottom="0" header="0" footer="0"/>
      <pageSetup paperSize="9" scale="71" fitToHeight="0" orientation="portrait" r:id="rId2"/>
    </customSheetView>
    <customSheetView guid="{5FCC9217-B3E9-4B91-A943-5F21728EBEE9}" scale="80" showPageBreaks="1" showGridLines="0" fitToPage="1" printArea="1" hiddenRows="1">
      <pane ySplit="7" topLeftCell="A33" activePane="bottomLeft" state="frozen"/>
      <selection pane="bottomLeft" activeCell="B7" sqref="B7:F42"/>
      <pageMargins left="0" right="0" top="0" bottom="0" header="0" footer="0"/>
      <pageSetup paperSize="9" scale="71" fitToHeight="0" orientation="portrait" r:id="rId3"/>
    </customSheetView>
    <customSheetView guid="{F3648BCD-1CED-4BBB-AE63-37BDB925883F}" scale="80" showGridLines="0" fitToPage="1" hiddenRows="1">
      <pane ySplit="7" topLeftCell="A25" activePane="bottomLeft" state="frozen"/>
      <selection pane="bottomLeft" activeCell="B2" sqref="B2:G44"/>
      <pageMargins left="0" right="0" top="0" bottom="0" header="0" footer="0"/>
      <pageSetup paperSize="9" scale="71" fitToHeight="0" orientation="portrait" r:id="rId4"/>
    </customSheetView>
  </customSheetViews>
  <mergeCells count="7">
    <mergeCell ref="B45:C45"/>
    <mergeCell ref="B46:C46"/>
    <mergeCell ref="B28:D28"/>
    <mergeCell ref="B8:F8"/>
    <mergeCell ref="B12:D12"/>
    <mergeCell ref="C37:D37"/>
    <mergeCell ref="C38:D38"/>
  </mergeCells>
  <hyperlinks>
    <hyperlink ref="F6" location="INDICE!A1" display="Índice" xr:uid="{89F13AE9-FD71-47B2-9E97-83EE650DDD2D}"/>
  </hyperlinks>
  <pageMargins left="0.7" right="0.7" top="0.75" bottom="0.75" header="0.3" footer="0.3"/>
  <pageSetup paperSize="9" scale="47" fitToHeight="0" orientation="portrait" r:id="rId5"/>
  <drawing r:id="rId6"/>
  <legacyDrawing r:id="rId7"/>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9">
    <tabColor theme="2" tint="-0.499984740745262"/>
  </sheetPr>
  <dimension ref="A1:J36"/>
  <sheetViews>
    <sheetView showGridLines="0" zoomScale="80" zoomScaleNormal="80" zoomScaleSheetLayoutView="80" workbookViewId="0">
      <pane ySplit="9" topLeftCell="A12" activePane="bottomLeft" state="frozen"/>
      <selection pane="bottomLeft" activeCell="F19" sqref="F19"/>
    </sheetView>
  </sheetViews>
  <sheetFormatPr baseColWidth="10" defaultColWidth="11.42578125" defaultRowHeight="15"/>
  <cols>
    <col min="1" max="1" width="2.85546875" style="46" customWidth="1"/>
    <col min="2" max="2" width="52.5703125" style="48" customWidth="1"/>
    <col min="3" max="5" width="24.140625" style="1" customWidth="1"/>
    <col min="6" max="6" width="19.5703125" style="1" bestFit="1" customWidth="1"/>
    <col min="7" max="7" width="23.7109375" style="1" customWidth="1"/>
    <col min="8" max="8" width="2.42578125" style="1" bestFit="1" customWidth="1"/>
    <col min="9" max="9" width="24.140625" style="1" customWidth="1"/>
    <col min="10" max="10" width="11.42578125" style="1" customWidth="1"/>
    <col min="11" max="11" width="16.42578125" style="1" bestFit="1" customWidth="1"/>
    <col min="12" max="12" width="15.42578125" style="1" bestFit="1" customWidth="1"/>
    <col min="13" max="13" width="15.140625" style="1" bestFit="1" customWidth="1"/>
    <col min="14" max="14" width="15.42578125" style="1" bestFit="1" customWidth="1"/>
    <col min="15" max="15" width="21.85546875" style="1" bestFit="1" customWidth="1"/>
    <col min="16" max="16384" width="11.42578125" style="1"/>
  </cols>
  <sheetData>
    <row r="1" spans="1:10" s="52" customFormat="1" ht="12" customHeight="1">
      <c r="A1" s="44"/>
      <c r="D1" s="53"/>
    </row>
    <row r="2" spans="1:10" s="52" customFormat="1" ht="12" customHeight="1">
      <c r="A2" s="44"/>
      <c r="D2" s="53"/>
    </row>
    <row r="3" spans="1:10" s="52" customFormat="1" ht="12" customHeight="1">
      <c r="A3" s="44"/>
      <c r="D3" s="53"/>
    </row>
    <row r="4" spans="1:10" s="54" customFormat="1" ht="12" customHeight="1" thickBot="1">
      <c r="D4" s="55"/>
    </row>
    <row r="5" spans="1:10" s="51" customFormat="1" ht="7.5" customHeight="1" thickTop="1">
      <c r="B5" s="56"/>
      <c r="C5" s="57"/>
      <c r="D5" s="57"/>
      <c r="E5" s="57"/>
      <c r="H5" s="58"/>
      <c r="I5" s="58"/>
      <c r="J5" s="58"/>
    </row>
    <row r="6" spans="1:10">
      <c r="B6" s="170" t="s">
        <v>303</v>
      </c>
      <c r="E6" s="49" t="s">
        <v>5</v>
      </c>
      <c r="G6" s="28"/>
      <c r="H6" s="28"/>
      <c r="I6" s="28"/>
    </row>
    <row r="7" spans="1:10">
      <c r="B7" s="170" t="s">
        <v>23</v>
      </c>
      <c r="G7" s="28"/>
      <c r="H7" s="28"/>
      <c r="I7" s="28"/>
    </row>
    <row r="8" spans="1:10" s="51" customFormat="1" ht="23.25" customHeight="1">
      <c r="A8" s="46"/>
      <c r="B8" s="692" t="s">
        <v>652</v>
      </c>
      <c r="C8" s="692"/>
      <c r="D8" s="692"/>
      <c r="E8" s="692"/>
      <c r="F8" s="692"/>
      <c r="G8" s="28"/>
      <c r="H8" s="28"/>
      <c r="I8" s="28"/>
    </row>
    <row r="9" spans="1:10">
      <c r="B9" s="172" t="s">
        <v>539</v>
      </c>
      <c r="G9" s="28"/>
      <c r="H9" s="28"/>
      <c r="I9" s="28"/>
    </row>
    <row r="10" spans="1:10" s="46" customFormat="1" ht="11.25" customHeight="1">
      <c r="F10" s="47"/>
    </row>
    <row r="11" spans="1:10" ht="38.25">
      <c r="B11" s="214" t="s">
        <v>24</v>
      </c>
      <c r="C11" s="216" t="s">
        <v>159</v>
      </c>
      <c r="D11" s="216" t="s">
        <v>160</v>
      </c>
      <c r="E11" s="215" t="s">
        <v>600</v>
      </c>
      <c r="F11" s="28"/>
      <c r="G11" s="28"/>
      <c r="H11" s="28"/>
      <c r="I11" s="28"/>
    </row>
    <row r="12" spans="1:10" ht="30" customHeight="1">
      <c r="B12" s="224" t="s">
        <v>99</v>
      </c>
      <c r="C12" s="391">
        <v>13511823.890000001</v>
      </c>
      <c r="D12" s="391">
        <v>232599.91</v>
      </c>
      <c r="E12" s="407">
        <v>13744423.800000001</v>
      </c>
      <c r="F12" s="731"/>
      <c r="G12" s="28"/>
      <c r="H12" s="28"/>
      <c r="I12" s="28"/>
    </row>
    <row r="13" spans="1:10" ht="26.25" customHeight="1">
      <c r="B13" s="225" t="s">
        <v>100</v>
      </c>
      <c r="C13" s="226"/>
      <c r="D13" s="227"/>
      <c r="E13" s="228"/>
      <c r="F13" s="28"/>
      <c r="G13" s="28"/>
      <c r="H13" s="28"/>
      <c r="I13" s="28"/>
    </row>
    <row r="14" spans="1:10" ht="26.25" customHeight="1">
      <c r="B14" s="229" t="s">
        <v>21</v>
      </c>
      <c r="C14" s="281">
        <v>33888584.760000005</v>
      </c>
      <c r="D14" s="280">
        <v>0</v>
      </c>
      <c r="E14" s="408">
        <v>0</v>
      </c>
      <c r="F14" s="28"/>
      <c r="G14" s="28"/>
      <c r="H14" s="28"/>
      <c r="I14" s="28"/>
    </row>
    <row r="15" spans="1:10" ht="26.25" customHeight="1">
      <c r="B15" s="229" t="s">
        <v>20</v>
      </c>
      <c r="C15" s="281">
        <v>-12454049.84</v>
      </c>
      <c r="D15" s="280">
        <v>0</v>
      </c>
      <c r="E15" s="408">
        <v>0</v>
      </c>
      <c r="F15" s="28"/>
      <c r="G15" s="28"/>
      <c r="H15" s="28"/>
      <c r="I15" s="28"/>
    </row>
    <row r="16" spans="1:10" ht="26.25" customHeight="1">
      <c r="B16" s="229" t="s">
        <v>101</v>
      </c>
      <c r="C16" s="280">
        <v>0</v>
      </c>
      <c r="D16" s="325">
        <v>554665.03</v>
      </c>
      <c r="E16" s="408">
        <v>0</v>
      </c>
      <c r="F16" s="28"/>
      <c r="G16" s="28"/>
      <c r="H16" s="28"/>
      <c r="I16" s="28"/>
    </row>
    <row r="17" spans="1:9" s="51" customFormat="1" ht="6.75" customHeight="1">
      <c r="A17" s="1"/>
      <c r="B17" s="230"/>
      <c r="C17" s="282"/>
      <c r="D17" s="282"/>
      <c r="E17" s="231"/>
      <c r="F17" s="217"/>
      <c r="H17" s="218"/>
    </row>
    <row r="18" spans="1:9" ht="30" customHeight="1">
      <c r="B18" s="224" t="s">
        <v>102</v>
      </c>
      <c r="C18" s="283">
        <v>34946358.810000002</v>
      </c>
      <c r="D18" s="362">
        <v>787264.94000000006</v>
      </c>
      <c r="E18" s="142" t="s">
        <v>659</v>
      </c>
      <c r="F18" s="126"/>
      <c r="G18" s="175"/>
      <c r="H18" s="28"/>
      <c r="I18" s="28"/>
    </row>
    <row r="19" spans="1:9" ht="30" customHeight="1">
      <c r="B19" s="232"/>
      <c r="C19" s="233"/>
      <c r="D19" s="234"/>
      <c r="E19" s="407">
        <v>35733623.75</v>
      </c>
      <c r="F19" s="219"/>
      <c r="G19" s="28"/>
      <c r="H19" s="28"/>
      <c r="I19" s="28"/>
    </row>
    <row r="20" spans="1:9">
      <c r="B20" s="51"/>
      <c r="C20" s="28"/>
      <c r="D20" s="28"/>
      <c r="E20" s="372"/>
      <c r="F20" s="28"/>
      <c r="G20" s="28"/>
      <c r="H20" s="28"/>
      <c r="I20" s="28"/>
    </row>
    <row r="21" spans="1:9">
      <c r="B21" s="66" t="s">
        <v>22</v>
      </c>
      <c r="C21" s="28"/>
      <c r="D21" s="28"/>
      <c r="E21" s="373"/>
      <c r="F21" s="28"/>
      <c r="G21" s="28"/>
      <c r="H21" s="28"/>
      <c r="I21" s="28"/>
    </row>
    <row r="22" spans="1:9">
      <c r="B22" s="51"/>
      <c r="C22" s="28"/>
      <c r="D22" s="28"/>
      <c r="E22" s="28"/>
      <c r="F22" s="28"/>
      <c r="G22" s="28"/>
      <c r="H22" s="28"/>
      <c r="I22" s="28"/>
    </row>
    <row r="23" spans="1:9">
      <c r="B23" s="51"/>
      <c r="C23" s="28"/>
      <c r="D23" s="28"/>
      <c r="E23" s="28"/>
      <c r="F23" s="28"/>
      <c r="G23" s="28"/>
      <c r="H23" s="28"/>
      <c r="I23" s="28"/>
    </row>
    <row r="24" spans="1:9">
      <c r="B24" s="51"/>
      <c r="C24" s="28"/>
      <c r="D24" s="28"/>
      <c r="E24" s="28"/>
      <c r="F24" s="28"/>
      <c r="G24" s="28"/>
      <c r="H24" s="28"/>
      <c r="I24" s="28"/>
    </row>
    <row r="25" spans="1:9">
      <c r="B25" s="51"/>
      <c r="C25" s="28"/>
      <c r="D25" s="28"/>
      <c r="E25" s="28"/>
      <c r="F25" s="28"/>
      <c r="G25" s="28"/>
      <c r="H25" s="28"/>
      <c r="I25" s="28"/>
    </row>
    <row r="26" spans="1:9" s="51" customFormat="1">
      <c r="A26" s="46"/>
    </row>
    <row r="27" spans="1:9" s="60" customFormat="1">
      <c r="A27" s="46"/>
      <c r="B27" s="62" t="s">
        <v>147</v>
      </c>
      <c r="C27" s="59" t="s">
        <v>750</v>
      </c>
      <c r="D27" s="85"/>
      <c r="E27" s="59" t="s">
        <v>650</v>
      </c>
    </row>
    <row r="28" spans="1:9" s="60" customFormat="1">
      <c r="A28" s="46"/>
      <c r="B28" s="64" t="s">
        <v>116</v>
      </c>
      <c r="C28" s="75" t="s">
        <v>174</v>
      </c>
      <c r="D28" s="77"/>
      <c r="E28" s="64" t="s">
        <v>117</v>
      </c>
    </row>
    <row r="31" spans="1:9" s="653" customFormat="1">
      <c r="A31" s="651"/>
      <c r="B31" s="652"/>
    </row>
    <row r="32" spans="1:9" s="653" customFormat="1">
      <c r="A32" s="651"/>
      <c r="B32" s="652"/>
    </row>
    <row r="33" spans="1:5" s="653" customFormat="1">
      <c r="A33" s="651"/>
      <c r="B33" s="652"/>
    </row>
    <row r="34" spans="1:5" s="653" customFormat="1">
      <c r="A34" s="651"/>
      <c r="B34" s="700" t="s">
        <v>581</v>
      </c>
      <c r="C34" s="700"/>
      <c r="E34" s="648" t="s">
        <v>583</v>
      </c>
    </row>
    <row r="35" spans="1:5" s="653" customFormat="1">
      <c r="A35" s="651"/>
      <c r="B35" s="710" t="s">
        <v>582</v>
      </c>
      <c r="C35" s="710"/>
      <c r="D35" s="654"/>
      <c r="E35" s="650" t="s">
        <v>584</v>
      </c>
    </row>
    <row r="36" spans="1:5">
      <c r="B36" s="75"/>
      <c r="C36" s="46"/>
      <c r="D36" s="51"/>
      <c r="E36" s="75"/>
    </row>
  </sheetData>
  <customSheetViews>
    <customSheetView guid="{B9F63820-5C32-455A-BC9D-0BE84D6B0867}" scale="80" showGridLines="0" state="hidden">
      <pane ySplit="7" topLeftCell="A8" activePane="bottomLeft" state="frozen"/>
      <selection pane="bottomLeft" sqref="A1:K15"/>
      <pageMargins left="0" right="0" top="0" bottom="0" header="0" footer="0"/>
      <pageSetup scale="47" orientation="portrait" r:id="rId1"/>
      <headerFooter alignWithMargins="0"/>
    </customSheetView>
    <customSheetView guid="{7015FC6D-0680-4B00-AA0E-B83DA1D0B666}" scale="80" showPageBreaks="1" showGridLines="0" printArea="1">
      <pane ySplit="7" topLeftCell="A8" activePane="bottomLeft" state="frozen"/>
      <selection pane="bottomLeft" activeCell="I11" sqref="I9:I11"/>
      <pageMargins left="0" right="0" top="0" bottom="0" header="0" footer="0"/>
      <pageSetup scale="47" orientation="portrait" r:id="rId2"/>
      <headerFooter alignWithMargins="0"/>
    </customSheetView>
    <customSheetView guid="{5FCC9217-B3E9-4B91-A943-5F21728EBEE9}" scale="80" showPageBreaks="1" showGridLines="0" printArea="1">
      <pane ySplit="7" topLeftCell="A47" activePane="bottomLeft" state="frozen"/>
      <selection pane="bottomLeft" activeCell="K71" sqref="K71"/>
      <pageMargins left="0" right="0" top="0" bottom="0" header="0" footer="0"/>
      <pageSetup scale="47" orientation="portrait" r:id="rId3"/>
      <headerFooter alignWithMargins="0"/>
    </customSheetView>
    <customSheetView guid="{F3648BCD-1CED-4BBB-AE63-37BDB925883F}" scale="80" showGridLines="0">
      <pane ySplit="7" topLeftCell="A8" activePane="bottomLeft" state="frozen"/>
      <selection pane="bottomLeft" activeCell="N12" sqref="N12"/>
      <pageMargins left="0" right="0" top="0" bottom="0" header="0" footer="0"/>
      <pageSetup scale="47" orientation="portrait" r:id="rId4"/>
      <headerFooter alignWithMargins="0"/>
    </customSheetView>
  </customSheetViews>
  <mergeCells count="3">
    <mergeCell ref="B8:F8"/>
    <mergeCell ref="B34:C34"/>
    <mergeCell ref="B35:C35"/>
  </mergeCells>
  <hyperlinks>
    <hyperlink ref="E6" location="INDICE!A1" display="Índice" xr:uid="{A9804CE8-F799-42D5-8931-9A5826441F6A}"/>
  </hyperlinks>
  <pageMargins left="0.82677165354330717" right="0.23622047244094491" top="0.74803149606299213" bottom="0.74803149606299213" header="0.31496062992125984" footer="0.31496062992125984"/>
  <pageSetup scale="47" orientation="portrait" r:id="rId5"/>
  <headerFooter alignWithMargins="0"/>
  <drawing r:id="rId6"/>
  <legacyDrawing r:id="rId7"/>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0">
    <tabColor theme="2" tint="-0.499984740745262"/>
    <pageSetUpPr fitToPage="1"/>
  </sheetPr>
  <dimension ref="B1:R333"/>
  <sheetViews>
    <sheetView showGridLines="0" tabSelected="1" zoomScale="80" zoomScaleNormal="80" zoomScaleSheetLayoutView="80" workbookViewId="0">
      <pane ySplit="8" topLeftCell="A9" activePane="bottomLeft" state="frozen"/>
      <selection activeCell="B1" sqref="B1"/>
      <selection pane="bottomLeft" activeCell="B306" sqref="B306:M306"/>
    </sheetView>
  </sheetViews>
  <sheetFormatPr baseColWidth="10" defaultColWidth="11.42578125" defaultRowHeight="12.75"/>
  <cols>
    <col min="1" max="1" width="2.85546875" style="51" customWidth="1"/>
    <col min="2" max="2" width="36.7109375" style="51" customWidth="1"/>
    <col min="3" max="3" width="33.28515625" style="51" customWidth="1"/>
    <col min="4" max="6" width="19.7109375" style="51" customWidth="1"/>
    <col min="7" max="7" width="20.5703125" style="51" customWidth="1"/>
    <col min="8" max="8" width="11.42578125" style="51"/>
    <col min="9" max="9" width="10.28515625" style="51" customWidth="1"/>
    <col min="10" max="12" width="14.85546875" style="51" customWidth="1"/>
    <col min="13" max="13" width="14.5703125" style="51" bestFit="1" customWidth="1"/>
    <col min="14" max="14" width="15.42578125" style="51" customWidth="1"/>
    <col min="15" max="15" width="10.7109375" style="51" customWidth="1"/>
    <col min="16" max="16" width="17.5703125" style="51" customWidth="1"/>
    <col min="17" max="16384" width="11.42578125" style="51"/>
  </cols>
  <sheetData>
    <row r="1" spans="2:13" s="52" customFormat="1">
      <c r="C1" s="53"/>
    </row>
    <row r="2" spans="2:13" s="52" customFormat="1">
      <c r="C2" s="53"/>
    </row>
    <row r="3" spans="2:13" s="52" customFormat="1">
      <c r="C3" s="53"/>
    </row>
    <row r="4" spans="2:13" s="54" customFormat="1" ht="13.5" thickBot="1">
      <c r="C4" s="55"/>
    </row>
    <row r="5" spans="2:13" ht="15.75" thickTop="1">
      <c r="B5"/>
      <c r="C5"/>
      <c r="D5"/>
      <c r="E5"/>
      <c r="F5"/>
      <c r="G5"/>
      <c r="H5"/>
      <c r="I5"/>
      <c r="J5"/>
      <c r="K5"/>
      <c r="L5"/>
      <c r="M5" s="49" t="s">
        <v>5</v>
      </c>
    </row>
    <row r="6" spans="2:13" ht="15">
      <c r="B6"/>
      <c r="C6"/>
      <c r="D6"/>
      <c r="E6"/>
      <c r="F6"/>
      <c r="G6"/>
      <c r="H6"/>
      <c r="I6"/>
      <c r="J6"/>
      <c r="K6" s="290"/>
      <c r="L6"/>
      <c r="M6"/>
    </row>
    <row r="7" spans="2:13" s="76" customFormat="1" ht="14.1" customHeight="1">
      <c r="B7" s="693" t="s">
        <v>303</v>
      </c>
      <c r="C7" s="693"/>
      <c r="D7" s="693"/>
      <c r="E7" s="693"/>
      <c r="F7" s="693"/>
      <c r="G7" s="693"/>
      <c r="H7" s="693"/>
      <c r="I7" s="693"/>
      <c r="J7" s="693"/>
      <c r="K7" s="693"/>
      <c r="L7" s="693"/>
      <c r="M7" s="693"/>
    </row>
    <row r="8" spans="2:13" s="76" customFormat="1" ht="21.75" customHeight="1">
      <c r="B8" s="693" t="s">
        <v>660</v>
      </c>
      <c r="C8" s="693"/>
      <c r="D8" s="693"/>
      <c r="E8" s="693"/>
      <c r="F8" s="693"/>
      <c r="G8" s="693"/>
      <c r="H8" s="693"/>
      <c r="I8" s="693"/>
      <c r="J8" s="693"/>
      <c r="K8" s="693"/>
      <c r="L8" s="693"/>
      <c r="M8" s="693"/>
    </row>
    <row r="9" spans="2:13" s="76" customFormat="1" ht="14.1" customHeight="1">
      <c r="B9" s="79"/>
      <c r="C9" s="79"/>
      <c r="D9" s="79"/>
      <c r="E9" s="79"/>
      <c r="F9" s="79"/>
      <c r="G9" s="79"/>
      <c r="H9" s="79"/>
      <c r="I9" s="79"/>
      <c r="J9" s="79"/>
      <c r="K9" s="79"/>
      <c r="L9" s="79"/>
      <c r="M9" s="79"/>
    </row>
    <row r="10" spans="2:13" ht="15">
      <c r="B10" s="50" t="s">
        <v>103</v>
      </c>
      <c r="C10"/>
      <c r="D10"/>
      <c r="E10"/>
      <c r="F10"/>
      <c r="G10"/>
      <c r="H10"/>
      <c r="I10"/>
      <c r="J10"/>
      <c r="K10"/>
      <c r="L10"/>
      <c r="M10"/>
    </row>
    <row r="11" spans="2:13" ht="12.6" customHeight="1">
      <c r="B11" s="50"/>
      <c r="C11"/>
      <c r="D11"/>
      <c r="E11"/>
      <c r="F11"/>
      <c r="G11"/>
      <c r="H11"/>
      <c r="I11"/>
      <c r="J11"/>
      <c r="K11"/>
      <c r="L11"/>
      <c r="M11"/>
    </row>
    <row r="12" spans="2:13" ht="15">
      <c r="B12" s="50" t="s">
        <v>25</v>
      </c>
      <c r="C12"/>
      <c r="D12"/>
      <c r="E12"/>
      <c r="F12"/>
      <c r="G12"/>
      <c r="H12"/>
      <c r="I12"/>
      <c r="J12"/>
      <c r="K12"/>
      <c r="L12"/>
      <c r="M12"/>
    </row>
    <row r="13" spans="2:13" ht="80.25" customHeight="1">
      <c r="B13" s="694" t="s">
        <v>304</v>
      </c>
      <c r="C13" s="694"/>
      <c r="D13" s="694"/>
      <c r="E13" s="694"/>
      <c r="F13" s="694"/>
      <c r="G13" s="694"/>
      <c r="H13" s="694"/>
      <c r="I13" s="694"/>
      <c r="J13" s="694"/>
      <c r="K13" s="694"/>
      <c r="L13" s="694"/>
      <c r="M13" s="694"/>
    </row>
    <row r="14" spans="2:13" ht="15">
      <c r="B14" s="74"/>
      <c r="C14" s="74"/>
      <c r="D14" s="74"/>
      <c r="E14" s="74"/>
      <c r="F14" s="74"/>
      <c r="G14" s="74"/>
      <c r="H14" s="74"/>
      <c r="I14" s="74"/>
      <c r="J14" s="74"/>
      <c r="K14" s="74"/>
      <c r="L14"/>
      <c r="M14"/>
    </row>
    <row r="15" spans="2:13" ht="15">
      <c r="B15" s="50" t="s">
        <v>26</v>
      </c>
      <c r="C15"/>
      <c r="D15"/>
      <c r="E15"/>
      <c r="F15"/>
      <c r="G15"/>
      <c r="H15"/>
      <c r="I15"/>
      <c r="J15"/>
      <c r="K15"/>
      <c r="L15"/>
      <c r="M15"/>
    </row>
    <row r="16" spans="2:13" ht="70.5" customHeight="1">
      <c r="B16" s="690" t="s">
        <v>305</v>
      </c>
      <c r="C16" s="690"/>
      <c r="D16" s="690"/>
      <c r="E16" s="690"/>
      <c r="F16" s="690"/>
      <c r="G16" s="690"/>
      <c r="H16" s="690"/>
      <c r="I16" s="690"/>
      <c r="J16" s="690"/>
      <c r="K16" s="690"/>
      <c r="L16" s="690"/>
      <c r="M16" s="690"/>
    </row>
    <row r="18" spans="2:13" ht="15">
      <c r="B18" s="50" t="s">
        <v>27</v>
      </c>
      <c r="C18"/>
      <c r="D18"/>
      <c r="E18"/>
      <c r="F18"/>
      <c r="G18"/>
      <c r="H18"/>
      <c r="I18"/>
      <c r="J18"/>
      <c r="K18"/>
      <c r="L18"/>
      <c r="M18"/>
    </row>
    <row r="19" spans="2:13" ht="15">
      <c r="B19" s="50"/>
      <c r="C19"/>
      <c r="D19"/>
      <c r="E19"/>
      <c r="F19"/>
      <c r="G19"/>
      <c r="H19"/>
      <c r="I19"/>
      <c r="J19"/>
      <c r="K19"/>
      <c r="L19"/>
      <c r="M19"/>
    </row>
    <row r="20" spans="2:13" ht="15">
      <c r="B20" s="50" t="s">
        <v>28</v>
      </c>
      <c r="C20"/>
      <c r="D20"/>
      <c r="E20"/>
      <c r="F20"/>
      <c r="G20"/>
      <c r="H20"/>
      <c r="I20"/>
      <c r="J20"/>
      <c r="K20"/>
      <c r="L20"/>
      <c r="M20"/>
    </row>
    <row r="21" spans="2:13" ht="54" customHeight="1">
      <c r="B21" s="689" t="s">
        <v>306</v>
      </c>
      <c r="C21" s="690"/>
      <c r="D21" s="690"/>
      <c r="E21" s="690"/>
      <c r="F21" s="690"/>
      <c r="G21" s="690"/>
      <c r="H21" s="690"/>
      <c r="I21" s="690"/>
      <c r="J21" s="690"/>
      <c r="K21" s="690"/>
      <c r="L21" s="690"/>
      <c r="M21" s="690"/>
    </row>
    <row r="22" spans="2:13" ht="15">
      <c r="B22" s="692"/>
      <c r="C22" s="692"/>
      <c r="D22" s="692"/>
      <c r="E22" s="692"/>
      <c r="F22" s="692"/>
      <c r="G22" s="692"/>
      <c r="H22" s="692"/>
      <c r="I22" s="692"/>
      <c r="J22" s="692"/>
      <c r="K22" s="692"/>
      <c r="L22"/>
      <c r="M22"/>
    </row>
    <row r="23" spans="2:13" ht="15">
      <c r="B23" s="50" t="s">
        <v>29</v>
      </c>
      <c r="C23"/>
      <c r="D23"/>
      <c r="E23"/>
      <c r="F23"/>
      <c r="G23"/>
      <c r="H23"/>
      <c r="I23"/>
      <c r="J23"/>
      <c r="K23"/>
      <c r="L23"/>
      <c r="M23"/>
    </row>
    <row r="24" spans="2:13" ht="30.75" customHeight="1">
      <c r="B24" s="689" t="s">
        <v>170</v>
      </c>
      <c r="C24" s="690"/>
      <c r="D24" s="690"/>
      <c r="E24" s="690"/>
      <c r="F24" s="690"/>
      <c r="G24" s="690"/>
      <c r="H24" s="690"/>
      <c r="I24" s="690"/>
      <c r="J24" s="690"/>
      <c r="K24" s="690"/>
      <c r="L24" s="690"/>
      <c r="M24" s="690"/>
    </row>
    <row r="26" spans="2:13" ht="28.5" customHeight="1">
      <c r="B26" s="695" t="s">
        <v>30</v>
      </c>
      <c r="C26" s="696"/>
      <c r="D26" s="696"/>
      <c r="E26" s="696"/>
      <c r="F26" s="696"/>
      <c r="G26" s="697"/>
      <c r="H26" s="698" t="s">
        <v>31</v>
      </c>
      <c r="I26" s="699"/>
      <c r="J26" s="698" t="s">
        <v>32</v>
      </c>
      <c r="K26" s="699"/>
    </row>
    <row r="27" spans="2:13" ht="39.75" customHeight="1">
      <c r="B27" s="684" t="s">
        <v>307</v>
      </c>
      <c r="C27" s="685"/>
      <c r="D27" s="685"/>
      <c r="E27" s="685"/>
      <c r="F27" s="685"/>
      <c r="G27" s="686"/>
      <c r="H27" s="687">
        <v>0</v>
      </c>
      <c r="I27" s="688"/>
      <c r="J27" s="687">
        <v>1</v>
      </c>
      <c r="K27" s="688"/>
    </row>
    <row r="28" spans="2:13" ht="36" customHeight="1">
      <c r="B28" s="684" t="s">
        <v>308</v>
      </c>
      <c r="C28" s="685"/>
      <c r="D28" s="685"/>
      <c r="E28" s="685"/>
      <c r="F28" s="685"/>
      <c r="G28" s="686"/>
      <c r="H28" s="687">
        <v>0</v>
      </c>
      <c r="I28" s="688"/>
      <c r="J28" s="687">
        <v>1</v>
      </c>
      <c r="K28" s="688"/>
    </row>
    <row r="29" spans="2:13" ht="52.5" customHeight="1">
      <c r="B29" s="684" t="s">
        <v>309</v>
      </c>
      <c r="C29" s="685"/>
      <c r="D29" s="685"/>
      <c r="E29" s="685"/>
      <c r="F29" s="685"/>
      <c r="G29" s="686"/>
      <c r="H29" s="687">
        <v>0</v>
      </c>
      <c r="I29" s="688"/>
      <c r="J29" s="687">
        <v>0.25</v>
      </c>
      <c r="K29" s="688"/>
    </row>
    <row r="30" spans="2:13" ht="36" customHeight="1">
      <c r="B30" s="684" t="s">
        <v>310</v>
      </c>
      <c r="C30" s="685"/>
      <c r="D30" s="685"/>
      <c r="E30" s="685"/>
      <c r="F30" s="685"/>
      <c r="G30" s="686"/>
      <c r="H30" s="687">
        <v>0</v>
      </c>
      <c r="I30" s="688"/>
      <c r="J30" s="687">
        <v>1</v>
      </c>
      <c r="K30" s="688"/>
    </row>
    <row r="31" spans="2:13" ht="36" customHeight="1">
      <c r="B31" s="684" t="s">
        <v>311</v>
      </c>
      <c r="C31" s="685"/>
      <c r="D31" s="685"/>
      <c r="E31" s="685"/>
      <c r="F31" s="685"/>
      <c r="G31" s="686"/>
      <c r="H31" s="687">
        <v>0</v>
      </c>
      <c r="I31" s="688"/>
      <c r="J31" s="687">
        <v>1</v>
      </c>
      <c r="K31" s="688"/>
    </row>
    <row r="32" spans="2:13" ht="48" customHeight="1">
      <c r="B32" s="684" t="s">
        <v>312</v>
      </c>
      <c r="C32" s="685"/>
      <c r="D32" s="685"/>
      <c r="E32" s="685"/>
      <c r="F32" s="685"/>
      <c r="G32" s="686"/>
      <c r="H32" s="687">
        <v>0</v>
      </c>
      <c r="I32" s="688"/>
      <c r="J32" s="687">
        <v>1</v>
      </c>
      <c r="K32" s="688"/>
    </row>
    <row r="33" spans="2:13" ht="49.5" customHeight="1">
      <c r="B33" s="684" t="s">
        <v>313</v>
      </c>
      <c r="C33" s="685"/>
      <c r="D33" s="685"/>
      <c r="E33" s="685"/>
      <c r="F33" s="685"/>
      <c r="G33" s="686"/>
      <c r="H33" s="687">
        <v>0</v>
      </c>
      <c r="I33" s="688"/>
      <c r="J33" s="687">
        <v>0.25</v>
      </c>
      <c r="K33" s="688"/>
    </row>
    <row r="34" spans="2:13" ht="52.5" customHeight="1">
      <c r="B34" s="684" t="s">
        <v>314</v>
      </c>
      <c r="C34" s="685"/>
      <c r="D34" s="685"/>
      <c r="E34" s="685"/>
      <c r="F34" s="685"/>
      <c r="G34" s="686"/>
      <c r="H34" s="687">
        <v>0</v>
      </c>
      <c r="I34" s="688"/>
      <c r="J34" s="687">
        <v>1</v>
      </c>
      <c r="K34" s="688"/>
    </row>
    <row r="35" spans="2:13" ht="52.5" customHeight="1">
      <c r="B35" s="684" t="s">
        <v>315</v>
      </c>
      <c r="C35" s="685"/>
      <c r="D35" s="685"/>
      <c r="E35" s="685"/>
      <c r="F35" s="685"/>
      <c r="G35" s="686"/>
      <c r="H35" s="687">
        <v>0</v>
      </c>
      <c r="I35" s="688"/>
      <c r="J35" s="687">
        <v>1</v>
      </c>
      <c r="K35" s="688"/>
    </row>
    <row r="36" spans="2:13" ht="52.5" customHeight="1">
      <c r="B36" s="684" t="s">
        <v>316</v>
      </c>
      <c r="C36" s="685"/>
      <c r="D36" s="685"/>
      <c r="E36" s="685"/>
      <c r="F36" s="685"/>
      <c r="G36" s="686"/>
      <c r="H36" s="687">
        <v>0</v>
      </c>
      <c r="I36" s="688"/>
      <c r="J36" s="687">
        <v>1</v>
      </c>
      <c r="K36" s="688"/>
    </row>
    <row r="37" spans="2:13" ht="52.5" customHeight="1">
      <c r="B37" s="684" t="s">
        <v>317</v>
      </c>
      <c r="C37" s="685"/>
      <c r="D37" s="685"/>
      <c r="E37" s="685"/>
      <c r="F37" s="685"/>
      <c r="G37" s="686"/>
      <c r="H37" s="687">
        <v>0</v>
      </c>
      <c r="I37" s="688"/>
      <c r="J37" s="687">
        <v>1</v>
      </c>
      <c r="K37" s="688"/>
    </row>
    <row r="38" spans="2:13" ht="52.5" customHeight="1">
      <c r="B38" s="684" t="s">
        <v>318</v>
      </c>
      <c r="C38" s="685"/>
      <c r="D38" s="685"/>
      <c r="E38" s="685"/>
      <c r="F38" s="685"/>
      <c r="G38" s="686"/>
      <c r="H38" s="687">
        <v>0</v>
      </c>
      <c r="I38" s="688"/>
      <c r="J38" s="687">
        <v>0.5</v>
      </c>
      <c r="K38" s="688"/>
    </row>
    <row r="39" spans="2:13" ht="52.5" customHeight="1">
      <c r="B39" s="684" t="s">
        <v>319</v>
      </c>
      <c r="C39" s="685"/>
      <c r="D39" s="685"/>
      <c r="E39" s="685"/>
      <c r="F39" s="685"/>
      <c r="G39" s="686"/>
      <c r="H39" s="687">
        <v>0</v>
      </c>
      <c r="I39" s="688"/>
      <c r="J39" s="687">
        <v>0.5</v>
      </c>
      <c r="K39" s="688"/>
    </row>
    <row r="40" spans="2:13" ht="52.5" customHeight="1">
      <c r="B40" s="684" t="s">
        <v>320</v>
      </c>
      <c r="C40" s="685"/>
      <c r="D40" s="685"/>
      <c r="E40" s="685"/>
      <c r="F40" s="685"/>
      <c r="G40" s="686"/>
      <c r="H40" s="687">
        <v>0</v>
      </c>
      <c r="I40" s="688"/>
      <c r="J40" s="687">
        <v>0.3</v>
      </c>
      <c r="K40" s="688"/>
    </row>
    <row r="41" spans="2:13" ht="52.5" customHeight="1">
      <c r="B41" s="684" t="s">
        <v>321</v>
      </c>
      <c r="C41" s="685"/>
      <c r="D41" s="685"/>
      <c r="E41" s="685"/>
      <c r="F41" s="685"/>
      <c r="G41" s="686"/>
      <c r="H41" s="687">
        <v>0</v>
      </c>
      <c r="I41" s="688"/>
      <c r="J41" s="687">
        <v>0.3</v>
      </c>
      <c r="K41" s="688"/>
    </row>
    <row r="42" spans="2:13" ht="52.5" customHeight="1">
      <c r="B42" s="684" t="s">
        <v>322</v>
      </c>
      <c r="C42" s="685"/>
      <c r="D42" s="685"/>
      <c r="E42" s="685"/>
      <c r="F42" s="685"/>
      <c r="G42" s="686"/>
      <c r="H42" s="687">
        <v>0</v>
      </c>
      <c r="I42" s="688"/>
      <c r="J42" s="687">
        <v>0.3</v>
      </c>
      <c r="K42" s="688"/>
    </row>
    <row r="43" spans="2:13" ht="15" customHeight="1">
      <c r="B43" s="74"/>
      <c r="C43" s="74"/>
      <c r="D43" s="74"/>
      <c r="E43" s="74"/>
      <c r="F43" s="74"/>
      <c r="G43" s="74"/>
      <c r="H43" s="292"/>
      <c r="I43" s="75"/>
      <c r="J43" s="75"/>
      <c r="K43" s="75"/>
      <c r="L43"/>
      <c r="M43"/>
    </row>
    <row r="44" spans="2:13" ht="56.25" customHeight="1">
      <c r="B44" s="691" t="s">
        <v>589</v>
      </c>
      <c r="C44" s="690"/>
      <c r="D44" s="690"/>
      <c r="E44" s="690"/>
      <c r="F44" s="690"/>
      <c r="G44" s="690"/>
      <c r="H44" s="690"/>
      <c r="I44" s="690"/>
      <c r="J44" s="690"/>
      <c r="K44" s="690"/>
      <c r="L44"/>
      <c r="M44"/>
    </row>
    <row r="45" spans="2:13" ht="40.15" customHeight="1">
      <c r="B45" s="692" t="s">
        <v>176</v>
      </c>
      <c r="C45" s="692"/>
      <c r="D45" s="692"/>
      <c r="E45" s="692"/>
      <c r="F45" s="692"/>
      <c r="G45" s="692"/>
      <c r="H45" s="692"/>
      <c r="I45" s="692"/>
      <c r="J45" s="692"/>
      <c r="K45" s="692"/>
      <c r="L45" s="692"/>
      <c r="M45" s="692"/>
    </row>
    <row r="46" spans="2:13" ht="19.149999999999999" customHeight="1">
      <c r="B46" s="50" t="s">
        <v>33</v>
      </c>
      <c r="C46" s="74"/>
      <c r="D46" s="74"/>
      <c r="E46" s="74"/>
      <c r="F46" s="74"/>
      <c r="G46" s="74"/>
      <c r="H46" s="74"/>
      <c r="I46" s="74"/>
      <c r="J46" s="74"/>
      <c r="K46" s="74"/>
      <c r="L46"/>
      <c r="M46"/>
    </row>
    <row r="47" spans="2:13" ht="62.45" customHeight="1">
      <c r="B47" s="689" t="s">
        <v>323</v>
      </c>
      <c r="C47" s="690"/>
      <c r="D47" s="690"/>
      <c r="E47" s="690"/>
      <c r="F47" s="690"/>
      <c r="G47" s="690"/>
      <c r="H47" s="690"/>
      <c r="I47" s="690"/>
      <c r="J47" s="690"/>
      <c r="K47" s="690"/>
      <c r="L47" s="690"/>
      <c r="M47" s="690"/>
    </row>
    <row r="48" spans="2:13" ht="30.6" customHeight="1">
      <c r="B48" s="689" t="s">
        <v>168</v>
      </c>
      <c r="C48" s="690"/>
      <c r="D48" s="690"/>
      <c r="E48" s="690"/>
      <c r="F48" s="690"/>
      <c r="G48" s="690"/>
      <c r="H48" s="690"/>
      <c r="I48" s="690"/>
      <c r="J48" s="690"/>
      <c r="K48" s="690"/>
      <c r="L48" s="690"/>
      <c r="M48" s="690"/>
    </row>
    <row r="49" spans="2:15" ht="15">
      <c r="B49" s="74"/>
      <c r="C49" s="74"/>
      <c r="D49" s="74"/>
      <c r="E49" s="74"/>
      <c r="F49" s="74"/>
      <c r="G49" s="74"/>
      <c r="H49" s="74"/>
      <c r="I49" s="74"/>
      <c r="J49" s="74"/>
      <c r="K49" s="74"/>
      <c r="L49"/>
      <c r="M49"/>
    </row>
    <row r="50" spans="2:15" ht="15">
      <c r="B50" s="50" t="s">
        <v>34</v>
      </c>
      <c r="C50"/>
      <c r="D50"/>
      <c r="E50"/>
      <c r="F50"/>
      <c r="G50"/>
      <c r="H50"/>
      <c r="I50"/>
      <c r="J50"/>
      <c r="K50"/>
      <c r="L50"/>
      <c r="M50"/>
    </row>
    <row r="51" spans="2:15" ht="70.5" customHeight="1">
      <c r="B51" s="689" t="s">
        <v>169</v>
      </c>
      <c r="C51" s="690"/>
      <c r="D51" s="690"/>
      <c r="E51" s="690"/>
      <c r="F51" s="690"/>
      <c r="G51" s="690"/>
      <c r="H51" s="690"/>
      <c r="I51" s="690"/>
      <c r="J51" s="690"/>
      <c r="K51" s="690"/>
      <c r="L51" s="690"/>
      <c r="M51" s="690"/>
    </row>
    <row r="52" spans="2:15" ht="25.5" customHeight="1">
      <c r="B52" s="380" t="s">
        <v>324</v>
      </c>
      <c r="C52" s="378"/>
      <c r="D52" s="378"/>
      <c r="E52" s="378"/>
      <c r="F52" s="378"/>
      <c r="G52" s="378"/>
      <c r="H52" s="378"/>
      <c r="I52" s="378"/>
      <c r="J52" s="378"/>
      <c r="K52" s="378"/>
      <c r="L52" s="378"/>
      <c r="M52" s="378"/>
    </row>
    <row r="53" spans="2:15" ht="34.9" customHeight="1">
      <c r="B53" s="689" t="s">
        <v>325</v>
      </c>
      <c r="C53" s="689"/>
      <c r="D53" s="689"/>
      <c r="E53" s="689"/>
      <c r="F53" s="689"/>
      <c r="G53" s="689"/>
      <c r="H53" s="689"/>
      <c r="I53" s="689"/>
      <c r="J53" s="689"/>
      <c r="K53" s="689"/>
      <c r="L53" s="689"/>
      <c r="M53" s="689"/>
    </row>
    <row r="54" spans="2:15" ht="12.75" customHeight="1">
      <c r="B54" s="74"/>
      <c r="C54" s="74"/>
      <c r="D54" s="74"/>
      <c r="E54" s="74"/>
      <c r="F54" s="74"/>
      <c r="G54" s="74"/>
      <c r="H54" s="74"/>
      <c r="I54" s="74"/>
      <c r="J54" s="74"/>
      <c r="K54" s="74"/>
      <c r="L54"/>
      <c r="M54"/>
    </row>
    <row r="55" spans="2:15" ht="12.75" customHeight="1">
      <c r="B55" s="50" t="s">
        <v>35</v>
      </c>
      <c r="C55"/>
      <c r="D55"/>
      <c r="E55"/>
      <c r="F55"/>
      <c r="G55"/>
      <c r="H55"/>
      <c r="I55"/>
      <c r="J55"/>
      <c r="K55"/>
      <c r="L55"/>
      <c r="M55"/>
    </row>
    <row r="56" spans="2:15" ht="12.75" customHeight="1">
      <c r="B56" s="50"/>
      <c r="C56"/>
      <c r="D56"/>
      <c r="E56"/>
      <c r="F56"/>
      <c r="G56"/>
      <c r="H56"/>
      <c r="I56"/>
      <c r="J56"/>
      <c r="K56"/>
      <c r="L56"/>
      <c r="M56"/>
    </row>
    <row r="57" spans="2:15" ht="12.75" customHeight="1">
      <c r="B57" s="50" t="s">
        <v>36</v>
      </c>
      <c r="C57"/>
      <c r="D57"/>
      <c r="E57"/>
      <c r="F57"/>
      <c r="G57"/>
      <c r="H57"/>
      <c r="I57"/>
      <c r="J57"/>
      <c r="K57"/>
      <c r="L57"/>
      <c r="M57"/>
    </row>
    <row r="58" spans="2:15" ht="63.6" customHeight="1">
      <c r="B58" s="690" t="s">
        <v>172</v>
      </c>
      <c r="C58" s="690"/>
      <c r="D58" s="690"/>
      <c r="E58" s="690"/>
      <c r="F58" s="690"/>
      <c r="G58" s="690"/>
      <c r="H58" s="690"/>
      <c r="I58" s="690"/>
      <c r="J58" s="690"/>
      <c r="K58" s="690"/>
      <c r="L58" s="690"/>
      <c r="M58" s="690"/>
    </row>
    <row r="59" spans="2:15">
      <c r="B59" s="50"/>
    </row>
    <row r="60" spans="2:15" ht="15">
      <c r="B60" s="50" t="s">
        <v>37</v>
      </c>
      <c r="C60"/>
      <c r="D60"/>
      <c r="E60"/>
      <c r="F60"/>
      <c r="G60"/>
      <c r="H60"/>
      <c r="I60"/>
      <c r="J60"/>
      <c r="K60"/>
      <c r="L60"/>
      <c r="M60"/>
    </row>
    <row r="61" spans="2:15" ht="42.6" customHeight="1">
      <c r="B61" s="690" t="s">
        <v>651</v>
      </c>
      <c r="C61" s="690"/>
      <c r="D61" s="690"/>
      <c r="E61" s="690"/>
      <c r="F61" s="690"/>
      <c r="G61" s="690"/>
      <c r="H61" s="690"/>
      <c r="I61" s="690"/>
      <c r="J61" s="690"/>
      <c r="K61" s="690"/>
      <c r="L61" s="690"/>
      <c r="M61" s="690"/>
    </row>
    <row r="62" spans="2:15" ht="43.9" customHeight="1">
      <c r="B62" s="694" t="s">
        <v>191</v>
      </c>
      <c r="C62" s="694"/>
      <c r="D62" s="694"/>
      <c r="E62" s="694"/>
      <c r="F62" s="694"/>
      <c r="G62" s="694"/>
      <c r="H62" s="694"/>
      <c r="I62" s="694"/>
      <c r="J62" s="694"/>
      <c r="K62" s="694"/>
      <c r="L62" s="694"/>
      <c r="M62" s="694"/>
    </row>
    <row r="63" spans="2:15" ht="22.9" customHeight="1">
      <c r="B63" s="704" t="s">
        <v>177</v>
      </c>
      <c r="C63" s="704"/>
      <c r="D63" s="704"/>
      <c r="E63" s="704"/>
      <c r="F63" s="704"/>
      <c r="G63" s="704"/>
      <c r="H63" s="704"/>
      <c r="I63" s="704"/>
      <c r="J63" s="704"/>
      <c r="K63" s="704"/>
      <c r="L63" s="704"/>
      <c r="M63" s="704"/>
    </row>
    <row r="64" spans="2:15" ht="32.25" customHeight="1">
      <c r="B64" s="690" t="s">
        <v>178</v>
      </c>
      <c r="C64" s="690"/>
      <c r="D64" s="690"/>
      <c r="E64" s="690"/>
      <c r="F64" s="690"/>
      <c r="G64" s="690"/>
      <c r="H64" s="690"/>
      <c r="I64" s="690"/>
      <c r="J64" s="690"/>
      <c r="K64" s="690"/>
      <c r="L64" s="690"/>
      <c r="M64" s="690"/>
      <c r="N64"/>
      <c r="O64"/>
    </row>
    <row r="65" spans="2:15" ht="34.15" customHeight="1">
      <c r="B65" s="690" t="s">
        <v>179</v>
      </c>
      <c r="C65" s="690"/>
      <c r="D65" s="690"/>
      <c r="E65" s="690"/>
      <c r="F65" s="690"/>
      <c r="G65" s="690"/>
      <c r="H65" s="690"/>
      <c r="I65" s="690"/>
      <c r="J65" s="690"/>
      <c r="K65" s="690"/>
      <c r="L65" s="690"/>
      <c r="M65" s="690"/>
      <c r="N65"/>
      <c r="O65"/>
    </row>
    <row r="66" spans="2:15">
      <c r="B66" s="50"/>
    </row>
    <row r="67" spans="2:15" ht="15">
      <c r="B67" s="50" t="s">
        <v>38</v>
      </c>
      <c r="C67"/>
      <c r="D67"/>
      <c r="E67"/>
      <c r="F67"/>
      <c r="G67"/>
      <c r="H67"/>
      <c r="I67"/>
      <c r="J67"/>
      <c r="K67"/>
      <c r="L67"/>
      <c r="M67"/>
    </row>
    <row r="68" spans="2:15" ht="15">
      <c r="B68" s="50"/>
      <c r="C68"/>
      <c r="D68"/>
      <c r="E68"/>
      <c r="F68"/>
      <c r="G68"/>
      <c r="H68"/>
      <c r="I68"/>
      <c r="J68"/>
      <c r="K68"/>
      <c r="L68"/>
      <c r="M68"/>
      <c r="N68"/>
      <c r="O68"/>
    </row>
    <row r="69" spans="2:15" ht="15">
      <c r="B69" s="50" t="s">
        <v>104</v>
      </c>
      <c r="C69"/>
      <c r="D69"/>
      <c r="E69"/>
      <c r="F69"/>
      <c r="G69"/>
      <c r="H69"/>
      <c r="I69"/>
      <c r="J69"/>
      <c r="K69"/>
      <c r="L69"/>
      <c r="M69"/>
    </row>
    <row r="70" spans="2:15" ht="31.15" customHeight="1">
      <c r="B70" s="694" t="s">
        <v>591</v>
      </c>
      <c r="C70" s="694"/>
      <c r="D70" s="694"/>
      <c r="E70" s="694"/>
      <c r="F70" s="694"/>
      <c r="G70" s="694"/>
      <c r="H70" s="694"/>
      <c r="I70" s="694"/>
      <c r="J70" s="694"/>
      <c r="K70" s="694"/>
      <c r="L70" s="694"/>
      <c r="M70" s="694"/>
      <c r="N70"/>
      <c r="O70"/>
    </row>
    <row r="71" spans="2:15" ht="13.9" customHeight="1">
      <c r="B71" s="285"/>
      <c r="C71" s="285"/>
      <c r="D71" s="285"/>
      <c r="E71" s="285"/>
      <c r="F71" s="285"/>
      <c r="G71" s="285"/>
      <c r="H71" s="285"/>
      <c r="I71" s="285"/>
      <c r="J71" s="285"/>
      <c r="K71" s="285"/>
      <c r="L71" s="285"/>
      <c r="M71" s="285"/>
      <c r="N71"/>
      <c r="O71"/>
    </row>
    <row r="72" spans="2:15" ht="46.9" customHeight="1">
      <c r="B72" s="694" t="s">
        <v>746</v>
      </c>
      <c r="C72" s="694"/>
      <c r="D72" s="694"/>
      <c r="E72" s="694"/>
      <c r="F72" s="694"/>
      <c r="G72" s="694"/>
      <c r="H72" s="694"/>
      <c r="I72" s="694"/>
      <c r="J72" s="694"/>
      <c r="K72" s="694"/>
      <c r="L72" s="694"/>
      <c r="M72" s="694"/>
      <c r="N72"/>
      <c r="O72" s="291"/>
    </row>
    <row r="73" spans="2:15" ht="15">
      <c r="B73" s="74"/>
      <c r="C73" s="74"/>
      <c r="D73" s="74"/>
      <c r="E73" s="74"/>
      <c r="F73" s="74"/>
      <c r="G73" s="74"/>
      <c r="H73" s="74"/>
      <c r="I73" s="74"/>
      <c r="J73" s="74"/>
      <c r="K73" s="74"/>
      <c r="L73"/>
      <c r="M73"/>
      <c r="N73"/>
      <c r="O73"/>
    </row>
    <row r="74" spans="2:15" ht="15">
      <c r="B74" s="50" t="s">
        <v>105</v>
      </c>
      <c r="C74"/>
      <c r="D74"/>
      <c r="E74"/>
      <c r="F74"/>
      <c r="G74"/>
      <c r="H74"/>
      <c r="I74"/>
      <c r="J74"/>
      <c r="K74"/>
      <c r="L74"/>
      <c r="M74"/>
    </row>
    <row r="75" spans="2:15" ht="46.15" customHeight="1">
      <c r="B75" s="690" t="s">
        <v>106</v>
      </c>
      <c r="C75" s="690"/>
      <c r="D75" s="690"/>
      <c r="E75" s="690"/>
      <c r="F75" s="690"/>
      <c r="G75" s="690"/>
      <c r="H75" s="690"/>
      <c r="I75" s="690"/>
      <c r="J75" s="690"/>
      <c r="K75" s="690"/>
      <c r="L75" s="690"/>
      <c r="M75" s="690"/>
      <c r="N75"/>
      <c r="O75"/>
    </row>
    <row r="76" spans="2:15" ht="15">
      <c r="B76" s="74"/>
      <c r="C76" s="74"/>
      <c r="D76" s="74"/>
      <c r="E76" s="74"/>
      <c r="F76" s="74"/>
      <c r="G76" s="74"/>
      <c r="H76" s="74"/>
      <c r="I76" s="74"/>
      <c r="J76" s="74"/>
      <c r="K76" s="74"/>
      <c r="L76"/>
      <c r="M76"/>
      <c r="N76"/>
      <c r="O76"/>
    </row>
    <row r="77" spans="2:15" ht="15">
      <c r="B77" s="50" t="s">
        <v>114</v>
      </c>
      <c r="C77"/>
      <c r="D77"/>
      <c r="E77"/>
      <c r="F77"/>
      <c r="G77"/>
      <c r="H77"/>
      <c r="I77"/>
      <c r="J77"/>
      <c r="K77"/>
      <c r="L77"/>
      <c r="M77"/>
    </row>
    <row r="78" spans="2:15" ht="37.15" customHeight="1">
      <c r="B78" s="690" t="s">
        <v>747</v>
      </c>
      <c r="C78" s="690"/>
      <c r="D78" s="690"/>
      <c r="E78" s="690"/>
      <c r="F78" s="690"/>
      <c r="G78" s="690"/>
      <c r="H78" s="690"/>
      <c r="I78" s="690"/>
      <c r="J78" s="690"/>
      <c r="K78" s="690"/>
      <c r="L78" s="690"/>
      <c r="M78" s="690"/>
      <c r="N78"/>
      <c r="O78"/>
    </row>
    <row r="79" spans="2:15">
      <c r="B79" s="50"/>
    </row>
    <row r="80" spans="2:15" ht="15">
      <c r="B80" s="50" t="s">
        <v>107</v>
      </c>
      <c r="C80"/>
      <c r="D80"/>
      <c r="E80"/>
      <c r="F80"/>
      <c r="G80"/>
      <c r="H80"/>
      <c r="I80"/>
      <c r="J80"/>
      <c r="K80"/>
      <c r="L80"/>
      <c r="M80"/>
    </row>
    <row r="81" spans="2:13" ht="34.9" customHeight="1">
      <c r="B81" s="689" t="s">
        <v>125</v>
      </c>
      <c r="C81" s="690"/>
      <c r="D81" s="690"/>
      <c r="E81" s="690"/>
      <c r="F81" s="690"/>
      <c r="G81" s="690"/>
      <c r="H81" s="690"/>
      <c r="I81" s="690"/>
      <c r="J81" s="690"/>
      <c r="K81" s="690"/>
      <c r="L81" s="690"/>
      <c r="M81" s="690"/>
    </row>
    <row r="82" spans="2:13">
      <c r="B82" s="50"/>
      <c r="C82" s="74"/>
      <c r="D82" s="74"/>
      <c r="E82" s="74"/>
      <c r="F82" s="74"/>
      <c r="G82" s="74"/>
      <c r="H82" s="74"/>
      <c r="I82" s="74"/>
      <c r="J82" s="74"/>
      <c r="K82" s="74"/>
    </row>
    <row r="83" spans="2:13" ht="15">
      <c r="B83" s="50" t="s">
        <v>108</v>
      </c>
      <c r="C83"/>
      <c r="D83"/>
      <c r="E83"/>
      <c r="F83"/>
      <c r="G83"/>
      <c r="H83"/>
      <c r="I83"/>
      <c r="J83"/>
      <c r="K83"/>
      <c r="L83"/>
      <c r="M83"/>
    </row>
    <row r="84" spans="2:13" ht="77.45" customHeight="1">
      <c r="B84" s="690" t="s">
        <v>126</v>
      </c>
      <c r="C84" s="690"/>
      <c r="D84" s="690"/>
      <c r="E84" s="690"/>
      <c r="F84" s="690"/>
      <c r="G84" s="690"/>
      <c r="H84" s="690"/>
      <c r="I84" s="690"/>
      <c r="J84" s="690"/>
      <c r="K84" s="690"/>
      <c r="L84" s="690"/>
      <c r="M84" s="690"/>
    </row>
    <row r="85" spans="2:13" ht="58.9" customHeight="1">
      <c r="B85" s="689" t="s">
        <v>180</v>
      </c>
      <c r="C85" s="690"/>
      <c r="D85" s="690"/>
      <c r="E85" s="690"/>
      <c r="F85" s="690"/>
      <c r="G85" s="690"/>
      <c r="H85" s="690"/>
      <c r="I85" s="690"/>
      <c r="J85" s="690"/>
      <c r="K85" s="690"/>
      <c r="L85" s="690"/>
      <c r="M85" s="690"/>
    </row>
    <row r="86" spans="2:13" ht="15">
      <c r="B86" s="74"/>
      <c r="C86" s="74"/>
      <c r="D86" s="74"/>
      <c r="E86" s="74"/>
      <c r="F86" s="74"/>
      <c r="G86" s="74"/>
      <c r="H86" s="74"/>
      <c r="I86" s="74"/>
      <c r="J86" s="74"/>
      <c r="K86" s="74"/>
      <c r="L86"/>
      <c r="M86"/>
    </row>
    <row r="87" spans="2:13" ht="15">
      <c r="B87" s="50" t="s">
        <v>109</v>
      </c>
      <c r="C87"/>
      <c r="D87"/>
      <c r="E87"/>
      <c r="F87"/>
      <c r="G87"/>
      <c r="H87"/>
      <c r="I87"/>
      <c r="J87"/>
      <c r="K87"/>
      <c r="L87"/>
      <c r="M87"/>
    </row>
    <row r="88" spans="2:13" ht="36.6" customHeight="1">
      <c r="B88" s="689" t="s">
        <v>127</v>
      </c>
      <c r="C88" s="690"/>
      <c r="D88" s="690"/>
      <c r="E88" s="690"/>
      <c r="F88" s="690"/>
      <c r="G88" s="690"/>
      <c r="H88" s="690"/>
      <c r="I88" s="690"/>
      <c r="J88" s="690"/>
      <c r="K88" s="690"/>
      <c r="L88" s="690"/>
      <c r="M88" s="690"/>
    </row>
    <row r="89" spans="2:13" ht="36.6" customHeight="1">
      <c r="B89" s="690" t="s">
        <v>128</v>
      </c>
      <c r="C89" s="690"/>
      <c r="D89" s="690"/>
      <c r="E89" s="690"/>
      <c r="F89" s="690"/>
      <c r="G89" s="690"/>
      <c r="H89" s="690"/>
      <c r="I89" s="690"/>
      <c r="J89" s="690"/>
      <c r="K89" s="690"/>
      <c r="L89" s="690"/>
      <c r="M89" s="690"/>
    </row>
    <row r="90" spans="2:13" ht="15">
      <c r="B90" s="74"/>
      <c r="C90" s="74"/>
      <c r="D90" s="74"/>
      <c r="E90" s="74"/>
      <c r="F90" s="74"/>
      <c r="G90" s="74"/>
      <c r="H90" s="74"/>
      <c r="I90" s="74"/>
      <c r="J90" s="74"/>
      <c r="K90" s="74"/>
      <c r="L90"/>
      <c r="M90"/>
    </row>
    <row r="91" spans="2:13" ht="15">
      <c r="B91" s="50" t="s">
        <v>110</v>
      </c>
      <c r="C91"/>
      <c r="D91"/>
      <c r="E91"/>
      <c r="F91"/>
      <c r="G91"/>
      <c r="H91"/>
      <c r="I91"/>
      <c r="J91"/>
      <c r="K91"/>
      <c r="L91"/>
      <c r="M91"/>
    </row>
    <row r="92" spans="2:13" ht="30.6" customHeight="1">
      <c r="B92" s="690" t="s">
        <v>748</v>
      </c>
      <c r="C92" s="690"/>
      <c r="D92" s="690"/>
      <c r="E92" s="690"/>
      <c r="F92" s="690"/>
      <c r="G92" s="690"/>
      <c r="H92" s="690"/>
      <c r="I92" s="690"/>
      <c r="J92" s="690"/>
      <c r="K92" s="690"/>
      <c r="L92" s="690"/>
      <c r="M92" s="690"/>
    </row>
    <row r="93" spans="2:13" s="60" customFormat="1">
      <c r="B93" s="74"/>
      <c r="C93" s="74"/>
      <c r="D93" s="74"/>
      <c r="E93" s="74"/>
      <c r="F93" s="74"/>
      <c r="G93" s="74"/>
      <c r="H93" s="74"/>
      <c r="I93" s="74"/>
      <c r="J93" s="74"/>
      <c r="K93" s="74"/>
      <c r="L93" s="74"/>
      <c r="M93" s="74"/>
    </row>
    <row r="94" spans="2:13" s="60" customFormat="1">
      <c r="B94" s="50" t="s">
        <v>111</v>
      </c>
      <c r="C94" s="74"/>
      <c r="D94" s="74"/>
      <c r="E94" s="74"/>
      <c r="F94" s="74"/>
      <c r="G94" s="74"/>
      <c r="H94" s="74"/>
      <c r="I94" s="65"/>
      <c r="J94" s="77"/>
      <c r="L94" s="78"/>
      <c r="M94" s="64"/>
    </row>
    <row r="95" spans="2:13" s="60" customFormat="1">
      <c r="B95" s="50"/>
      <c r="C95" s="74"/>
      <c r="D95" s="74"/>
      <c r="E95" s="74"/>
      <c r="F95" s="74"/>
      <c r="G95" s="74"/>
      <c r="H95" s="74"/>
      <c r="I95" s="65"/>
      <c r="J95" s="77"/>
      <c r="L95" s="78"/>
      <c r="M95" s="64"/>
    </row>
    <row r="96" spans="2:13" ht="25.5">
      <c r="B96" s="705" t="s">
        <v>39</v>
      </c>
      <c r="C96" s="706"/>
      <c r="D96" s="199" t="s">
        <v>653</v>
      </c>
      <c r="E96" s="199" t="s">
        <v>658</v>
      </c>
      <c r="F96" s="235">
        <v>4145.3525149778216</v>
      </c>
      <c r="G96" s="60"/>
      <c r="H96" s="74"/>
      <c r="I96" s="65"/>
      <c r="J96" s="77"/>
      <c r="K96" s="60"/>
      <c r="L96" s="78"/>
      <c r="M96" s="64"/>
    </row>
    <row r="97" spans="2:13" ht="15" customHeight="1">
      <c r="B97" s="708" t="s">
        <v>149</v>
      </c>
      <c r="C97" s="709"/>
      <c r="D97" s="238">
        <v>155184.47</v>
      </c>
      <c r="E97" s="365">
        <v>1326.1599999999999</v>
      </c>
      <c r="F97" s="60"/>
      <c r="G97" s="60"/>
      <c r="H97" s="74"/>
      <c r="I97" s="59"/>
    </row>
    <row r="98" spans="2:13" ht="15" customHeight="1">
      <c r="B98" s="711" t="s">
        <v>40</v>
      </c>
      <c r="C98" s="712"/>
      <c r="D98" s="240">
        <v>155184.47</v>
      </c>
      <c r="E98" s="392">
        <v>1326.1599999999999</v>
      </c>
      <c r="F98" s="153">
        <v>0</v>
      </c>
      <c r="G98" s="153"/>
      <c r="H98" s="60"/>
      <c r="I98" s="59"/>
      <c r="J98"/>
      <c r="K98"/>
      <c r="L98"/>
      <c r="M98"/>
    </row>
    <row r="99" spans="2:13" ht="15" customHeight="1">
      <c r="B99" s="707" t="s">
        <v>175</v>
      </c>
      <c r="C99" s="707"/>
      <c r="D99" s="707"/>
      <c r="E99" s="707"/>
      <c r="F99" s="173"/>
      <c r="G99" s="173"/>
      <c r="H99" s="173"/>
      <c r="I99" s="64"/>
      <c r="J99"/>
      <c r="K99"/>
      <c r="L99"/>
      <c r="M99"/>
    </row>
    <row r="100" spans="2:13" ht="15">
      <c r="B100" s="694"/>
      <c r="C100" s="694"/>
      <c r="D100" s="694"/>
      <c r="E100" s="694"/>
      <c r="F100" s="173"/>
      <c r="G100" s="173"/>
      <c r="H100" s="173"/>
      <c r="I100" s="64"/>
      <c r="J100"/>
      <c r="K100"/>
      <c r="L100"/>
      <c r="M100"/>
    </row>
    <row r="101" spans="2:13" ht="15">
      <c r="B101" s="694"/>
      <c r="C101" s="694"/>
      <c r="D101" s="694"/>
      <c r="E101" s="694"/>
      <c r="F101" s="173"/>
      <c r="G101" s="173"/>
      <c r="H101" s="173"/>
      <c r="I101" s="64"/>
      <c r="J101"/>
      <c r="K101"/>
      <c r="L101"/>
      <c r="M101"/>
    </row>
    <row r="102" spans="2:13" ht="6.6" customHeight="1">
      <c r="B102" s="694"/>
      <c r="C102" s="694"/>
      <c r="D102" s="694"/>
      <c r="E102" s="694"/>
      <c r="F102" s="173"/>
      <c r="G102" s="173"/>
      <c r="H102" s="173"/>
      <c r="I102" s="64"/>
      <c r="J102"/>
      <c r="K102"/>
      <c r="L102"/>
      <c r="M102"/>
    </row>
    <row r="103" spans="2:13">
      <c r="B103" s="50"/>
      <c r="C103" s="50"/>
      <c r="D103" s="89"/>
      <c r="E103" s="60"/>
      <c r="F103" s="60"/>
      <c r="G103" s="90"/>
      <c r="H103" s="60"/>
    </row>
    <row r="104" spans="2:13">
      <c r="B104" s="85" t="s">
        <v>120</v>
      </c>
      <c r="C104" s="85"/>
      <c r="D104" s="60"/>
      <c r="E104" s="60"/>
      <c r="F104" s="60"/>
      <c r="G104" s="60"/>
      <c r="H104" s="60"/>
    </row>
    <row r="105" spans="2:13">
      <c r="B105" s="60" t="s">
        <v>737</v>
      </c>
      <c r="C105" s="60"/>
      <c r="D105" s="60"/>
      <c r="E105" s="60"/>
      <c r="F105" s="60"/>
      <c r="G105" s="86"/>
      <c r="H105" s="60"/>
    </row>
    <row r="106" spans="2:13">
      <c r="B106" s="50"/>
      <c r="C106" s="74"/>
      <c r="D106" s="74"/>
      <c r="E106" s="74"/>
      <c r="F106" s="74"/>
      <c r="G106" s="74"/>
      <c r="H106" s="60"/>
    </row>
    <row r="107" spans="2:13" ht="38.25">
      <c r="B107" s="698" t="s">
        <v>41</v>
      </c>
      <c r="C107" s="699"/>
      <c r="D107" s="84" t="s">
        <v>131</v>
      </c>
      <c r="E107" s="84" t="s">
        <v>153</v>
      </c>
      <c r="F107" s="84" t="s">
        <v>42</v>
      </c>
      <c r="G107" s="60"/>
      <c r="H107" s="60"/>
    </row>
    <row r="108" spans="2:13">
      <c r="B108" s="91" t="s">
        <v>43</v>
      </c>
      <c r="C108" s="92"/>
      <c r="D108" s="93"/>
      <c r="E108" s="93"/>
      <c r="F108" s="94"/>
      <c r="G108" s="85"/>
      <c r="H108" s="60"/>
    </row>
    <row r="109" spans="2:13" s="368" customFormat="1">
      <c r="B109" s="87" t="s">
        <v>44</v>
      </c>
      <c r="C109" s="88"/>
      <c r="D109" s="404">
        <v>1034.02</v>
      </c>
      <c r="E109" s="405">
        <v>15371582.060000001</v>
      </c>
      <c r="F109" s="405">
        <v>232</v>
      </c>
      <c r="G109" s="367"/>
      <c r="H109" s="367"/>
    </row>
    <row r="110" spans="2:13" s="368" customFormat="1" ht="15">
      <c r="B110" s="87" t="s">
        <v>45</v>
      </c>
      <c r="C110" s="88"/>
      <c r="D110" s="404">
        <v>1037.8399999999999</v>
      </c>
      <c r="E110" s="405">
        <v>16774082.25</v>
      </c>
      <c r="F110" s="405">
        <v>253</v>
      </c>
      <c r="G110" s="367"/>
      <c r="H110" s="367"/>
      <c r="I110" s="369"/>
      <c r="J110" s="369"/>
      <c r="K110" s="369"/>
      <c r="L110" s="369"/>
      <c r="M110" s="369"/>
    </row>
    <row r="111" spans="2:13" s="368" customFormat="1" ht="15">
      <c r="B111" s="87" t="s">
        <v>46</v>
      </c>
      <c r="C111" s="88"/>
      <c r="D111" s="404">
        <v>1042.29</v>
      </c>
      <c r="E111" s="405">
        <v>19923093.260000002</v>
      </c>
      <c r="F111" s="405">
        <v>290</v>
      </c>
      <c r="G111" s="367"/>
      <c r="H111" s="367"/>
      <c r="I111" s="369"/>
      <c r="J111" s="369"/>
      <c r="K111" s="369"/>
      <c r="L111" s="369"/>
      <c r="M111" s="369"/>
    </row>
    <row r="112" spans="2:13">
      <c r="B112" s="91" t="s">
        <v>181</v>
      </c>
      <c r="C112" s="92"/>
      <c r="D112" s="93"/>
      <c r="E112" s="93"/>
      <c r="F112" s="94"/>
      <c r="G112" s="85"/>
      <c r="H112" s="60"/>
    </row>
    <row r="113" spans="2:17">
      <c r="B113" s="87" t="s">
        <v>738</v>
      </c>
      <c r="C113" s="88"/>
      <c r="D113" s="402">
        <v>1046.9431916799999</v>
      </c>
      <c r="E113" s="403">
        <v>27310576.620000001</v>
      </c>
      <c r="F113" s="405">
        <v>318</v>
      </c>
      <c r="G113" s="60"/>
      <c r="H113" s="60"/>
    </row>
    <row r="114" spans="2:17">
      <c r="B114" s="87" t="s">
        <v>739</v>
      </c>
      <c r="C114" s="88"/>
      <c r="D114" s="402">
        <v>1050.95413525</v>
      </c>
      <c r="E114" s="403">
        <v>35339106.32</v>
      </c>
      <c r="F114" s="405">
        <v>346</v>
      </c>
      <c r="G114" s="60"/>
      <c r="H114" s="60"/>
    </row>
    <row r="115" spans="2:17">
      <c r="B115" s="87" t="s">
        <v>740</v>
      </c>
      <c r="C115" s="88"/>
      <c r="D115" s="241">
        <v>1055.2200715199999</v>
      </c>
      <c r="E115" s="318">
        <v>35733623.759999998</v>
      </c>
      <c r="F115" s="405">
        <v>377</v>
      </c>
      <c r="G115" s="60"/>
      <c r="H115" s="60"/>
    </row>
    <row r="116" spans="2:17" hidden="1">
      <c r="B116" s="91" t="s">
        <v>193</v>
      </c>
      <c r="C116" s="92"/>
      <c r="D116" s="93"/>
      <c r="E116" s="93"/>
      <c r="F116" s="94"/>
      <c r="G116" s="85"/>
      <c r="H116" s="60"/>
    </row>
    <row r="117" spans="2:17" hidden="1">
      <c r="B117" s="87"/>
      <c r="C117" s="88"/>
      <c r="D117" s="241"/>
      <c r="E117" s="318"/>
      <c r="F117" s="319"/>
      <c r="G117" s="60"/>
      <c r="H117" s="60"/>
    </row>
    <row r="118" spans="2:17" hidden="1">
      <c r="B118" s="87"/>
      <c r="C118" s="88"/>
      <c r="D118" s="241"/>
      <c r="E118" s="318"/>
      <c r="F118" s="319"/>
      <c r="G118" s="60"/>
      <c r="H118" s="60"/>
    </row>
    <row r="119" spans="2:17" hidden="1">
      <c r="B119" s="87"/>
      <c r="C119" s="88"/>
      <c r="D119" s="241"/>
      <c r="E119" s="318"/>
      <c r="F119" s="319"/>
      <c r="G119" s="60"/>
      <c r="H119" s="60"/>
    </row>
    <row r="120" spans="2:17" hidden="1">
      <c r="B120" s="91" t="s">
        <v>240</v>
      </c>
      <c r="C120" s="92"/>
      <c r="D120" s="93"/>
      <c r="E120" s="93"/>
      <c r="F120" s="94"/>
      <c r="G120" s="85"/>
      <c r="H120" s="60"/>
    </row>
    <row r="121" spans="2:17" hidden="1">
      <c r="B121" s="87"/>
      <c r="C121" s="88"/>
      <c r="D121" s="241"/>
      <c r="E121" s="318"/>
      <c r="F121" s="319"/>
      <c r="G121" s="60"/>
      <c r="H121" s="60"/>
    </row>
    <row r="122" spans="2:17" hidden="1">
      <c r="B122" s="87"/>
      <c r="C122" s="88"/>
      <c r="D122" s="241"/>
      <c r="E122" s="318"/>
      <c r="F122" s="319"/>
      <c r="G122" s="60"/>
      <c r="H122" s="60"/>
    </row>
    <row r="123" spans="2:17" hidden="1">
      <c r="B123" s="87"/>
      <c r="C123" s="88"/>
      <c r="D123" s="241"/>
      <c r="E123" s="318"/>
      <c r="F123" s="319"/>
      <c r="G123" s="60"/>
      <c r="H123" s="60"/>
    </row>
    <row r="124" spans="2:17">
      <c r="B124" s="60"/>
      <c r="C124" s="60"/>
      <c r="D124" s="60"/>
      <c r="E124" s="431"/>
      <c r="F124" s="60"/>
      <c r="G124" s="60"/>
      <c r="H124" s="60"/>
    </row>
    <row r="125" spans="2:17">
      <c r="B125" s="85" t="s">
        <v>47</v>
      </c>
      <c r="C125" s="85"/>
      <c r="D125" s="60"/>
      <c r="E125" s="65"/>
      <c r="F125" s="60"/>
      <c r="G125" s="60"/>
      <c r="H125" s="60"/>
    </row>
    <row r="126" spans="2:17">
      <c r="B126" s="85"/>
      <c r="C126" s="85"/>
      <c r="D126" s="60"/>
      <c r="E126" s="65"/>
      <c r="F126" s="60"/>
      <c r="G126" s="60"/>
      <c r="H126" s="60"/>
      <c r="N126" s="363"/>
      <c r="O126" s="363"/>
      <c r="P126" s="363"/>
    </row>
    <row r="127" spans="2:17">
      <c r="B127" s="85" t="s">
        <v>112</v>
      </c>
      <c r="C127" s="85"/>
      <c r="D127" s="60"/>
      <c r="E127" s="60"/>
      <c r="F127" s="60"/>
      <c r="G127" s="60"/>
      <c r="H127" s="60"/>
      <c r="N127" s="363"/>
      <c r="O127" s="363"/>
      <c r="P127" s="363"/>
    </row>
    <row r="128" spans="2:17" ht="12.75" customHeight="1">
      <c r="B128" s="703" t="s">
        <v>113</v>
      </c>
      <c r="C128" s="703"/>
      <c r="D128" s="703"/>
      <c r="E128" s="703"/>
      <c r="F128" s="703"/>
      <c r="G128" s="60"/>
      <c r="H128" s="60"/>
      <c r="N128" s="363"/>
      <c r="O128" s="363"/>
      <c r="P128" s="363"/>
      <c r="Q128" s="363"/>
    </row>
    <row r="129" spans="2:18">
      <c r="B129" s="703"/>
      <c r="C129" s="703"/>
      <c r="D129" s="703"/>
      <c r="E129" s="703"/>
      <c r="F129" s="703"/>
      <c r="G129" s="60"/>
      <c r="H129" s="60"/>
      <c r="N129" s="363"/>
      <c r="O129" s="363"/>
      <c r="P129" s="363"/>
      <c r="Q129" s="363"/>
    </row>
    <row r="130" spans="2:18">
      <c r="B130" s="50"/>
      <c r="C130" s="74"/>
      <c r="D130" s="74"/>
      <c r="E130" s="74"/>
      <c r="F130" s="74"/>
      <c r="G130" s="74"/>
      <c r="H130" s="74"/>
      <c r="L130" s="329"/>
      <c r="M130" s="329"/>
      <c r="N130" s="363"/>
      <c r="O130" s="329"/>
      <c r="P130" s="329"/>
      <c r="Q130" s="329"/>
    </row>
    <row r="131" spans="2:18" ht="25.5">
      <c r="B131" s="141" t="s">
        <v>39</v>
      </c>
      <c r="C131" s="142"/>
      <c r="D131" s="199" t="s">
        <v>653</v>
      </c>
      <c r="E131" s="199" t="s">
        <v>538</v>
      </c>
      <c r="F131" s="136"/>
      <c r="G131" s="138"/>
      <c r="H131" s="60"/>
      <c r="L131" s="329"/>
      <c r="M131" s="329"/>
      <c r="N131" s="363"/>
      <c r="O131" s="329" t="s">
        <v>245</v>
      </c>
      <c r="P131" s="329">
        <v>0</v>
      </c>
      <c r="Q131" s="329"/>
    </row>
    <row r="132" spans="2:18">
      <c r="B132" s="143" t="s">
        <v>585</v>
      </c>
      <c r="C132" s="144"/>
      <c r="D132" s="365">
        <v>3576998.74</v>
      </c>
      <c r="E132" s="365">
        <v>545004.05000000005</v>
      </c>
      <c r="F132" s="136"/>
      <c r="G132" s="138"/>
      <c r="H132" s="60"/>
      <c r="L132" s="329"/>
      <c r="M132" s="329"/>
      <c r="N132" s="363"/>
      <c r="O132" s="329" t="s">
        <v>171</v>
      </c>
      <c r="P132" s="330">
        <v>1496968.43</v>
      </c>
      <c r="Q132" s="329"/>
    </row>
    <row r="133" spans="2:18">
      <c r="B133" s="81" t="s">
        <v>40</v>
      </c>
      <c r="C133" s="82"/>
      <c r="D133" s="366">
        <v>3576998.74</v>
      </c>
      <c r="E133" s="366">
        <v>545004.05000000005</v>
      </c>
      <c r="F133" s="136"/>
      <c r="G133" s="136"/>
      <c r="H133" s="60"/>
      <c r="L133" s="329"/>
      <c r="M133" s="329"/>
      <c r="N133" s="363"/>
      <c r="O133" s="329" t="s">
        <v>60</v>
      </c>
      <c r="P133" s="330">
        <v>17222372.479999997</v>
      </c>
      <c r="Q133" s="329"/>
    </row>
    <row r="134" spans="2:18">
      <c r="B134" s="60"/>
      <c r="C134" s="60"/>
      <c r="D134" s="60"/>
      <c r="E134" s="262"/>
      <c r="F134" s="60"/>
      <c r="G134" s="60"/>
      <c r="H134" s="60"/>
      <c r="L134" s="329"/>
      <c r="M134" s="329"/>
      <c r="N134" s="363"/>
      <c r="O134" s="329"/>
      <c r="P134" s="329">
        <v>18719340.909999996</v>
      </c>
      <c r="Q134" s="329"/>
    </row>
    <row r="135" spans="2:18">
      <c r="L135" s="329"/>
      <c r="M135" s="329" t="s">
        <v>0</v>
      </c>
      <c r="N135" s="363"/>
      <c r="O135" s="329"/>
      <c r="P135" s="330">
        <v>-15249874.399043307</v>
      </c>
      <c r="Q135" s="329"/>
    </row>
    <row r="136" spans="2:18">
      <c r="B136" s="85" t="s">
        <v>48</v>
      </c>
      <c r="C136" s="85"/>
      <c r="D136" s="95"/>
      <c r="E136" s="96"/>
      <c r="F136" s="96"/>
      <c r="G136" s="96"/>
      <c r="H136" s="96"/>
      <c r="I136" s="96"/>
      <c r="J136" s="97"/>
      <c r="K136" s="96"/>
      <c r="L136" s="331"/>
      <c r="M136" s="330">
        <v>33969215.309043303</v>
      </c>
      <c r="N136" s="137"/>
      <c r="O136" s="137"/>
      <c r="P136" s="137"/>
      <c r="Q136" s="363"/>
    </row>
    <row r="137" spans="2:18">
      <c r="B137" s="98" t="s">
        <v>741</v>
      </c>
      <c r="C137" s="99"/>
      <c r="D137" s="96"/>
      <c r="E137" s="96"/>
      <c r="F137" s="326"/>
      <c r="G137" s="96"/>
      <c r="H137" s="96"/>
      <c r="I137" s="96"/>
      <c r="J137" s="97"/>
      <c r="K137" s="96"/>
      <c r="L137" s="331"/>
      <c r="M137" s="331"/>
      <c r="N137" s="331"/>
      <c r="O137" s="331"/>
      <c r="P137" s="331"/>
      <c r="Q137" s="329"/>
    </row>
    <row r="138" spans="2:18">
      <c r="B138" s="85"/>
      <c r="C138" s="85"/>
      <c r="D138" s="96"/>
      <c r="E138" s="96"/>
      <c r="F138" s="96"/>
      <c r="G138" s="96"/>
      <c r="H138" s="96"/>
      <c r="I138" s="96"/>
      <c r="J138" s="97"/>
      <c r="K138" s="96"/>
      <c r="L138" s="101"/>
      <c r="M138" s="162"/>
      <c r="N138" s="96"/>
      <c r="O138" s="102"/>
      <c r="P138" s="96"/>
    </row>
    <row r="139" spans="2:18" ht="62.45" customHeight="1">
      <c r="B139" s="682" t="s">
        <v>49</v>
      </c>
      <c r="C139" s="682" t="s">
        <v>50</v>
      </c>
      <c r="D139" s="682" t="s">
        <v>51</v>
      </c>
      <c r="E139" s="682" t="s">
        <v>52</v>
      </c>
      <c r="F139" s="680" t="s">
        <v>53</v>
      </c>
      <c r="G139" s="680" t="s">
        <v>54</v>
      </c>
      <c r="H139" s="682" t="s">
        <v>55</v>
      </c>
      <c r="I139" s="682" t="s">
        <v>190</v>
      </c>
      <c r="J139" s="680" t="s">
        <v>154</v>
      </c>
      <c r="K139" s="434" t="s">
        <v>587</v>
      </c>
      <c r="L139" s="434" t="s">
        <v>586</v>
      </c>
      <c r="M139" s="434" t="s">
        <v>155</v>
      </c>
      <c r="N139" s="434" t="s">
        <v>156</v>
      </c>
      <c r="O139" s="434" t="s">
        <v>56</v>
      </c>
      <c r="P139" s="434" t="s">
        <v>57</v>
      </c>
      <c r="Q139" s="434" t="s">
        <v>58</v>
      </c>
      <c r="R139" s="434" t="s">
        <v>59</v>
      </c>
    </row>
    <row r="140" spans="2:18">
      <c r="B140" s="683"/>
      <c r="C140" s="683"/>
      <c r="D140" s="683"/>
      <c r="E140" s="683"/>
      <c r="F140" s="681"/>
      <c r="G140" s="681"/>
      <c r="H140" s="683"/>
      <c r="I140" s="683"/>
      <c r="J140" s="681"/>
      <c r="K140" s="435"/>
      <c r="L140" s="435"/>
      <c r="M140" s="435"/>
      <c r="N140" s="436"/>
      <c r="O140" s="435"/>
      <c r="P140" s="435"/>
      <c r="Q140" s="435"/>
      <c r="R140" s="435"/>
    </row>
    <row r="141" spans="2:18">
      <c r="B141" s="668" t="s">
        <v>293</v>
      </c>
      <c r="C141" s="669" t="s">
        <v>357</v>
      </c>
      <c r="D141" s="670" t="s">
        <v>297</v>
      </c>
      <c r="E141" s="670" t="s">
        <v>298</v>
      </c>
      <c r="F141" s="671" t="s">
        <v>352</v>
      </c>
      <c r="G141" s="672" t="s">
        <v>353</v>
      </c>
      <c r="H141" s="672" t="s">
        <v>146</v>
      </c>
      <c r="I141" s="397">
        <v>2</v>
      </c>
      <c r="J141" s="398">
        <v>196609.44</v>
      </c>
      <c r="K141" s="586">
        <v>199999.99830294488</v>
      </c>
      <c r="L141" s="585">
        <v>-2629.6783029448711</v>
      </c>
      <c r="M141" s="398">
        <v>197370.32</v>
      </c>
      <c r="N141" s="398">
        <v>200000</v>
      </c>
      <c r="O141" s="399" t="s">
        <v>695</v>
      </c>
      <c r="P141" s="399">
        <v>5.5233782439991132E-3</v>
      </c>
      <c r="Q141" s="400">
        <v>1</v>
      </c>
      <c r="R141" s="399">
        <v>2.52E-2</v>
      </c>
    </row>
    <row r="142" spans="2:18">
      <c r="B142" s="668" t="s">
        <v>293</v>
      </c>
      <c r="C142" s="669" t="s">
        <v>295</v>
      </c>
      <c r="D142" s="670" t="s">
        <v>297</v>
      </c>
      <c r="E142" s="670" t="s">
        <v>298</v>
      </c>
      <c r="F142" s="671" t="s">
        <v>354</v>
      </c>
      <c r="G142" s="672" t="s">
        <v>218</v>
      </c>
      <c r="H142" s="672" t="s">
        <v>146</v>
      </c>
      <c r="I142" s="397">
        <v>1</v>
      </c>
      <c r="J142" s="398">
        <v>203447.54</v>
      </c>
      <c r="K142" s="586">
        <v>203821.13</v>
      </c>
      <c r="L142" s="584">
        <v>0</v>
      </c>
      <c r="M142" s="398">
        <v>203821.13</v>
      </c>
      <c r="N142" s="398">
        <v>200000</v>
      </c>
      <c r="O142" s="399" t="s">
        <v>696</v>
      </c>
      <c r="P142" s="399">
        <v>5.7039031760667712E-3</v>
      </c>
      <c r="Q142" s="400">
        <v>1</v>
      </c>
      <c r="R142" s="399">
        <v>0.29320000000000002</v>
      </c>
    </row>
    <row r="143" spans="2:18">
      <c r="B143" s="668" t="s">
        <v>293</v>
      </c>
      <c r="C143" s="669" t="s">
        <v>296</v>
      </c>
      <c r="D143" s="670" t="s">
        <v>297</v>
      </c>
      <c r="E143" s="670" t="s">
        <v>298</v>
      </c>
      <c r="F143" s="671" t="s">
        <v>356</v>
      </c>
      <c r="G143" s="672" t="s">
        <v>355</v>
      </c>
      <c r="H143" s="672" t="s">
        <v>146</v>
      </c>
      <c r="I143" s="397">
        <v>3</v>
      </c>
      <c r="J143" s="398">
        <v>150264.9</v>
      </c>
      <c r="K143" s="586">
        <v>150296.6</v>
      </c>
      <c r="L143" s="584">
        <v>0</v>
      </c>
      <c r="M143" s="398">
        <v>150296.6</v>
      </c>
      <c r="N143" s="398">
        <v>150000</v>
      </c>
      <c r="O143" s="399" t="s">
        <v>697</v>
      </c>
      <c r="P143" s="399">
        <v>4.2060273833828569E-3</v>
      </c>
      <c r="Q143" s="400">
        <v>1</v>
      </c>
      <c r="R143" s="399">
        <v>4.3799999999999999E-2</v>
      </c>
    </row>
    <row r="144" spans="2:18">
      <c r="B144" s="668" t="s">
        <v>293</v>
      </c>
      <c r="C144" s="669" t="s">
        <v>358</v>
      </c>
      <c r="D144" s="670" t="s">
        <v>297</v>
      </c>
      <c r="E144" s="670" t="s">
        <v>298</v>
      </c>
      <c r="F144" s="671" t="s">
        <v>380</v>
      </c>
      <c r="G144" s="672" t="s">
        <v>381</v>
      </c>
      <c r="H144" s="672" t="s">
        <v>146</v>
      </c>
      <c r="I144" s="397">
        <v>1</v>
      </c>
      <c r="J144" s="398">
        <v>389265.1</v>
      </c>
      <c r="K144" s="586">
        <v>414573.23164619115</v>
      </c>
      <c r="L144" s="585">
        <v>-199.34164619114236</v>
      </c>
      <c r="M144" s="398">
        <v>414373.89</v>
      </c>
      <c r="N144" s="398">
        <v>380000</v>
      </c>
      <c r="O144" s="399" t="s">
        <v>698</v>
      </c>
      <c r="P144" s="399">
        <v>1.1596189988987614E-2</v>
      </c>
      <c r="Q144" s="400">
        <v>1</v>
      </c>
      <c r="R144" s="399">
        <v>2.58E-2</v>
      </c>
    </row>
    <row r="145" spans="2:18">
      <c r="B145" s="668" t="s">
        <v>293</v>
      </c>
      <c r="C145" s="669" t="s">
        <v>295</v>
      </c>
      <c r="D145" s="670" t="s">
        <v>297</v>
      </c>
      <c r="E145" s="670" t="s">
        <v>298</v>
      </c>
      <c r="F145" s="671" t="s">
        <v>382</v>
      </c>
      <c r="G145" s="672" t="s">
        <v>218</v>
      </c>
      <c r="H145" s="672" t="s">
        <v>146</v>
      </c>
      <c r="I145" s="397">
        <v>1</v>
      </c>
      <c r="J145" s="398">
        <v>204355</v>
      </c>
      <c r="K145" s="586">
        <v>203821.18</v>
      </c>
      <c r="L145" s="584">
        <v>0</v>
      </c>
      <c r="M145" s="398">
        <v>203821.18</v>
      </c>
      <c r="N145" s="398">
        <v>200000</v>
      </c>
      <c r="O145" s="399" t="s">
        <v>696</v>
      </c>
      <c r="P145" s="399">
        <v>5.7039045753091303E-3</v>
      </c>
      <c r="Q145" s="400">
        <v>1</v>
      </c>
      <c r="R145" s="399">
        <v>0.29320000000000002</v>
      </c>
    </row>
    <row r="146" spans="2:18">
      <c r="B146" s="668" t="s">
        <v>293</v>
      </c>
      <c r="C146" s="669" t="s">
        <v>295</v>
      </c>
      <c r="D146" s="670" t="s">
        <v>297</v>
      </c>
      <c r="E146" s="670" t="s">
        <v>298</v>
      </c>
      <c r="F146" s="671" t="s">
        <v>383</v>
      </c>
      <c r="G146" s="672" t="s">
        <v>384</v>
      </c>
      <c r="H146" s="672" t="s">
        <v>146</v>
      </c>
      <c r="I146" s="397">
        <v>3</v>
      </c>
      <c r="J146" s="398">
        <v>614539.47</v>
      </c>
      <c r="K146" s="586">
        <v>611300.99</v>
      </c>
      <c r="L146" s="584">
        <v>0</v>
      </c>
      <c r="M146" s="398">
        <v>611300.99</v>
      </c>
      <c r="N146" s="398">
        <v>600000</v>
      </c>
      <c r="O146" s="399" t="s">
        <v>696</v>
      </c>
      <c r="P146" s="399">
        <v>1.7107164789017516E-2</v>
      </c>
      <c r="Q146" s="400">
        <v>1</v>
      </c>
      <c r="R146" s="399">
        <v>0.29320000000000002</v>
      </c>
    </row>
    <row r="147" spans="2:18">
      <c r="B147" s="668" t="s">
        <v>293</v>
      </c>
      <c r="C147" s="669" t="s">
        <v>295</v>
      </c>
      <c r="D147" s="670" t="s">
        <v>297</v>
      </c>
      <c r="E147" s="670" t="s">
        <v>298</v>
      </c>
      <c r="F147" s="671" t="s">
        <v>385</v>
      </c>
      <c r="G147" s="672" t="s">
        <v>384</v>
      </c>
      <c r="H147" s="672" t="s">
        <v>146</v>
      </c>
      <c r="I147" s="397">
        <v>2</v>
      </c>
      <c r="J147" s="398">
        <v>409973.94</v>
      </c>
      <c r="K147" s="586">
        <v>407533.99</v>
      </c>
      <c r="L147" s="584">
        <v>0</v>
      </c>
      <c r="M147" s="398">
        <v>407533.99</v>
      </c>
      <c r="N147" s="398">
        <v>400000</v>
      </c>
      <c r="O147" s="399" t="s">
        <v>696</v>
      </c>
      <c r="P147" s="399">
        <v>1.1404776432728853E-2</v>
      </c>
      <c r="Q147" s="400">
        <v>1</v>
      </c>
      <c r="R147" s="399">
        <v>0.29320000000000002</v>
      </c>
    </row>
    <row r="148" spans="2:18">
      <c r="B148" s="668" t="s">
        <v>293</v>
      </c>
      <c r="C148" s="669" t="s">
        <v>295</v>
      </c>
      <c r="D148" s="670" t="s">
        <v>297</v>
      </c>
      <c r="E148" s="670" t="s">
        <v>298</v>
      </c>
      <c r="F148" s="671" t="s">
        <v>386</v>
      </c>
      <c r="G148" s="672" t="s">
        <v>384</v>
      </c>
      <c r="H148" s="672" t="s">
        <v>146</v>
      </c>
      <c r="I148" s="397">
        <v>1</v>
      </c>
      <c r="J148" s="398">
        <v>205268.21</v>
      </c>
      <c r="K148" s="586">
        <v>203766.99</v>
      </c>
      <c r="L148" s="584">
        <v>0</v>
      </c>
      <c r="M148" s="398">
        <v>203766.99</v>
      </c>
      <c r="N148" s="398">
        <v>200000</v>
      </c>
      <c r="O148" s="399" t="s">
        <v>696</v>
      </c>
      <c r="P148" s="399">
        <v>5.7023880764401902E-3</v>
      </c>
      <c r="Q148" s="400">
        <v>1</v>
      </c>
      <c r="R148" s="399">
        <v>0.29320000000000002</v>
      </c>
    </row>
    <row r="149" spans="2:18">
      <c r="B149" s="668" t="s">
        <v>293</v>
      </c>
      <c r="C149" s="669" t="s">
        <v>408</v>
      </c>
      <c r="D149" s="670" t="s">
        <v>297</v>
      </c>
      <c r="E149" s="670" t="s">
        <v>298</v>
      </c>
      <c r="F149" s="671" t="s">
        <v>387</v>
      </c>
      <c r="G149" s="672" t="s">
        <v>388</v>
      </c>
      <c r="H149" s="672" t="s">
        <v>146</v>
      </c>
      <c r="I149" s="397">
        <v>5</v>
      </c>
      <c r="J149" s="398">
        <v>498810</v>
      </c>
      <c r="K149" s="586">
        <v>513089.04610912042</v>
      </c>
      <c r="L149" s="585">
        <v>-969.16610912040073</v>
      </c>
      <c r="M149" s="398">
        <v>512119.88</v>
      </c>
      <c r="N149" s="398">
        <v>500000</v>
      </c>
      <c r="O149" s="399" t="s">
        <v>698</v>
      </c>
      <c r="P149" s="399">
        <v>1.4331596582056697E-2</v>
      </c>
      <c r="Q149" s="400">
        <v>1</v>
      </c>
      <c r="R149" s="399">
        <v>0.04</v>
      </c>
    </row>
    <row r="150" spans="2:18">
      <c r="B150" s="668" t="s">
        <v>293</v>
      </c>
      <c r="C150" s="669" t="s">
        <v>409</v>
      </c>
      <c r="D150" s="670" t="s">
        <v>297</v>
      </c>
      <c r="E150" s="670" t="s">
        <v>298</v>
      </c>
      <c r="F150" s="671" t="s">
        <v>387</v>
      </c>
      <c r="G150" s="672" t="s">
        <v>389</v>
      </c>
      <c r="H150" s="672" t="s">
        <v>146</v>
      </c>
      <c r="I150" s="397">
        <v>1</v>
      </c>
      <c r="J150" s="398">
        <v>56407.81</v>
      </c>
      <c r="K150" s="586">
        <v>55309.77</v>
      </c>
      <c r="L150" s="584">
        <v>0</v>
      </c>
      <c r="M150" s="398">
        <v>55309.77</v>
      </c>
      <c r="N150" s="398">
        <v>54000</v>
      </c>
      <c r="O150" s="399" t="s">
        <v>699</v>
      </c>
      <c r="P150" s="399">
        <v>1.5478354612719623E-3</v>
      </c>
      <c r="Q150" s="400">
        <v>1</v>
      </c>
      <c r="R150" s="399">
        <v>1.547835461271962E-3</v>
      </c>
    </row>
    <row r="151" spans="2:18">
      <c r="B151" s="673" t="s">
        <v>293</v>
      </c>
      <c r="C151" s="669" t="s">
        <v>295</v>
      </c>
      <c r="D151" s="670" t="s">
        <v>297</v>
      </c>
      <c r="E151" s="670" t="s">
        <v>298</v>
      </c>
      <c r="F151" s="674" t="s">
        <v>390</v>
      </c>
      <c r="G151" s="675" t="s">
        <v>384</v>
      </c>
      <c r="H151" s="675" t="s">
        <v>146</v>
      </c>
      <c r="I151" s="321">
        <v>1</v>
      </c>
      <c r="J151" s="241">
        <v>205761.32</v>
      </c>
      <c r="K151" s="586">
        <v>203766.99</v>
      </c>
      <c r="L151" s="584">
        <v>0</v>
      </c>
      <c r="M151" s="241">
        <v>203766.99</v>
      </c>
      <c r="N151" s="241">
        <v>200000</v>
      </c>
      <c r="O151" s="399" t="s">
        <v>696</v>
      </c>
      <c r="P151" s="80">
        <v>5.7023880764401902E-3</v>
      </c>
      <c r="Q151" s="400">
        <v>1</v>
      </c>
      <c r="R151" s="399">
        <v>0.29320000000000002</v>
      </c>
    </row>
    <row r="152" spans="2:18">
      <c r="B152" s="673" t="s">
        <v>293</v>
      </c>
      <c r="C152" s="669" t="s">
        <v>295</v>
      </c>
      <c r="D152" s="670" t="s">
        <v>297</v>
      </c>
      <c r="E152" s="670" t="s">
        <v>298</v>
      </c>
      <c r="F152" s="674" t="s">
        <v>391</v>
      </c>
      <c r="G152" s="675" t="s">
        <v>218</v>
      </c>
      <c r="H152" s="675" t="s">
        <v>146</v>
      </c>
      <c r="I152" s="321">
        <v>1</v>
      </c>
      <c r="J152" s="241">
        <v>205866.39</v>
      </c>
      <c r="K152" s="586">
        <v>203822.31</v>
      </c>
      <c r="L152" s="584">
        <v>0</v>
      </c>
      <c r="M152" s="241">
        <v>203822.31</v>
      </c>
      <c r="N152" s="241">
        <v>200000</v>
      </c>
      <c r="O152" s="399" t="s">
        <v>696</v>
      </c>
      <c r="P152" s="80">
        <v>5.7039361981864488E-3</v>
      </c>
      <c r="Q152" s="400">
        <v>1</v>
      </c>
      <c r="R152" s="399">
        <v>0.29320000000000002</v>
      </c>
    </row>
    <row r="153" spans="2:18">
      <c r="B153" s="673" t="s">
        <v>293</v>
      </c>
      <c r="C153" s="669" t="s">
        <v>295</v>
      </c>
      <c r="D153" s="670" t="s">
        <v>297</v>
      </c>
      <c r="E153" s="670" t="s">
        <v>298</v>
      </c>
      <c r="F153" s="674" t="s">
        <v>392</v>
      </c>
      <c r="G153" s="675" t="s">
        <v>393</v>
      </c>
      <c r="H153" s="675" t="s">
        <v>146</v>
      </c>
      <c r="I153" s="321">
        <v>8</v>
      </c>
      <c r="J153" s="241">
        <v>801888.96</v>
      </c>
      <c r="K153" s="586">
        <v>805309.34</v>
      </c>
      <c r="L153" s="584">
        <v>0</v>
      </c>
      <c r="M153" s="241">
        <v>805309.34</v>
      </c>
      <c r="N153" s="241">
        <v>800000</v>
      </c>
      <c r="O153" s="399" t="s">
        <v>698</v>
      </c>
      <c r="P153" s="80">
        <v>2.2536458816327015E-2</v>
      </c>
      <c r="Q153" s="400">
        <v>1</v>
      </c>
      <c r="R153" s="399">
        <v>0.29320000000000002</v>
      </c>
    </row>
    <row r="154" spans="2:18">
      <c r="B154" s="668" t="s">
        <v>293</v>
      </c>
      <c r="C154" s="669" t="s">
        <v>295</v>
      </c>
      <c r="D154" s="670" t="s">
        <v>297</v>
      </c>
      <c r="E154" s="670" t="s">
        <v>298</v>
      </c>
      <c r="F154" s="671" t="s">
        <v>394</v>
      </c>
      <c r="G154" s="672" t="s">
        <v>629</v>
      </c>
      <c r="H154" s="672" t="s">
        <v>146</v>
      </c>
      <c r="I154" s="397">
        <v>8</v>
      </c>
      <c r="J154" s="398">
        <v>801100.16</v>
      </c>
      <c r="K154" s="586">
        <v>804361.96</v>
      </c>
      <c r="L154" s="584">
        <v>0</v>
      </c>
      <c r="M154" s="398">
        <v>804361.96</v>
      </c>
      <c r="N154" s="398">
        <v>800000</v>
      </c>
      <c r="O154" s="399" t="s">
        <v>698</v>
      </c>
      <c r="P154" s="399">
        <v>2.2509946531801158E-2</v>
      </c>
      <c r="Q154" s="400">
        <v>1</v>
      </c>
      <c r="R154" s="399">
        <v>0.29320000000000002</v>
      </c>
    </row>
    <row r="155" spans="2:18">
      <c r="B155" s="668" t="s">
        <v>293</v>
      </c>
      <c r="C155" s="669" t="s">
        <v>410</v>
      </c>
      <c r="D155" s="670" t="s">
        <v>297</v>
      </c>
      <c r="E155" s="670" t="s">
        <v>298</v>
      </c>
      <c r="F155" s="671" t="s">
        <v>395</v>
      </c>
      <c r="G155" s="672" t="s">
        <v>396</v>
      </c>
      <c r="H155" s="672" t="s">
        <v>146</v>
      </c>
      <c r="I155" s="397">
        <v>1</v>
      </c>
      <c r="J155" s="398">
        <v>50631.72</v>
      </c>
      <c r="K155" s="586">
        <v>50664.511884204316</v>
      </c>
      <c r="L155" s="585">
        <v>-503.17188420431756</v>
      </c>
      <c r="M155" s="398">
        <v>50161.34</v>
      </c>
      <c r="N155" s="398">
        <v>50000</v>
      </c>
      <c r="O155" s="399" t="s">
        <v>700</v>
      </c>
      <c r="P155" s="399">
        <v>1.4037574344807388E-3</v>
      </c>
      <c r="Q155" s="400">
        <v>1</v>
      </c>
      <c r="R155" s="399">
        <v>4.2200000000000001E-2</v>
      </c>
    </row>
    <row r="156" spans="2:18">
      <c r="B156" s="668" t="s">
        <v>293</v>
      </c>
      <c r="C156" s="669" t="s">
        <v>357</v>
      </c>
      <c r="D156" s="670" t="s">
        <v>297</v>
      </c>
      <c r="E156" s="670" t="s">
        <v>298</v>
      </c>
      <c r="F156" s="671" t="s">
        <v>397</v>
      </c>
      <c r="G156" s="672" t="s">
        <v>398</v>
      </c>
      <c r="H156" s="672" t="s">
        <v>146</v>
      </c>
      <c r="I156" s="397">
        <v>5</v>
      </c>
      <c r="J156" s="398">
        <v>499570.2</v>
      </c>
      <c r="K156" s="586">
        <v>501513.98640357197</v>
      </c>
      <c r="L156" s="585">
        <v>-57.616403571991711</v>
      </c>
      <c r="M156" s="398">
        <v>501456.37</v>
      </c>
      <c r="N156" s="398">
        <v>500000</v>
      </c>
      <c r="O156" s="399" t="s">
        <v>698</v>
      </c>
      <c r="P156" s="399">
        <v>1.4033179884253972E-2</v>
      </c>
      <c r="Q156" s="400">
        <v>1</v>
      </c>
      <c r="R156" s="399">
        <v>2.52E-2</v>
      </c>
    </row>
    <row r="157" spans="2:18">
      <c r="B157" s="668" t="s">
        <v>293</v>
      </c>
      <c r="C157" s="669" t="s">
        <v>408</v>
      </c>
      <c r="D157" s="670" t="s">
        <v>297</v>
      </c>
      <c r="E157" s="670" t="s">
        <v>298</v>
      </c>
      <c r="F157" s="671" t="s">
        <v>406</v>
      </c>
      <c r="G157" s="672" t="s">
        <v>541</v>
      </c>
      <c r="H157" s="672" t="s">
        <v>146</v>
      </c>
      <c r="I157" s="397">
        <v>4</v>
      </c>
      <c r="J157" s="398">
        <v>402601.88</v>
      </c>
      <c r="K157" s="586">
        <v>402315.97</v>
      </c>
      <c r="L157" s="584">
        <v>0</v>
      </c>
      <c r="M157" s="398">
        <v>402315.97</v>
      </c>
      <c r="N157" s="398">
        <v>400000</v>
      </c>
      <c r="O157" s="399" t="s">
        <v>698</v>
      </c>
      <c r="P157" s="399">
        <v>1.1258750940422044E-2</v>
      </c>
      <c r="Q157" s="400">
        <v>1</v>
      </c>
      <c r="R157" s="399">
        <v>0.04</v>
      </c>
    </row>
    <row r="158" spans="2:18">
      <c r="B158" s="668" t="s">
        <v>293</v>
      </c>
      <c r="C158" s="669" t="s">
        <v>410</v>
      </c>
      <c r="D158" s="670" t="s">
        <v>297</v>
      </c>
      <c r="E158" s="670" t="s">
        <v>298</v>
      </c>
      <c r="F158" s="671" t="s">
        <v>542</v>
      </c>
      <c r="G158" s="672" t="s">
        <v>543</v>
      </c>
      <c r="H158" s="672" t="s">
        <v>146</v>
      </c>
      <c r="I158" s="397">
        <v>2</v>
      </c>
      <c r="J158" s="398">
        <v>502072.62</v>
      </c>
      <c r="K158" s="586">
        <v>503889.07</v>
      </c>
      <c r="L158" s="584">
        <v>0</v>
      </c>
      <c r="M158" s="398">
        <v>503889.07</v>
      </c>
      <c r="N158" s="398">
        <v>500000</v>
      </c>
      <c r="O158" s="399" t="s">
        <v>698</v>
      </c>
      <c r="P158" s="399">
        <v>1.4101258622000238E-2</v>
      </c>
      <c r="Q158" s="400">
        <v>1</v>
      </c>
      <c r="R158" s="399">
        <v>4.2200000000000001E-2</v>
      </c>
    </row>
    <row r="159" spans="2:18">
      <c r="B159" s="668" t="s">
        <v>293</v>
      </c>
      <c r="C159" s="669" t="s">
        <v>410</v>
      </c>
      <c r="D159" s="670" t="s">
        <v>297</v>
      </c>
      <c r="E159" s="670" t="s">
        <v>298</v>
      </c>
      <c r="F159" s="671" t="s">
        <v>544</v>
      </c>
      <c r="G159" s="672" t="s">
        <v>543</v>
      </c>
      <c r="H159" s="672" t="s">
        <v>146</v>
      </c>
      <c r="I159" s="397">
        <v>2</v>
      </c>
      <c r="J159" s="398">
        <v>502153.36</v>
      </c>
      <c r="K159" s="586">
        <v>503883.95</v>
      </c>
      <c r="L159" s="584">
        <v>0</v>
      </c>
      <c r="M159" s="398">
        <v>503883.95</v>
      </c>
      <c r="N159" s="398">
        <v>500000</v>
      </c>
      <c r="O159" s="399" t="s">
        <v>698</v>
      </c>
      <c r="P159" s="399">
        <v>1.4101115339582653E-2</v>
      </c>
      <c r="Q159" s="400">
        <v>1</v>
      </c>
      <c r="R159" s="399">
        <v>4.2200000000000001E-2</v>
      </c>
    </row>
    <row r="160" spans="2:18">
      <c r="B160" s="668" t="s">
        <v>293</v>
      </c>
      <c r="C160" s="669" t="s">
        <v>295</v>
      </c>
      <c r="D160" s="670" t="s">
        <v>297</v>
      </c>
      <c r="E160" s="670" t="s">
        <v>298</v>
      </c>
      <c r="F160" s="671" t="s">
        <v>545</v>
      </c>
      <c r="G160" s="672" t="s">
        <v>218</v>
      </c>
      <c r="H160" s="672" t="s">
        <v>146</v>
      </c>
      <c r="I160" s="397">
        <v>1</v>
      </c>
      <c r="J160" s="398">
        <v>201246.86</v>
      </c>
      <c r="K160" s="586">
        <v>203822.31</v>
      </c>
      <c r="L160" s="584">
        <v>0</v>
      </c>
      <c r="M160" s="398">
        <v>203822.31</v>
      </c>
      <c r="N160" s="398">
        <v>200000</v>
      </c>
      <c r="O160" s="399" t="s">
        <v>696</v>
      </c>
      <c r="P160" s="399">
        <v>5.7039361981864488E-3</v>
      </c>
      <c r="Q160" s="400">
        <v>1</v>
      </c>
      <c r="R160" s="399">
        <v>0.29320000000000002</v>
      </c>
    </row>
    <row r="161" spans="2:18">
      <c r="B161" s="668" t="s">
        <v>293</v>
      </c>
      <c r="C161" s="669" t="s">
        <v>295</v>
      </c>
      <c r="D161" s="670" t="s">
        <v>297</v>
      </c>
      <c r="E161" s="670" t="s">
        <v>298</v>
      </c>
      <c r="F161" s="671" t="s">
        <v>546</v>
      </c>
      <c r="G161" s="672" t="s">
        <v>547</v>
      </c>
      <c r="H161" s="672" t="s">
        <v>146</v>
      </c>
      <c r="I161" s="397">
        <v>1</v>
      </c>
      <c r="J161" s="398">
        <v>101116.79</v>
      </c>
      <c r="K161" s="586">
        <v>100746.95</v>
      </c>
      <c r="L161" s="584">
        <v>0</v>
      </c>
      <c r="M161" s="398">
        <v>100746.95</v>
      </c>
      <c r="N161" s="398">
        <v>100000</v>
      </c>
      <c r="O161" s="399" t="s">
        <v>701</v>
      </c>
      <c r="P161" s="399">
        <v>2.8193880000765385E-3</v>
      </c>
      <c r="Q161" s="400">
        <v>1</v>
      </c>
      <c r="R161" s="399">
        <v>0.29320000000000002</v>
      </c>
    </row>
    <row r="162" spans="2:18">
      <c r="B162" s="668" t="s">
        <v>293</v>
      </c>
      <c r="C162" s="669" t="s">
        <v>295</v>
      </c>
      <c r="D162" s="670" t="s">
        <v>297</v>
      </c>
      <c r="E162" s="670" t="s">
        <v>298</v>
      </c>
      <c r="F162" s="671" t="s">
        <v>546</v>
      </c>
      <c r="G162" s="672" t="s">
        <v>218</v>
      </c>
      <c r="H162" s="672" t="s">
        <v>146</v>
      </c>
      <c r="I162" s="397">
        <v>1</v>
      </c>
      <c r="J162" s="398">
        <v>201281.3</v>
      </c>
      <c r="K162" s="586">
        <v>203822.3</v>
      </c>
      <c r="L162" s="584">
        <v>0</v>
      </c>
      <c r="M162" s="398">
        <v>203822.3</v>
      </c>
      <c r="N162" s="398">
        <v>200000</v>
      </c>
      <c r="O162" s="399" t="s">
        <v>696</v>
      </c>
      <c r="P162" s="399">
        <v>5.7039359183379771E-3</v>
      </c>
      <c r="Q162" s="400">
        <v>1</v>
      </c>
      <c r="R162" s="399">
        <v>0.29320000000000002</v>
      </c>
    </row>
    <row r="163" spans="2:18">
      <c r="B163" s="668" t="s">
        <v>293</v>
      </c>
      <c r="C163" s="669" t="s">
        <v>407</v>
      </c>
      <c r="D163" s="670" t="s">
        <v>297</v>
      </c>
      <c r="E163" s="670" t="s">
        <v>298</v>
      </c>
      <c r="F163" s="671" t="s">
        <v>548</v>
      </c>
      <c r="G163" s="672" t="s">
        <v>549</v>
      </c>
      <c r="H163" s="672" t="s">
        <v>146</v>
      </c>
      <c r="I163" s="397">
        <v>4</v>
      </c>
      <c r="J163" s="398">
        <v>101247.08</v>
      </c>
      <c r="K163" s="586">
        <v>100616.33</v>
      </c>
      <c r="L163" s="584">
        <v>0</v>
      </c>
      <c r="M163" s="398">
        <v>100616.33</v>
      </c>
      <c r="N163" s="398">
        <v>100000</v>
      </c>
      <c r="O163" s="399" t="s">
        <v>702</v>
      </c>
      <c r="P163" s="399">
        <v>2.8157326193372707E-3</v>
      </c>
      <c r="Q163" s="400">
        <v>1</v>
      </c>
      <c r="R163" s="399">
        <v>9.0399999999999994E-2</v>
      </c>
    </row>
    <row r="164" spans="2:18">
      <c r="B164" s="673" t="s">
        <v>293</v>
      </c>
      <c r="C164" s="669" t="s">
        <v>296</v>
      </c>
      <c r="D164" s="670" t="s">
        <v>297</v>
      </c>
      <c r="E164" s="670" t="s">
        <v>298</v>
      </c>
      <c r="F164" s="674" t="s">
        <v>550</v>
      </c>
      <c r="G164" s="675" t="s">
        <v>551</v>
      </c>
      <c r="H164" s="675" t="s">
        <v>146</v>
      </c>
      <c r="I164" s="321">
        <v>10</v>
      </c>
      <c r="J164" s="241">
        <v>506604.9</v>
      </c>
      <c r="K164" s="586">
        <v>503682.33</v>
      </c>
      <c r="L164" s="584">
        <v>0</v>
      </c>
      <c r="M164" s="241">
        <v>503682.33</v>
      </c>
      <c r="N164" s="241">
        <v>500000</v>
      </c>
      <c r="O164" s="399" t="s">
        <v>700</v>
      </c>
      <c r="P164" s="80">
        <v>1.409547303469327E-2</v>
      </c>
      <c r="Q164" s="400">
        <v>1</v>
      </c>
      <c r="R164" s="399">
        <v>4.3799999999999999E-2</v>
      </c>
    </row>
    <row r="165" spans="2:18">
      <c r="B165" s="673" t="s">
        <v>293</v>
      </c>
      <c r="C165" s="669" t="s">
        <v>296</v>
      </c>
      <c r="D165" s="670" t="s">
        <v>297</v>
      </c>
      <c r="E165" s="670" t="s">
        <v>298</v>
      </c>
      <c r="F165" s="674" t="s">
        <v>552</v>
      </c>
      <c r="G165" s="675" t="s">
        <v>554</v>
      </c>
      <c r="H165" s="675" t="s">
        <v>146</v>
      </c>
      <c r="I165" s="321">
        <v>2</v>
      </c>
      <c r="J165" s="241">
        <v>100729.74</v>
      </c>
      <c r="K165" s="586">
        <v>100237.79306813398</v>
      </c>
      <c r="L165" s="585">
        <v>-1.8230681339770349</v>
      </c>
      <c r="M165" s="241">
        <v>100235.97</v>
      </c>
      <c r="N165" s="241">
        <v>100000</v>
      </c>
      <c r="O165" s="399" t="s">
        <v>703</v>
      </c>
      <c r="P165" s="80">
        <v>2.8050883028620907E-3</v>
      </c>
      <c r="Q165" s="400">
        <v>1</v>
      </c>
      <c r="R165" s="399">
        <v>4.3799999999999999E-2</v>
      </c>
    </row>
    <row r="166" spans="2:18">
      <c r="B166" s="673" t="s">
        <v>293</v>
      </c>
      <c r="C166" s="669" t="s">
        <v>296</v>
      </c>
      <c r="D166" s="670" t="s">
        <v>297</v>
      </c>
      <c r="E166" s="670" t="s">
        <v>298</v>
      </c>
      <c r="F166" s="674" t="s">
        <v>552</v>
      </c>
      <c r="G166" s="675" t="s">
        <v>553</v>
      </c>
      <c r="H166" s="675" t="s">
        <v>146</v>
      </c>
      <c r="I166" s="321">
        <v>5</v>
      </c>
      <c r="J166" s="241">
        <v>501921.1</v>
      </c>
      <c r="K166" s="586">
        <v>507041.53</v>
      </c>
      <c r="L166" s="584">
        <v>0</v>
      </c>
      <c r="M166" s="241">
        <v>507041.53</v>
      </c>
      <c r="N166" s="241">
        <v>500000</v>
      </c>
      <c r="O166" s="399" t="s">
        <v>700</v>
      </c>
      <c r="P166" s="80">
        <v>1.4189479733356179E-2</v>
      </c>
      <c r="Q166" s="400">
        <v>1</v>
      </c>
      <c r="R166" s="399">
        <v>4.3799999999999999E-2</v>
      </c>
    </row>
    <row r="167" spans="2:18">
      <c r="B167" s="668" t="s">
        <v>293</v>
      </c>
      <c r="C167" s="669" t="s">
        <v>410</v>
      </c>
      <c r="D167" s="670" t="s">
        <v>297</v>
      </c>
      <c r="E167" s="670" t="s">
        <v>298</v>
      </c>
      <c r="F167" s="671" t="s">
        <v>555</v>
      </c>
      <c r="G167" s="672" t="s">
        <v>556</v>
      </c>
      <c r="H167" s="672" t="s">
        <v>146</v>
      </c>
      <c r="I167" s="397">
        <v>1</v>
      </c>
      <c r="J167" s="398">
        <v>151057.04999999999</v>
      </c>
      <c r="K167" s="586">
        <v>150328.56342467808</v>
      </c>
      <c r="L167" s="585">
        <v>-3.1934246780940256</v>
      </c>
      <c r="M167" s="398">
        <v>150325.37</v>
      </c>
      <c r="N167" s="398">
        <v>150000</v>
      </c>
      <c r="O167" s="399" t="s">
        <v>704</v>
      </c>
      <c r="P167" s="399">
        <v>4.2068325074363609E-3</v>
      </c>
      <c r="Q167" s="400">
        <v>1</v>
      </c>
      <c r="R167" s="399">
        <v>4.2200000000000001E-2</v>
      </c>
    </row>
    <row r="168" spans="2:18">
      <c r="B168" s="668" t="s">
        <v>293</v>
      </c>
      <c r="C168" s="669" t="s">
        <v>410</v>
      </c>
      <c r="D168" s="670" t="s">
        <v>297</v>
      </c>
      <c r="E168" s="670" t="s">
        <v>298</v>
      </c>
      <c r="F168" s="671" t="s">
        <v>557</v>
      </c>
      <c r="G168" s="672" t="s">
        <v>556</v>
      </c>
      <c r="H168" s="672" t="s">
        <v>146</v>
      </c>
      <c r="I168" s="397">
        <v>2</v>
      </c>
      <c r="J168" s="398">
        <v>302325.2</v>
      </c>
      <c r="K168" s="586">
        <v>300657.12941679516</v>
      </c>
      <c r="L168" s="585">
        <v>-1.5394167951043869</v>
      </c>
      <c r="M168" s="398">
        <v>300655.59000000003</v>
      </c>
      <c r="N168" s="398">
        <v>300000</v>
      </c>
      <c r="O168" s="399" t="s">
        <v>704</v>
      </c>
      <c r="P168" s="399">
        <v>8.413800741381568E-3</v>
      </c>
      <c r="Q168" s="400">
        <v>1</v>
      </c>
      <c r="R168" s="399">
        <v>4.2200000000000001E-2</v>
      </c>
    </row>
    <row r="169" spans="2:18">
      <c r="B169" s="668" t="s">
        <v>293</v>
      </c>
      <c r="C169" s="669" t="s">
        <v>295</v>
      </c>
      <c r="D169" s="670" t="s">
        <v>297</v>
      </c>
      <c r="E169" s="670" t="s">
        <v>298</v>
      </c>
      <c r="F169" s="671" t="s">
        <v>559</v>
      </c>
      <c r="G169" s="672" t="s">
        <v>558</v>
      </c>
      <c r="H169" s="672" t="s">
        <v>146</v>
      </c>
      <c r="I169" s="397">
        <v>4</v>
      </c>
      <c r="J169" s="398">
        <v>1004425.52</v>
      </c>
      <c r="K169" s="586">
        <v>1004273.9761878001</v>
      </c>
      <c r="L169" s="585">
        <v>-28.956187800077693</v>
      </c>
      <c r="M169" s="398">
        <v>1004245.02</v>
      </c>
      <c r="N169" s="398">
        <v>1000000</v>
      </c>
      <c r="O169" s="399" t="s">
        <v>698</v>
      </c>
      <c r="P169" s="399">
        <v>2.8103643420715203E-2</v>
      </c>
      <c r="Q169" s="400">
        <v>1</v>
      </c>
      <c r="R169" s="399">
        <v>0.29320000000000002</v>
      </c>
    </row>
    <row r="170" spans="2:18">
      <c r="B170" s="668" t="s">
        <v>293</v>
      </c>
      <c r="C170" s="669" t="s">
        <v>295</v>
      </c>
      <c r="D170" s="670" t="s">
        <v>297</v>
      </c>
      <c r="E170" s="670" t="s">
        <v>298</v>
      </c>
      <c r="F170" s="671" t="s">
        <v>559</v>
      </c>
      <c r="G170" s="672" t="s">
        <v>218</v>
      </c>
      <c r="H170" s="672" t="s">
        <v>146</v>
      </c>
      <c r="I170" s="397">
        <v>3</v>
      </c>
      <c r="J170" s="398">
        <v>305075.13</v>
      </c>
      <c r="K170" s="586">
        <v>314238.90781859669</v>
      </c>
      <c r="L170" s="585">
        <v>-80.227818596678716</v>
      </c>
      <c r="M170" s="398">
        <v>314158.68</v>
      </c>
      <c r="N170" s="398">
        <v>300000</v>
      </c>
      <c r="O170" s="399" t="s">
        <v>705</v>
      </c>
      <c r="P170" s="399">
        <v>8.7916826515530774E-3</v>
      </c>
      <c r="Q170" s="400">
        <v>1</v>
      </c>
      <c r="R170" s="399">
        <v>0.29320000000000002</v>
      </c>
    </row>
    <row r="171" spans="2:18">
      <c r="B171" s="668" t="s">
        <v>293</v>
      </c>
      <c r="C171" s="669" t="s">
        <v>296</v>
      </c>
      <c r="D171" s="670" t="s">
        <v>297</v>
      </c>
      <c r="E171" s="670" t="s">
        <v>298</v>
      </c>
      <c r="F171" s="671" t="s">
        <v>630</v>
      </c>
      <c r="G171" s="672" t="s">
        <v>631</v>
      </c>
      <c r="H171" s="672" t="s">
        <v>146</v>
      </c>
      <c r="I171" s="397">
        <v>6</v>
      </c>
      <c r="J171" s="398">
        <v>300435</v>
      </c>
      <c r="K171" s="586">
        <v>304545.14</v>
      </c>
      <c r="L171" s="584">
        <v>0</v>
      </c>
      <c r="M171" s="398">
        <v>304545.14</v>
      </c>
      <c r="N171" s="398">
        <v>300000</v>
      </c>
      <c r="O171" s="399" t="s">
        <v>700</v>
      </c>
      <c r="P171" s="399">
        <v>8.522649203748893E-3</v>
      </c>
      <c r="Q171" s="400">
        <v>1</v>
      </c>
      <c r="R171" s="399">
        <v>4.3799999999999999E-2</v>
      </c>
    </row>
    <row r="172" spans="2:18">
      <c r="B172" s="668" t="s">
        <v>293</v>
      </c>
      <c r="C172" s="669" t="s">
        <v>358</v>
      </c>
      <c r="D172" s="670" t="s">
        <v>297</v>
      </c>
      <c r="E172" s="670" t="s">
        <v>298</v>
      </c>
      <c r="F172" s="671" t="s">
        <v>632</v>
      </c>
      <c r="G172" s="672" t="s">
        <v>633</v>
      </c>
      <c r="H172" s="672" t="s">
        <v>146</v>
      </c>
      <c r="I172" s="397">
        <v>5</v>
      </c>
      <c r="J172" s="398">
        <v>250352.3</v>
      </c>
      <c r="K172" s="586">
        <v>253363.31</v>
      </c>
      <c r="L172" s="584">
        <v>0</v>
      </c>
      <c r="M172" s="398">
        <v>253363.31</v>
      </c>
      <c r="N172" s="398">
        <v>250000</v>
      </c>
      <c r="O172" s="399" t="s">
        <v>698</v>
      </c>
      <c r="P172" s="399">
        <v>7.0903335125646191E-3</v>
      </c>
      <c r="Q172" s="400">
        <v>1</v>
      </c>
      <c r="R172" s="399">
        <v>2.58E-2</v>
      </c>
    </row>
    <row r="173" spans="2:18">
      <c r="B173" s="668" t="s">
        <v>293</v>
      </c>
      <c r="C173" s="669" t="s">
        <v>358</v>
      </c>
      <c r="D173" s="670" t="s">
        <v>297</v>
      </c>
      <c r="E173" s="670" t="s">
        <v>298</v>
      </c>
      <c r="F173" s="671" t="s">
        <v>634</v>
      </c>
      <c r="G173" s="672" t="s">
        <v>633</v>
      </c>
      <c r="H173" s="672" t="s">
        <v>146</v>
      </c>
      <c r="I173" s="397">
        <v>5</v>
      </c>
      <c r="J173" s="398">
        <v>250602.45</v>
      </c>
      <c r="K173" s="586">
        <v>253355.07</v>
      </c>
      <c r="L173" s="584">
        <v>0</v>
      </c>
      <c r="M173" s="398">
        <v>253355.07</v>
      </c>
      <c r="N173" s="398">
        <v>250000</v>
      </c>
      <c r="O173" s="399" t="s">
        <v>698</v>
      </c>
      <c r="P173" s="399">
        <v>7.0901029174238175E-3</v>
      </c>
      <c r="Q173" s="400">
        <v>1</v>
      </c>
      <c r="R173" s="399">
        <v>2.58E-2</v>
      </c>
    </row>
    <row r="174" spans="2:18">
      <c r="B174" s="668" t="s">
        <v>293</v>
      </c>
      <c r="C174" s="669" t="s">
        <v>295</v>
      </c>
      <c r="D174" s="670" t="s">
        <v>297</v>
      </c>
      <c r="E174" s="670" t="s">
        <v>298</v>
      </c>
      <c r="F174" s="671" t="s">
        <v>635</v>
      </c>
      <c r="G174" s="672" t="s">
        <v>558</v>
      </c>
      <c r="H174" s="672" t="s">
        <v>146</v>
      </c>
      <c r="I174" s="397">
        <v>2</v>
      </c>
      <c r="J174" s="398">
        <v>508040.3</v>
      </c>
      <c r="K174" s="586">
        <v>503255.15</v>
      </c>
      <c r="L174" s="584">
        <v>0</v>
      </c>
      <c r="M174" s="398">
        <v>503255.15</v>
      </c>
      <c r="N174" s="398">
        <v>500000</v>
      </c>
      <c r="O174" s="399" t="s">
        <v>698</v>
      </c>
      <c r="P174" s="399">
        <v>1.4083518467672902E-2</v>
      </c>
      <c r="Q174" s="400">
        <v>1</v>
      </c>
      <c r="R174" s="399">
        <v>0.29320000000000002</v>
      </c>
    </row>
    <row r="175" spans="2:18">
      <c r="B175" s="668" t="s">
        <v>293</v>
      </c>
      <c r="C175" s="669" t="s">
        <v>408</v>
      </c>
      <c r="D175" s="670" t="s">
        <v>297</v>
      </c>
      <c r="E175" s="670" t="s">
        <v>298</v>
      </c>
      <c r="F175" s="671" t="s">
        <v>636</v>
      </c>
      <c r="G175" s="672" t="s">
        <v>388</v>
      </c>
      <c r="H175" s="672" t="s">
        <v>146</v>
      </c>
      <c r="I175" s="397">
        <v>5</v>
      </c>
      <c r="J175" s="398">
        <v>506055</v>
      </c>
      <c r="K175" s="586">
        <v>515970.44</v>
      </c>
      <c r="L175" s="584">
        <v>0</v>
      </c>
      <c r="M175" s="398">
        <v>515970.44</v>
      </c>
      <c r="N175" s="398">
        <v>500000</v>
      </c>
      <c r="O175" s="399" t="s">
        <v>698</v>
      </c>
      <c r="P175" s="399">
        <v>1.443935391523229E-2</v>
      </c>
      <c r="Q175" s="400">
        <v>1</v>
      </c>
      <c r="R175" s="399">
        <v>0.04</v>
      </c>
    </row>
    <row r="176" spans="2:18">
      <c r="B176" s="668" t="s">
        <v>293</v>
      </c>
      <c r="C176" s="669" t="s">
        <v>295</v>
      </c>
      <c r="D176" s="670" t="s">
        <v>297</v>
      </c>
      <c r="E176" s="670" t="s">
        <v>298</v>
      </c>
      <c r="F176" s="671" t="s">
        <v>636</v>
      </c>
      <c r="G176" s="672" t="s">
        <v>558</v>
      </c>
      <c r="H176" s="672" t="s">
        <v>146</v>
      </c>
      <c r="I176" s="397">
        <v>2</v>
      </c>
      <c r="J176" s="398">
        <v>200508.2</v>
      </c>
      <c r="K176" s="586">
        <v>201303.96</v>
      </c>
      <c r="L176" s="584">
        <v>0</v>
      </c>
      <c r="M176" s="398">
        <v>201303.96</v>
      </c>
      <c r="N176" s="398">
        <v>200000</v>
      </c>
      <c r="O176" s="399" t="s">
        <v>698</v>
      </c>
      <c r="P176" s="399">
        <v>5.6334605582788111E-3</v>
      </c>
      <c r="Q176" s="400">
        <v>1</v>
      </c>
      <c r="R176" s="399">
        <v>0.29320000000000002</v>
      </c>
    </row>
    <row r="177" spans="2:18">
      <c r="B177" s="673" t="s">
        <v>293</v>
      </c>
      <c r="C177" s="669" t="s">
        <v>295</v>
      </c>
      <c r="D177" s="670" t="s">
        <v>297</v>
      </c>
      <c r="E177" s="670" t="s">
        <v>298</v>
      </c>
      <c r="F177" s="674" t="s">
        <v>636</v>
      </c>
      <c r="G177" s="675" t="s">
        <v>558</v>
      </c>
      <c r="H177" s="675" t="s">
        <v>146</v>
      </c>
      <c r="I177" s="321">
        <v>2</v>
      </c>
      <c r="J177" s="241">
        <v>99999.82</v>
      </c>
      <c r="K177" s="586">
        <v>100427.39863217388</v>
      </c>
      <c r="L177" s="585">
        <v>-2.6286321738733243</v>
      </c>
      <c r="M177" s="241">
        <v>100424.77</v>
      </c>
      <c r="N177" s="241">
        <v>100000</v>
      </c>
      <c r="O177" s="399" t="s">
        <v>698</v>
      </c>
      <c r="P177" s="80">
        <v>2.8103718420105657E-3</v>
      </c>
      <c r="Q177" s="400">
        <v>1</v>
      </c>
      <c r="R177" s="399">
        <v>0.29320000000000002</v>
      </c>
    </row>
    <row r="178" spans="2:18">
      <c r="B178" s="673" t="s">
        <v>293</v>
      </c>
      <c r="C178" s="669" t="s">
        <v>407</v>
      </c>
      <c r="D178" s="670" t="s">
        <v>297</v>
      </c>
      <c r="E178" s="676" t="s">
        <v>298</v>
      </c>
      <c r="F178" s="674" t="s">
        <v>637</v>
      </c>
      <c r="G178" s="675" t="s">
        <v>638</v>
      </c>
      <c r="H178" s="675" t="s">
        <v>146</v>
      </c>
      <c r="I178" s="321">
        <v>30</v>
      </c>
      <c r="J178" s="241">
        <v>1502158.2</v>
      </c>
      <c r="K178" s="586">
        <v>1507536.88</v>
      </c>
      <c r="L178" s="584">
        <v>0</v>
      </c>
      <c r="M178" s="241">
        <v>1507536.88</v>
      </c>
      <c r="N178" s="241">
        <v>1500000</v>
      </c>
      <c r="O178" s="399" t="s">
        <v>698</v>
      </c>
      <c r="P178" s="80">
        <v>4.2188189212128253E-2</v>
      </c>
      <c r="Q178" s="400">
        <v>1</v>
      </c>
      <c r="R178" s="399">
        <v>9.0399999999999994E-2</v>
      </c>
    </row>
    <row r="179" spans="2:18">
      <c r="B179" s="668" t="s">
        <v>293</v>
      </c>
      <c r="C179" s="669" t="s">
        <v>295</v>
      </c>
      <c r="D179" s="670" t="s">
        <v>297</v>
      </c>
      <c r="E179" s="670" t="s">
        <v>298</v>
      </c>
      <c r="F179" s="671" t="s">
        <v>639</v>
      </c>
      <c r="G179" s="672" t="s">
        <v>640</v>
      </c>
      <c r="H179" s="672" t="s">
        <v>146</v>
      </c>
      <c r="I179" s="397">
        <v>1</v>
      </c>
      <c r="J179" s="398">
        <v>50607.42</v>
      </c>
      <c r="K179" s="586">
        <v>50605.7</v>
      </c>
      <c r="L179" s="584">
        <v>0</v>
      </c>
      <c r="M179" s="398">
        <v>50605.7</v>
      </c>
      <c r="N179" s="398">
        <v>50000</v>
      </c>
      <c r="O179" s="399" t="s">
        <v>698</v>
      </c>
      <c r="P179" s="399">
        <v>1.4161927811757406E-3</v>
      </c>
      <c r="Q179" s="400">
        <v>1</v>
      </c>
      <c r="R179" s="399">
        <v>0.29320000000000002</v>
      </c>
    </row>
    <row r="180" spans="2:18">
      <c r="B180" s="668" t="s">
        <v>293</v>
      </c>
      <c r="C180" s="669" t="s">
        <v>295</v>
      </c>
      <c r="D180" s="670" t="s">
        <v>297</v>
      </c>
      <c r="E180" s="670" t="s">
        <v>298</v>
      </c>
      <c r="F180" s="671" t="s">
        <v>639</v>
      </c>
      <c r="G180" s="672" t="s">
        <v>641</v>
      </c>
      <c r="H180" s="672" t="s">
        <v>146</v>
      </c>
      <c r="I180" s="397">
        <v>1</v>
      </c>
      <c r="J180" s="398">
        <v>101073.84</v>
      </c>
      <c r="K180" s="586">
        <v>101070.42</v>
      </c>
      <c r="L180" s="584">
        <v>0</v>
      </c>
      <c r="M180" s="398">
        <v>101070.42</v>
      </c>
      <c r="N180" s="398">
        <v>100000</v>
      </c>
      <c r="O180" s="399" t="s">
        <v>698</v>
      </c>
      <c r="P180" s="399">
        <v>2.8284402585953797E-3</v>
      </c>
      <c r="Q180" s="400">
        <v>1</v>
      </c>
      <c r="R180" s="399">
        <v>0.29320000000000002</v>
      </c>
    </row>
    <row r="181" spans="2:18">
      <c r="B181" s="668" t="s">
        <v>293</v>
      </c>
      <c r="C181" s="669" t="s">
        <v>662</v>
      </c>
      <c r="D181" s="670" t="s">
        <v>297</v>
      </c>
      <c r="E181" s="670" t="s">
        <v>298</v>
      </c>
      <c r="F181" s="671" t="s">
        <v>667</v>
      </c>
      <c r="G181" s="672" t="s">
        <v>668</v>
      </c>
      <c r="H181" s="672" t="s">
        <v>146</v>
      </c>
      <c r="I181" s="397">
        <v>2</v>
      </c>
      <c r="J181" s="398">
        <v>1010111.8</v>
      </c>
      <c r="K181" s="586">
        <v>1015429.0749731974</v>
      </c>
      <c r="L181" s="585">
        <v>-8837.224973197388</v>
      </c>
      <c r="M181" s="398">
        <v>1006591.85</v>
      </c>
      <c r="N181" s="398">
        <v>1000000</v>
      </c>
      <c r="O181" s="399" t="s">
        <v>706</v>
      </c>
      <c r="P181" s="399">
        <v>2.8169319099633716E-2</v>
      </c>
      <c r="Q181" s="400">
        <v>1</v>
      </c>
      <c r="R181" s="399">
        <v>8.3699999999999997E-2</v>
      </c>
    </row>
    <row r="182" spans="2:18">
      <c r="B182" s="673" t="s">
        <v>293</v>
      </c>
      <c r="C182" s="669" t="s">
        <v>662</v>
      </c>
      <c r="D182" s="670" t="s">
        <v>297</v>
      </c>
      <c r="E182" s="676" t="s">
        <v>298</v>
      </c>
      <c r="F182" s="674" t="s">
        <v>667</v>
      </c>
      <c r="G182" s="675" t="s">
        <v>669</v>
      </c>
      <c r="H182" s="675" t="s">
        <v>146</v>
      </c>
      <c r="I182" s="321">
        <v>1</v>
      </c>
      <c r="J182" s="241">
        <v>503378.99</v>
      </c>
      <c r="K182" s="586">
        <v>501674.61</v>
      </c>
      <c r="L182" s="584">
        <v>0</v>
      </c>
      <c r="M182" s="241">
        <v>501674.61</v>
      </c>
      <c r="N182" s="241">
        <v>500000</v>
      </c>
      <c r="O182" s="399" t="s">
        <v>707</v>
      </c>
      <c r="P182" s="80">
        <v>1.4039287297303565E-2</v>
      </c>
      <c r="Q182" s="400">
        <v>1</v>
      </c>
      <c r="R182" s="399">
        <v>8.3699999999999997E-2</v>
      </c>
    </row>
    <row r="183" spans="2:18">
      <c r="B183" s="673" t="s">
        <v>293</v>
      </c>
      <c r="C183" s="669" t="s">
        <v>295</v>
      </c>
      <c r="D183" s="670" t="s">
        <v>297</v>
      </c>
      <c r="E183" s="676" t="s">
        <v>298</v>
      </c>
      <c r="F183" s="674" t="s">
        <v>670</v>
      </c>
      <c r="G183" s="675" t="s">
        <v>671</v>
      </c>
      <c r="H183" s="675" t="s">
        <v>146</v>
      </c>
      <c r="I183" s="550">
        <v>10</v>
      </c>
      <c r="J183" s="241">
        <v>1003430.7</v>
      </c>
      <c r="K183" s="586">
        <v>1013479.4681161816</v>
      </c>
      <c r="L183" s="585">
        <v>-11.898116181630058</v>
      </c>
      <c r="M183" s="241">
        <v>1013467.57</v>
      </c>
      <c r="N183" s="241">
        <v>1000000</v>
      </c>
      <c r="O183" s="399" t="s">
        <v>708</v>
      </c>
      <c r="P183" s="80">
        <v>2.8361735073118632E-2</v>
      </c>
      <c r="Q183" s="400">
        <v>1</v>
      </c>
      <c r="R183" s="399">
        <v>0.29320000000000002</v>
      </c>
    </row>
    <row r="184" spans="2:18">
      <c r="B184" s="673" t="s">
        <v>293</v>
      </c>
      <c r="C184" s="669" t="s">
        <v>662</v>
      </c>
      <c r="D184" s="670" t="s">
        <v>297</v>
      </c>
      <c r="E184" s="676" t="s">
        <v>298</v>
      </c>
      <c r="F184" s="674" t="s">
        <v>670</v>
      </c>
      <c r="G184" s="675" t="s">
        <v>668</v>
      </c>
      <c r="H184" s="675" t="s">
        <v>146</v>
      </c>
      <c r="I184" s="321">
        <v>2</v>
      </c>
      <c r="J184" s="241">
        <v>1008950.82</v>
      </c>
      <c r="K184" s="586">
        <v>1004305.24</v>
      </c>
      <c r="L184" s="584">
        <v>0</v>
      </c>
      <c r="M184" s="241">
        <v>1004305.24</v>
      </c>
      <c r="N184" s="241">
        <v>1000000</v>
      </c>
      <c r="O184" s="399" t="s">
        <v>706</v>
      </c>
      <c r="P184" s="80">
        <v>2.8105328668212665E-2</v>
      </c>
      <c r="Q184" s="400">
        <v>1</v>
      </c>
      <c r="R184" s="399">
        <v>8.3699999999999997E-2</v>
      </c>
    </row>
    <row r="185" spans="2:18">
      <c r="B185" s="668" t="s">
        <v>293</v>
      </c>
      <c r="C185" s="669" t="s">
        <v>663</v>
      </c>
      <c r="D185" s="670" t="s">
        <v>297</v>
      </c>
      <c r="E185" s="670" t="s">
        <v>298</v>
      </c>
      <c r="F185" s="671" t="s">
        <v>672</v>
      </c>
      <c r="G185" s="672" t="s">
        <v>673</v>
      </c>
      <c r="H185" s="672" t="s">
        <v>146</v>
      </c>
      <c r="I185" s="397">
        <v>4</v>
      </c>
      <c r="J185" s="398">
        <v>1018316.64</v>
      </c>
      <c r="K185" s="586">
        <v>1027685.9</v>
      </c>
      <c r="L185" s="584">
        <v>0</v>
      </c>
      <c r="M185" s="398">
        <v>1027685.9</v>
      </c>
      <c r="N185" s="398">
        <v>1000000</v>
      </c>
      <c r="O185" s="399" t="s">
        <v>705</v>
      </c>
      <c r="P185" s="399">
        <v>2.8759632865390541E-2</v>
      </c>
      <c r="Q185" s="400">
        <v>1</v>
      </c>
      <c r="R185" s="399">
        <v>2.8759632865390537E-2</v>
      </c>
    </row>
    <row r="186" spans="2:18">
      <c r="B186" s="668" t="s">
        <v>293</v>
      </c>
      <c r="C186" s="669" t="s">
        <v>295</v>
      </c>
      <c r="D186" s="670" t="s">
        <v>297</v>
      </c>
      <c r="E186" s="670" t="s">
        <v>298</v>
      </c>
      <c r="F186" s="671" t="s">
        <v>674</v>
      </c>
      <c r="G186" s="672" t="s">
        <v>675</v>
      </c>
      <c r="H186" s="672" t="s">
        <v>146</v>
      </c>
      <c r="I186" s="397">
        <v>4</v>
      </c>
      <c r="J186" s="644">
        <v>1006750.2</v>
      </c>
      <c r="K186" s="586">
        <v>1015593.06</v>
      </c>
      <c r="L186" s="584">
        <v>0</v>
      </c>
      <c r="M186" s="398">
        <v>1015593.06</v>
      </c>
      <c r="N186" s="398">
        <v>1000000</v>
      </c>
      <c r="O186" s="399" t="s">
        <v>705</v>
      </c>
      <c r="P186" s="399">
        <v>2.8421216585961286E-2</v>
      </c>
      <c r="Q186" s="400">
        <v>1</v>
      </c>
      <c r="R186" s="399">
        <v>0.29320000000000002</v>
      </c>
    </row>
    <row r="187" spans="2:18">
      <c r="B187" s="668" t="s">
        <v>293</v>
      </c>
      <c r="C187" s="669" t="s">
        <v>407</v>
      </c>
      <c r="D187" s="676" t="s">
        <v>297</v>
      </c>
      <c r="E187" s="670" t="s">
        <v>298</v>
      </c>
      <c r="F187" s="671" t="s">
        <v>676</v>
      </c>
      <c r="G187" s="672" t="s">
        <v>677</v>
      </c>
      <c r="H187" s="672" t="s">
        <v>146</v>
      </c>
      <c r="I187" s="397">
        <v>20</v>
      </c>
      <c r="J187" s="398">
        <v>1018574</v>
      </c>
      <c r="K187" s="586">
        <v>1010842.55</v>
      </c>
      <c r="L187" s="584">
        <v>0</v>
      </c>
      <c r="M187" s="398">
        <v>1010842.55</v>
      </c>
      <c r="N187" s="398">
        <v>1000000</v>
      </c>
      <c r="O187" s="399" t="s">
        <v>698</v>
      </c>
      <c r="P187" s="399">
        <v>2.8288274289561804E-2</v>
      </c>
      <c r="Q187" s="400">
        <v>1</v>
      </c>
      <c r="R187" s="399">
        <v>9.0399999999999994E-2</v>
      </c>
    </row>
    <row r="188" spans="2:18">
      <c r="B188" s="673" t="s">
        <v>293</v>
      </c>
      <c r="C188" s="669" t="s">
        <v>295</v>
      </c>
      <c r="D188" s="676" t="s">
        <v>297</v>
      </c>
      <c r="E188" s="676" t="s">
        <v>298</v>
      </c>
      <c r="F188" s="674" t="s">
        <v>678</v>
      </c>
      <c r="G188" s="675" t="s">
        <v>679</v>
      </c>
      <c r="H188" s="675" t="s">
        <v>146</v>
      </c>
      <c r="I188" s="321">
        <v>5</v>
      </c>
      <c r="J188" s="241">
        <v>509729.65</v>
      </c>
      <c r="K188" s="586">
        <v>505563.84</v>
      </c>
      <c r="L188" s="584">
        <v>0</v>
      </c>
      <c r="M188" s="241">
        <v>505563.84</v>
      </c>
      <c r="N188" s="241">
        <v>500000</v>
      </c>
      <c r="O188" s="399" t="s">
        <v>698</v>
      </c>
      <c r="P188" s="80">
        <v>1.4148126804519792E-2</v>
      </c>
      <c r="Q188" s="400">
        <v>1</v>
      </c>
      <c r="R188" s="399">
        <v>0.29320000000000002</v>
      </c>
    </row>
    <row r="189" spans="2:18">
      <c r="B189" s="668" t="s">
        <v>293</v>
      </c>
      <c r="C189" s="669" t="s">
        <v>664</v>
      </c>
      <c r="D189" s="676" t="s">
        <v>297</v>
      </c>
      <c r="E189" s="676" t="s">
        <v>298</v>
      </c>
      <c r="F189" s="674" t="s">
        <v>678</v>
      </c>
      <c r="G189" s="675" t="s">
        <v>680</v>
      </c>
      <c r="H189" s="675" t="s">
        <v>146</v>
      </c>
      <c r="I189" s="550">
        <v>3</v>
      </c>
      <c r="J189" s="241">
        <v>150834.99</v>
      </c>
      <c r="K189" s="586">
        <v>152021.60999999999</v>
      </c>
      <c r="L189" s="584">
        <v>0</v>
      </c>
      <c r="M189" s="241">
        <v>152021.60999999999</v>
      </c>
      <c r="N189" s="241">
        <v>150000</v>
      </c>
      <c r="O189" s="399" t="s">
        <v>703</v>
      </c>
      <c r="P189" s="80">
        <v>4.2543015246249687E-3</v>
      </c>
      <c r="Q189" s="400">
        <v>1</v>
      </c>
      <c r="R189" s="399">
        <v>4.2543015246249679E-3</v>
      </c>
    </row>
    <row r="190" spans="2:18">
      <c r="B190" s="668" t="s">
        <v>293</v>
      </c>
      <c r="C190" s="669" t="s">
        <v>295</v>
      </c>
      <c r="D190" s="676" t="s">
        <v>297</v>
      </c>
      <c r="E190" s="676" t="s">
        <v>298</v>
      </c>
      <c r="F190" s="674" t="s">
        <v>681</v>
      </c>
      <c r="G190" s="675" t="s">
        <v>675</v>
      </c>
      <c r="H190" s="675" t="s">
        <v>146</v>
      </c>
      <c r="I190" s="321">
        <v>2</v>
      </c>
      <c r="J190" s="241">
        <v>504599.42</v>
      </c>
      <c r="K190" s="586">
        <v>507796.55</v>
      </c>
      <c r="L190" s="584">
        <v>0</v>
      </c>
      <c r="M190" s="241">
        <v>507796.55</v>
      </c>
      <c r="N190" s="241">
        <v>500000</v>
      </c>
      <c r="O190" s="399" t="s">
        <v>705</v>
      </c>
      <c r="P190" s="80">
        <v>1.4210608852677584E-2</v>
      </c>
      <c r="Q190" s="400">
        <v>1</v>
      </c>
      <c r="R190" s="399">
        <v>0.29320000000000002</v>
      </c>
    </row>
    <row r="191" spans="2:18">
      <c r="B191" s="668" t="s">
        <v>293</v>
      </c>
      <c r="C191" s="669" t="s">
        <v>665</v>
      </c>
      <c r="D191" s="676" t="s">
        <v>297</v>
      </c>
      <c r="E191" s="670" t="s">
        <v>298</v>
      </c>
      <c r="F191" s="671" t="s">
        <v>682</v>
      </c>
      <c r="G191" s="672" t="s">
        <v>683</v>
      </c>
      <c r="H191" s="672" t="s">
        <v>146</v>
      </c>
      <c r="I191" s="397">
        <v>10</v>
      </c>
      <c r="J191" s="398">
        <v>506433.1</v>
      </c>
      <c r="K191" s="586">
        <v>506528.27</v>
      </c>
      <c r="L191" s="584">
        <v>0</v>
      </c>
      <c r="M191" s="398">
        <v>506528.27</v>
      </c>
      <c r="N191" s="398">
        <v>500000</v>
      </c>
      <c r="O191" s="399" t="s">
        <v>698</v>
      </c>
      <c r="P191" s="399">
        <v>1.4175116230690149E-2</v>
      </c>
      <c r="Q191" s="400">
        <v>1</v>
      </c>
      <c r="R191" s="399">
        <v>1.7000000000000001E-2</v>
      </c>
    </row>
    <row r="192" spans="2:18">
      <c r="B192" s="668" t="s">
        <v>293</v>
      </c>
      <c r="C192" s="669" t="s">
        <v>665</v>
      </c>
      <c r="D192" s="676" t="s">
        <v>297</v>
      </c>
      <c r="E192" s="670" t="s">
        <v>298</v>
      </c>
      <c r="F192" s="671" t="s">
        <v>682</v>
      </c>
      <c r="G192" s="672" t="s">
        <v>684</v>
      </c>
      <c r="H192" s="672" t="s">
        <v>146</v>
      </c>
      <c r="I192" s="397">
        <v>2</v>
      </c>
      <c r="J192" s="398">
        <v>101395.52</v>
      </c>
      <c r="K192" s="586">
        <v>101361.54</v>
      </c>
      <c r="L192" s="584">
        <v>0</v>
      </c>
      <c r="M192" s="398">
        <v>101361.54</v>
      </c>
      <c r="N192" s="398">
        <v>100000</v>
      </c>
      <c r="O192" s="399" t="s">
        <v>698</v>
      </c>
      <c r="P192" s="399">
        <v>2.8365872073077949E-3</v>
      </c>
      <c r="Q192" s="400">
        <v>1</v>
      </c>
      <c r="R192" s="399">
        <v>1.7000000000000001E-2</v>
      </c>
    </row>
    <row r="193" spans="2:18">
      <c r="B193" s="668" t="s">
        <v>293</v>
      </c>
      <c r="C193" s="669" t="s">
        <v>295</v>
      </c>
      <c r="D193" s="676" t="s">
        <v>297</v>
      </c>
      <c r="E193" s="670" t="s">
        <v>298</v>
      </c>
      <c r="F193" s="671" t="s">
        <v>682</v>
      </c>
      <c r="G193" s="672" t="s">
        <v>685</v>
      </c>
      <c r="H193" s="672" t="s">
        <v>146</v>
      </c>
      <c r="I193" s="397">
        <v>5</v>
      </c>
      <c r="J193" s="398">
        <v>1027596.1</v>
      </c>
      <c r="K193" s="586">
        <v>1002672.85</v>
      </c>
      <c r="L193" s="584">
        <v>0</v>
      </c>
      <c r="M193" s="398">
        <v>1002672.85</v>
      </c>
      <c r="N193" s="398">
        <v>1000000</v>
      </c>
      <c r="O193" s="399" t="s">
        <v>705</v>
      </c>
      <c r="P193" s="399">
        <v>2.8059646483516804E-2</v>
      </c>
      <c r="Q193" s="400">
        <v>1</v>
      </c>
      <c r="R193" s="399">
        <v>0.29320000000000002</v>
      </c>
    </row>
    <row r="194" spans="2:18">
      <c r="B194" s="673" t="s">
        <v>293</v>
      </c>
      <c r="C194" s="669" t="s">
        <v>666</v>
      </c>
      <c r="D194" s="670" t="s">
        <v>297</v>
      </c>
      <c r="E194" s="676" t="s">
        <v>298</v>
      </c>
      <c r="F194" s="674" t="s">
        <v>686</v>
      </c>
      <c r="G194" s="675" t="s">
        <v>687</v>
      </c>
      <c r="H194" s="675" t="s">
        <v>146</v>
      </c>
      <c r="I194" s="321">
        <v>10</v>
      </c>
      <c r="J194" s="241">
        <v>1010403.84</v>
      </c>
      <c r="K194" s="586">
        <v>1012619.51</v>
      </c>
      <c r="L194" s="584">
        <v>0</v>
      </c>
      <c r="M194" s="241">
        <v>1012619.51</v>
      </c>
      <c r="N194" s="241">
        <v>1000000</v>
      </c>
      <c r="O194" s="399" t="s">
        <v>700</v>
      </c>
      <c r="P194" s="80">
        <v>2.833800224361516E-2</v>
      </c>
      <c r="Q194" s="400">
        <v>1</v>
      </c>
      <c r="R194" s="399">
        <v>2.8338002243615157E-2</v>
      </c>
    </row>
    <row r="195" spans="2:18">
      <c r="B195" s="668" t="s">
        <v>293</v>
      </c>
      <c r="C195" s="669" t="s">
        <v>407</v>
      </c>
      <c r="D195" s="670" t="s">
        <v>297</v>
      </c>
      <c r="E195" s="670" t="s">
        <v>298</v>
      </c>
      <c r="F195" s="671" t="s">
        <v>688</v>
      </c>
      <c r="G195" s="672" t="s">
        <v>689</v>
      </c>
      <c r="H195" s="672" t="s">
        <v>146</v>
      </c>
      <c r="I195" s="397">
        <v>1</v>
      </c>
      <c r="J195" s="398">
        <v>101894.7</v>
      </c>
      <c r="K195" s="586">
        <v>101979.29</v>
      </c>
      <c r="L195" s="584">
        <v>0</v>
      </c>
      <c r="M195" s="398">
        <v>101979.29</v>
      </c>
      <c r="N195" s="398">
        <v>100000</v>
      </c>
      <c r="O195" s="399" t="s">
        <v>709</v>
      </c>
      <c r="P195" s="399">
        <v>2.8538748466561551E-3</v>
      </c>
      <c r="Q195" s="400">
        <v>1</v>
      </c>
      <c r="R195" s="399">
        <v>9.0399999999999994E-2</v>
      </c>
    </row>
    <row r="196" spans="2:18">
      <c r="B196" s="668" t="s">
        <v>293</v>
      </c>
      <c r="C196" s="669" t="s">
        <v>407</v>
      </c>
      <c r="D196" s="670" t="s">
        <v>297</v>
      </c>
      <c r="E196" s="670" t="s">
        <v>298</v>
      </c>
      <c r="F196" s="671" t="s">
        <v>688</v>
      </c>
      <c r="G196" s="672" t="s">
        <v>689</v>
      </c>
      <c r="H196" s="672" t="s">
        <v>146</v>
      </c>
      <c r="I196" s="397">
        <v>1</v>
      </c>
      <c r="J196" s="644">
        <v>101894.7</v>
      </c>
      <c r="K196" s="586">
        <v>101979.29</v>
      </c>
      <c r="L196" s="584">
        <v>0</v>
      </c>
      <c r="M196" s="398">
        <v>101979.29</v>
      </c>
      <c r="N196" s="398">
        <v>100000</v>
      </c>
      <c r="O196" s="399" t="s">
        <v>709</v>
      </c>
      <c r="P196" s="399">
        <v>2.8538748466561551E-3</v>
      </c>
      <c r="Q196" s="400">
        <v>1</v>
      </c>
      <c r="R196" s="399">
        <v>9.0399999999999994E-2</v>
      </c>
    </row>
    <row r="197" spans="2:18">
      <c r="B197" s="668" t="s">
        <v>293</v>
      </c>
      <c r="C197" s="669" t="s">
        <v>407</v>
      </c>
      <c r="D197" s="676" t="s">
        <v>297</v>
      </c>
      <c r="E197" s="670" t="s">
        <v>298</v>
      </c>
      <c r="F197" s="671" t="s">
        <v>688</v>
      </c>
      <c r="G197" s="672" t="s">
        <v>690</v>
      </c>
      <c r="H197" s="672" t="s">
        <v>146</v>
      </c>
      <c r="I197" s="397">
        <v>2</v>
      </c>
      <c r="J197" s="398">
        <v>203379.84</v>
      </c>
      <c r="K197" s="586">
        <v>203548.59</v>
      </c>
      <c r="L197" s="584">
        <v>0</v>
      </c>
      <c r="M197" s="398">
        <v>203548.59</v>
      </c>
      <c r="N197" s="398">
        <v>200000</v>
      </c>
      <c r="O197" s="399" t="s">
        <v>709</v>
      </c>
      <c r="P197" s="399">
        <v>5.6962761858150475E-3</v>
      </c>
      <c r="Q197" s="400">
        <v>1</v>
      </c>
      <c r="R197" s="399">
        <v>9.0399999999999994E-2</v>
      </c>
    </row>
    <row r="198" spans="2:18">
      <c r="B198" s="673" t="s">
        <v>293</v>
      </c>
      <c r="C198" s="669" t="s">
        <v>662</v>
      </c>
      <c r="D198" s="676" t="s">
        <v>297</v>
      </c>
      <c r="E198" s="676" t="s">
        <v>298</v>
      </c>
      <c r="F198" s="674" t="s">
        <v>691</v>
      </c>
      <c r="G198" s="675" t="s">
        <v>692</v>
      </c>
      <c r="H198" s="675" t="s">
        <v>146</v>
      </c>
      <c r="I198" s="321">
        <v>1</v>
      </c>
      <c r="J198" s="241">
        <v>25257.71</v>
      </c>
      <c r="K198" s="586">
        <v>25268.44</v>
      </c>
      <c r="L198" s="584">
        <v>0</v>
      </c>
      <c r="M198" s="241">
        <v>25268.44</v>
      </c>
      <c r="N198" s="241">
        <v>25000</v>
      </c>
      <c r="O198" s="399" t="s">
        <v>710</v>
      </c>
      <c r="P198" s="80">
        <v>7.071334319962441E-4</v>
      </c>
      <c r="Q198" s="400">
        <v>1</v>
      </c>
      <c r="R198" s="399">
        <v>8.3699999999999997E-2</v>
      </c>
    </row>
    <row r="199" spans="2:18">
      <c r="B199" s="668" t="s">
        <v>293</v>
      </c>
      <c r="C199" s="669" t="s">
        <v>662</v>
      </c>
      <c r="D199" s="676" t="s">
        <v>297</v>
      </c>
      <c r="E199" s="676" t="s">
        <v>298</v>
      </c>
      <c r="F199" s="674" t="s">
        <v>691</v>
      </c>
      <c r="G199" s="675" t="s">
        <v>692</v>
      </c>
      <c r="H199" s="675" t="s">
        <v>146</v>
      </c>
      <c r="I199" s="550">
        <v>1</v>
      </c>
      <c r="J199" s="241">
        <v>101160.5</v>
      </c>
      <c r="K199" s="586">
        <v>101203.49</v>
      </c>
      <c r="L199" s="584">
        <v>0</v>
      </c>
      <c r="M199" s="241">
        <v>101203.49</v>
      </c>
      <c r="N199" s="241">
        <v>100000</v>
      </c>
      <c r="O199" s="399" t="s">
        <v>708</v>
      </c>
      <c r="P199" s="80">
        <v>2.8321642022102506E-3</v>
      </c>
      <c r="Q199" s="400">
        <v>1</v>
      </c>
      <c r="R199" s="399">
        <v>8.3699999999999997E-2</v>
      </c>
    </row>
    <row r="200" spans="2:18">
      <c r="B200" s="668" t="s">
        <v>293</v>
      </c>
      <c r="C200" s="669" t="s">
        <v>662</v>
      </c>
      <c r="D200" s="676" t="s">
        <v>297</v>
      </c>
      <c r="E200" s="676" t="s">
        <v>298</v>
      </c>
      <c r="F200" s="674" t="s">
        <v>691</v>
      </c>
      <c r="G200" s="675" t="s">
        <v>693</v>
      </c>
      <c r="H200" s="675" t="s">
        <v>146</v>
      </c>
      <c r="I200" s="321">
        <v>1</v>
      </c>
      <c r="J200" s="241">
        <v>251150.52</v>
      </c>
      <c r="K200" s="586">
        <v>251257.18</v>
      </c>
      <c r="L200" s="584">
        <v>0</v>
      </c>
      <c r="M200" s="241">
        <v>251257.18</v>
      </c>
      <c r="N200" s="241">
        <v>250000</v>
      </c>
      <c r="O200" s="399" t="s">
        <v>708</v>
      </c>
      <c r="P200" s="80">
        <v>7.0313937863634669E-3</v>
      </c>
      <c r="Q200" s="400">
        <v>1</v>
      </c>
      <c r="R200" s="399">
        <v>8.3699999999999997E-2</v>
      </c>
    </row>
    <row r="201" spans="2:18">
      <c r="B201" s="668" t="s">
        <v>293</v>
      </c>
      <c r="C201" s="669" t="s">
        <v>662</v>
      </c>
      <c r="D201" s="676" t="s">
        <v>297</v>
      </c>
      <c r="E201" s="670" t="s">
        <v>298</v>
      </c>
      <c r="F201" s="671" t="s">
        <v>691</v>
      </c>
      <c r="G201" s="672" t="s">
        <v>694</v>
      </c>
      <c r="H201" s="672" t="s">
        <v>146</v>
      </c>
      <c r="I201" s="397">
        <v>4</v>
      </c>
      <c r="J201" s="398">
        <v>100934.68</v>
      </c>
      <c r="K201" s="586">
        <v>100977.54</v>
      </c>
      <c r="L201" s="584">
        <v>0</v>
      </c>
      <c r="M201" s="398">
        <v>100977.54</v>
      </c>
      <c r="N201" s="398">
        <v>100000</v>
      </c>
      <c r="O201" s="399" t="s">
        <v>710</v>
      </c>
      <c r="P201" s="399">
        <v>2.8258410259888629E-3</v>
      </c>
      <c r="Q201" s="400">
        <v>1</v>
      </c>
      <c r="R201" s="399">
        <v>8.3699999999999997E-2</v>
      </c>
    </row>
    <row r="202" spans="2:18">
      <c r="B202" s="668" t="s">
        <v>294</v>
      </c>
      <c r="C202" s="669" t="s">
        <v>357</v>
      </c>
      <c r="D202" s="676" t="s">
        <v>297</v>
      </c>
      <c r="E202" s="670" t="s">
        <v>298</v>
      </c>
      <c r="F202" s="671" t="s">
        <v>352</v>
      </c>
      <c r="G202" s="672" t="s">
        <v>404</v>
      </c>
      <c r="H202" s="672" t="s">
        <v>146</v>
      </c>
      <c r="I202" s="397">
        <v>50</v>
      </c>
      <c r="J202" s="398">
        <v>50334.05</v>
      </c>
      <c r="K202" s="586">
        <v>50561.84</v>
      </c>
      <c r="L202" s="584">
        <v>0</v>
      </c>
      <c r="M202" s="398">
        <v>50561.84</v>
      </c>
      <c r="N202" s="398">
        <v>50000</v>
      </c>
      <c r="O202" s="399" t="s">
        <v>698</v>
      </c>
      <c r="P202" s="399">
        <v>1.4149653657782187E-3</v>
      </c>
      <c r="Q202" s="400">
        <v>1</v>
      </c>
      <c r="R202" s="399">
        <v>2.52E-2</v>
      </c>
    </row>
    <row r="203" spans="2:18">
      <c r="B203" s="668" t="s">
        <v>294</v>
      </c>
      <c r="C203" s="669" t="s">
        <v>357</v>
      </c>
      <c r="D203" s="676" t="s">
        <v>297</v>
      </c>
      <c r="E203" s="670" t="s">
        <v>298</v>
      </c>
      <c r="F203" s="671" t="s">
        <v>405</v>
      </c>
      <c r="G203" s="672" t="s">
        <v>404</v>
      </c>
      <c r="H203" s="672" t="s">
        <v>146</v>
      </c>
      <c r="I203" s="397">
        <v>150</v>
      </c>
      <c r="J203" s="398">
        <v>151189.20000000001</v>
      </c>
      <c r="K203" s="586">
        <v>151685.85</v>
      </c>
      <c r="L203" s="584">
        <v>0</v>
      </c>
      <c r="M203" s="398">
        <v>151685.85</v>
      </c>
      <c r="N203" s="398">
        <v>150000</v>
      </c>
      <c r="O203" s="399" t="s">
        <v>698</v>
      </c>
      <c r="P203" s="399">
        <v>4.2449053323342281E-3</v>
      </c>
      <c r="Q203" s="400">
        <v>1</v>
      </c>
      <c r="R203" s="399">
        <v>2.52E-2</v>
      </c>
    </row>
    <row r="204" spans="2:18">
      <c r="B204" s="673" t="s">
        <v>294</v>
      </c>
      <c r="C204" s="669" t="s">
        <v>407</v>
      </c>
      <c r="D204" s="670" t="s">
        <v>297</v>
      </c>
      <c r="E204" s="670" t="s">
        <v>298</v>
      </c>
      <c r="F204" s="674" t="s">
        <v>682</v>
      </c>
      <c r="G204" s="675" t="s">
        <v>711</v>
      </c>
      <c r="H204" s="675" t="s">
        <v>146</v>
      </c>
      <c r="I204" s="321">
        <v>200</v>
      </c>
      <c r="J204" s="241">
        <v>203166.4</v>
      </c>
      <c r="K204" s="586">
        <v>204370.52</v>
      </c>
      <c r="L204" s="584">
        <v>0</v>
      </c>
      <c r="M204" s="241">
        <v>204370.52</v>
      </c>
      <c r="N204" s="241">
        <v>200000</v>
      </c>
      <c r="O204" s="399">
        <v>6.9500000000000006E-2</v>
      </c>
      <c r="P204" s="80">
        <v>5.7192777712615833E-3</v>
      </c>
      <c r="Q204" s="400">
        <v>1</v>
      </c>
      <c r="R204" s="399">
        <v>9.0399999999999994E-2</v>
      </c>
    </row>
    <row r="205" spans="2:18">
      <c r="B205" s="668" t="s">
        <v>359</v>
      </c>
      <c r="C205" s="669" t="s">
        <v>402</v>
      </c>
      <c r="D205" s="676" t="s">
        <v>513</v>
      </c>
      <c r="E205" s="670" t="s">
        <v>401</v>
      </c>
      <c r="F205" s="671" t="s">
        <v>399</v>
      </c>
      <c r="G205" s="672" t="s">
        <v>400</v>
      </c>
      <c r="H205" s="672" t="s">
        <v>146</v>
      </c>
      <c r="I205" s="397">
        <v>250</v>
      </c>
      <c r="J205" s="398">
        <v>247847.5</v>
      </c>
      <c r="K205" s="586">
        <v>253159.2492131278</v>
      </c>
      <c r="L205" s="585">
        <v>-2703.5792131277767</v>
      </c>
      <c r="M205" s="398">
        <v>250455.67</v>
      </c>
      <c r="N205" s="398">
        <v>250000</v>
      </c>
      <c r="O205" s="399" t="s">
        <v>725</v>
      </c>
      <c r="P205" s="399">
        <v>7.0089636514964427E-3</v>
      </c>
      <c r="Q205" s="400">
        <v>1</v>
      </c>
      <c r="R205" s="399">
        <v>7.008963651496441E-3</v>
      </c>
    </row>
    <row r="206" spans="2:18">
      <c r="B206" s="668" t="s">
        <v>359</v>
      </c>
      <c r="C206" s="669" t="s">
        <v>644</v>
      </c>
      <c r="D206" s="676" t="s">
        <v>513</v>
      </c>
      <c r="E206" s="670" t="s">
        <v>646</v>
      </c>
      <c r="F206" s="671" t="s">
        <v>647</v>
      </c>
      <c r="G206" s="672" t="s">
        <v>648</v>
      </c>
      <c r="H206" s="672" t="s">
        <v>146</v>
      </c>
      <c r="I206" s="397">
        <v>500</v>
      </c>
      <c r="J206" s="644">
        <v>493489.5</v>
      </c>
      <c r="K206" s="586">
        <v>512389.04465272313</v>
      </c>
      <c r="L206" s="585">
        <v>-7327.3346527231161</v>
      </c>
      <c r="M206" s="398">
        <v>505061.71</v>
      </c>
      <c r="N206" s="398">
        <v>500000</v>
      </c>
      <c r="O206" s="399" t="s">
        <v>726</v>
      </c>
      <c r="P206" s="399">
        <v>1.4134074773202929E-2</v>
      </c>
      <c r="Q206" s="400">
        <v>1</v>
      </c>
      <c r="R206" s="399">
        <v>1.4134074773202925E-2</v>
      </c>
    </row>
    <row r="207" spans="2:18">
      <c r="B207" s="668" t="s">
        <v>359</v>
      </c>
      <c r="C207" s="669" t="s">
        <v>645</v>
      </c>
      <c r="D207" s="676" t="s">
        <v>513</v>
      </c>
      <c r="E207" s="670" t="s">
        <v>613</v>
      </c>
      <c r="F207" s="671" t="s">
        <v>647</v>
      </c>
      <c r="G207" s="672" t="s">
        <v>649</v>
      </c>
      <c r="H207" s="672" t="s">
        <v>146</v>
      </c>
      <c r="I207" s="397">
        <v>500</v>
      </c>
      <c r="J207" s="398">
        <v>468816</v>
      </c>
      <c r="K207" s="586">
        <v>508030.82390968018</v>
      </c>
      <c r="L207" s="585">
        <v>-39344.993909680161</v>
      </c>
      <c r="M207" s="398">
        <v>468685.83</v>
      </c>
      <c r="N207" s="398">
        <v>500000</v>
      </c>
      <c r="O207" s="399" t="s">
        <v>727</v>
      </c>
      <c r="P207" s="399">
        <v>1.3116101330193248E-2</v>
      </c>
      <c r="Q207" s="400">
        <v>1</v>
      </c>
      <c r="R207" s="399">
        <v>1.3116101330193244E-2</v>
      </c>
    </row>
    <row r="208" spans="2:18">
      <c r="B208" s="673" t="s">
        <v>359</v>
      </c>
      <c r="C208" s="669" t="s">
        <v>712</v>
      </c>
      <c r="D208" s="676" t="s">
        <v>513</v>
      </c>
      <c r="E208" s="676" t="s">
        <v>401</v>
      </c>
      <c r="F208" s="674" t="s">
        <v>716</v>
      </c>
      <c r="G208" s="675" t="s">
        <v>717</v>
      </c>
      <c r="H208" s="675" t="s">
        <v>146</v>
      </c>
      <c r="I208" s="321">
        <v>1000</v>
      </c>
      <c r="J208" s="241">
        <v>1038187.5</v>
      </c>
      <c r="K208" s="586">
        <v>1050731.99</v>
      </c>
      <c r="L208" s="584">
        <v>0</v>
      </c>
      <c r="M208" s="241">
        <v>1050731.99</v>
      </c>
      <c r="N208" s="241">
        <v>1000000</v>
      </c>
      <c r="O208" s="399" t="s">
        <v>709</v>
      </c>
      <c r="P208" s="80">
        <v>2.9404574172245825E-2</v>
      </c>
      <c r="Q208" s="400">
        <v>1</v>
      </c>
      <c r="R208" s="399">
        <v>2.9404574172245818E-2</v>
      </c>
    </row>
    <row r="209" spans="2:18">
      <c r="B209" s="668" t="s">
        <v>359</v>
      </c>
      <c r="C209" s="669" t="s">
        <v>713</v>
      </c>
      <c r="D209" s="676" t="s">
        <v>513</v>
      </c>
      <c r="E209" s="676" t="s">
        <v>613</v>
      </c>
      <c r="F209" s="674" t="s">
        <v>718</v>
      </c>
      <c r="G209" s="675" t="s">
        <v>719</v>
      </c>
      <c r="H209" s="675" t="s">
        <v>146</v>
      </c>
      <c r="I209" s="550">
        <v>1000</v>
      </c>
      <c r="J209" s="241">
        <v>1100500</v>
      </c>
      <c r="K209" s="586">
        <v>1072338.33</v>
      </c>
      <c r="L209" s="584">
        <v>0</v>
      </c>
      <c r="M209" s="241">
        <v>1072338.33</v>
      </c>
      <c r="N209" s="241">
        <v>1000000</v>
      </c>
      <c r="O209" s="399" t="s">
        <v>699</v>
      </c>
      <c r="P209" s="80">
        <v>3.0009224295366912E-2</v>
      </c>
      <c r="Q209" s="400">
        <v>1</v>
      </c>
      <c r="R209" s="399">
        <v>3.0009224295366906E-2</v>
      </c>
    </row>
    <row r="210" spans="2:18">
      <c r="B210" s="668" t="s">
        <v>359</v>
      </c>
      <c r="C210" s="669" t="s">
        <v>714</v>
      </c>
      <c r="D210" s="676" t="s">
        <v>513</v>
      </c>
      <c r="E210" s="676" t="s">
        <v>646</v>
      </c>
      <c r="F210" s="674" t="s">
        <v>720</v>
      </c>
      <c r="G210" s="675" t="s">
        <v>721</v>
      </c>
      <c r="H210" s="675" t="s">
        <v>146</v>
      </c>
      <c r="I210" s="321">
        <v>1000</v>
      </c>
      <c r="J210" s="241">
        <v>1015761.92</v>
      </c>
      <c r="K210" s="586">
        <v>1024533.76</v>
      </c>
      <c r="L210" s="584">
        <v>0</v>
      </c>
      <c r="M210" s="241">
        <v>1024533.76</v>
      </c>
      <c r="N210" s="241">
        <v>1000000</v>
      </c>
      <c r="O210" s="399" t="s">
        <v>728</v>
      </c>
      <c r="P210" s="80">
        <v>2.8671420709185699E-2</v>
      </c>
      <c r="Q210" s="400">
        <v>1</v>
      </c>
      <c r="R210" s="399">
        <v>2.8671420709185696E-2</v>
      </c>
    </row>
    <row r="211" spans="2:18">
      <c r="B211" s="668" t="s">
        <v>359</v>
      </c>
      <c r="C211" s="669" t="s">
        <v>715</v>
      </c>
      <c r="D211" s="676" t="s">
        <v>513</v>
      </c>
      <c r="E211" s="670" t="s">
        <v>646</v>
      </c>
      <c r="F211" s="671" t="s">
        <v>682</v>
      </c>
      <c r="G211" s="672" t="s">
        <v>722</v>
      </c>
      <c r="H211" s="672" t="s">
        <v>146</v>
      </c>
      <c r="I211" s="397">
        <v>1000</v>
      </c>
      <c r="J211" s="398">
        <v>998482.08</v>
      </c>
      <c r="K211" s="586">
        <v>1025523.3302512277</v>
      </c>
      <c r="L211" s="585">
        <v>-21343.490251227726</v>
      </c>
      <c r="M211" s="398">
        <v>1004179.84</v>
      </c>
      <c r="N211" s="398">
        <v>1000000</v>
      </c>
      <c r="O211" s="399" t="s">
        <v>730</v>
      </c>
      <c r="P211" s="399">
        <v>2.8101819368375702E-2</v>
      </c>
      <c r="Q211" s="400">
        <v>1</v>
      </c>
      <c r="R211" s="399">
        <v>2.8101819368375695E-2</v>
      </c>
    </row>
    <row r="212" spans="2:18">
      <c r="B212" s="668" t="s">
        <v>359</v>
      </c>
      <c r="C212" s="669" t="s">
        <v>643</v>
      </c>
      <c r="D212" s="676" t="s">
        <v>513</v>
      </c>
      <c r="E212" s="670" t="s">
        <v>613</v>
      </c>
      <c r="F212" s="671" t="s">
        <v>723</v>
      </c>
      <c r="G212" s="672" t="s">
        <v>724</v>
      </c>
      <c r="H212" s="672" t="s">
        <v>146</v>
      </c>
      <c r="I212" s="397">
        <v>1000</v>
      </c>
      <c r="J212" s="398">
        <v>1122513.8899999999</v>
      </c>
      <c r="K212" s="586">
        <v>1128160.1100000001</v>
      </c>
      <c r="L212" s="584">
        <v>0</v>
      </c>
      <c r="M212" s="398">
        <v>1128160.1100000001</v>
      </c>
      <c r="N212" s="398">
        <v>1000000</v>
      </c>
      <c r="O212" s="399" t="s">
        <v>729</v>
      </c>
      <c r="P212" s="399">
        <v>3.1571388278245925E-2</v>
      </c>
      <c r="Q212" s="400">
        <v>1</v>
      </c>
      <c r="R212" s="399">
        <v>3.1571388278245918E-2</v>
      </c>
    </row>
    <row r="213" spans="2:18">
      <c r="B213" s="668" t="s">
        <v>731</v>
      </c>
      <c r="C213" s="669" t="s">
        <v>732</v>
      </c>
      <c r="D213" s="670" t="s">
        <v>642</v>
      </c>
      <c r="E213" s="670" t="s">
        <v>403</v>
      </c>
      <c r="F213" s="671" t="s">
        <v>682</v>
      </c>
      <c r="G213" s="672" t="s">
        <v>733</v>
      </c>
      <c r="H213" s="672" t="s">
        <v>146</v>
      </c>
      <c r="I213" s="397">
        <v>1000</v>
      </c>
      <c r="J213" s="398">
        <v>994545.83</v>
      </c>
      <c r="K213" s="586">
        <v>999999.96683972084</v>
      </c>
      <c r="L213" s="585">
        <v>-2185.2468397208781</v>
      </c>
      <c r="M213" s="398">
        <v>997814.72</v>
      </c>
      <c r="N213" s="398">
        <v>1000000</v>
      </c>
      <c r="O213" s="399" t="s">
        <v>736</v>
      </c>
      <c r="P213" s="399">
        <v>2.7923692457863303E-2</v>
      </c>
      <c r="Q213" s="400">
        <v>1</v>
      </c>
      <c r="R213" s="399">
        <v>4.19E-2</v>
      </c>
    </row>
    <row r="214" spans="2:18">
      <c r="B214" s="673" t="s">
        <v>731</v>
      </c>
      <c r="C214" s="669" t="s">
        <v>732</v>
      </c>
      <c r="D214" s="670" t="s">
        <v>642</v>
      </c>
      <c r="E214" s="676" t="s">
        <v>403</v>
      </c>
      <c r="F214" s="674" t="s">
        <v>734</v>
      </c>
      <c r="G214" s="675" t="s">
        <v>735</v>
      </c>
      <c r="H214" s="675" t="s">
        <v>146</v>
      </c>
      <c r="I214" s="321">
        <v>500</v>
      </c>
      <c r="J214" s="241">
        <v>497961.39</v>
      </c>
      <c r="K214" s="586">
        <v>499999.99819323339</v>
      </c>
      <c r="L214" s="585">
        <v>-846.28819323334653</v>
      </c>
      <c r="M214" s="241">
        <v>499153.71</v>
      </c>
      <c r="N214" s="241">
        <v>500000</v>
      </c>
      <c r="O214" s="399" t="s">
        <v>736</v>
      </c>
      <c r="P214" s="80">
        <v>1.3968740296035608E-2</v>
      </c>
      <c r="Q214" s="400">
        <v>1</v>
      </c>
      <c r="R214" s="399">
        <v>4.19E-2</v>
      </c>
    </row>
    <row r="215" spans="2:18">
      <c r="B215" s="154" t="s">
        <v>661</v>
      </c>
      <c r="C215" s="140"/>
      <c r="D215" s="140"/>
      <c r="E215" s="140"/>
      <c r="F215" s="140"/>
      <c r="G215" s="140"/>
      <c r="H215" s="140"/>
      <c r="I215" s="140"/>
      <c r="J215" s="242">
        <v>33796424.899999999</v>
      </c>
      <c r="K215" s="242">
        <v>33969215.309043296</v>
      </c>
      <c r="L215" s="587">
        <v>-87077.399043302546</v>
      </c>
      <c r="M215" s="242">
        <v>33882137.909999996</v>
      </c>
      <c r="N215" s="242">
        <v>33309000</v>
      </c>
      <c r="O215" s="156"/>
      <c r="P215" s="157"/>
      <c r="Q215" s="156"/>
      <c r="R215" s="158"/>
    </row>
    <row r="216" spans="2:18">
      <c r="B216" s="154" t="s">
        <v>540</v>
      </c>
      <c r="C216" s="155"/>
      <c r="D216" s="155"/>
      <c r="E216" s="155"/>
      <c r="F216" s="155"/>
      <c r="G216" s="155"/>
      <c r="H216" s="155"/>
      <c r="I216" s="155"/>
      <c r="J216" s="401">
        <v>13964081.410000002</v>
      </c>
      <c r="K216" s="401">
        <v>14017181.631016118</v>
      </c>
      <c r="L216" s="645">
        <v>-19454.001016117636</v>
      </c>
      <c r="M216" s="401">
        <v>13997727.629999997</v>
      </c>
      <c r="N216" s="401">
        <v>13863022.140000001</v>
      </c>
      <c r="O216" s="159"/>
      <c r="P216" s="160"/>
      <c r="Q216" s="159"/>
      <c r="R216" s="161"/>
    </row>
    <row r="217" spans="2:18">
      <c r="B217" s="100"/>
      <c r="C217" s="96"/>
      <c r="D217" s="96"/>
      <c r="E217" s="96"/>
      <c r="F217" s="96"/>
      <c r="G217" s="96"/>
      <c r="H217" s="96"/>
      <c r="I217" s="96"/>
      <c r="J217" s="243"/>
      <c r="K217" s="677"/>
      <c r="L217" s="677"/>
      <c r="M217" s="678"/>
      <c r="N217" s="243"/>
      <c r="O217" s="96"/>
      <c r="P217" s="96"/>
      <c r="Q217" s="112"/>
      <c r="R217" s="96"/>
    </row>
    <row r="218" spans="2:18">
      <c r="B218" s="60"/>
      <c r="C218" s="60"/>
      <c r="D218" s="60"/>
      <c r="E218" s="60"/>
      <c r="F218" s="60"/>
      <c r="G218" s="60"/>
      <c r="H218" s="60"/>
      <c r="I218" s="60"/>
      <c r="J218" s="243"/>
      <c r="K218" s="678"/>
      <c r="M218" s="679"/>
      <c r="N218" s="60"/>
      <c r="O218" s="60"/>
      <c r="P218" s="113"/>
      <c r="Q218" s="60"/>
    </row>
    <row r="219" spans="2:18">
      <c r="B219" s="60"/>
      <c r="C219" s="60"/>
      <c r="D219" s="60"/>
      <c r="E219" s="60"/>
      <c r="F219" s="60"/>
      <c r="G219" s="60"/>
      <c r="H219" s="60"/>
      <c r="I219" s="60"/>
      <c r="J219" s="86"/>
      <c r="K219" s="60"/>
      <c r="L219" s="60"/>
      <c r="M219" s="60"/>
      <c r="N219" s="113"/>
      <c r="O219" s="60"/>
    </row>
    <row r="220" spans="2:18">
      <c r="B220" s="85" t="s">
        <v>157</v>
      </c>
      <c r="C220" s="85"/>
      <c r="D220" s="95"/>
      <c r="E220" s="60"/>
      <c r="F220" s="60"/>
      <c r="G220" s="60"/>
    </row>
    <row r="221" spans="2:18">
      <c r="B221" s="60" t="s">
        <v>61</v>
      </c>
      <c r="C221" s="99"/>
      <c r="D221" s="96"/>
      <c r="E221" s="60"/>
      <c r="F221" s="60"/>
      <c r="G221" s="60"/>
    </row>
    <row r="222" spans="2:18">
      <c r="B222" s="60"/>
      <c r="C222" s="60"/>
      <c r="D222" s="60"/>
      <c r="E222" s="60"/>
      <c r="F222" s="60"/>
      <c r="G222" s="60"/>
    </row>
    <row r="223" spans="2:18" ht="25.5">
      <c r="B223" s="141" t="s">
        <v>39</v>
      </c>
      <c r="C223" s="142"/>
      <c r="D223" s="199" t="s">
        <v>653</v>
      </c>
      <c r="E223" s="199" t="s">
        <v>538</v>
      </c>
      <c r="F223" s="60"/>
      <c r="G223" s="60"/>
    </row>
    <row r="224" spans="2:18">
      <c r="B224" s="143" t="s">
        <v>246</v>
      </c>
      <c r="C224" s="144"/>
      <c r="D224" s="365">
        <v>22777.57</v>
      </c>
      <c r="E224" s="365">
        <v>2127.0100000000002</v>
      </c>
      <c r="F224" s="60"/>
      <c r="G224" s="60"/>
    </row>
    <row r="225" spans="2:7">
      <c r="B225" s="143" t="s">
        <v>601</v>
      </c>
      <c r="C225" s="144"/>
      <c r="D225" s="365">
        <v>37.730000000000004</v>
      </c>
      <c r="E225" s="365">
        <v>531.46</v>
      </c>
      <c r="F225" s="60"/>
      <c r="G225" s="60"/>
    </row>
    <row r="226" spans="2:7">
      <c r="B226" s="81" t="s">
        <v>40</v>
      </c>
      <c r="C226" s="82"/>
      <c r="D226" s="366">
        <v>22815.3</v>
      </c>
      <c r="E226" s="366">
        <v>2658.4700000000003</v>
      </c>
      <c r="F226" s="284"/>
      <c r="G226" s="284"/>
    </row>
    <row r="227" spans="2:7">
      <c r="B227" s="60"/>
      <c r="C227" s="60"/>
      <c r="D227" s="60"/>
      <c r="E227" s="60"/>
      <c r="F227" s="60"/>
      <c r="G227" s="60"/>
    </row>
    <row r="228" spans="2:7">
      <c r="B228" s="60"/>
      <c r="C228" s="60"/>
      <c r="D228" s="60"/>
      <c r="E228" s="60"/>
      <c r="F228" s="60"/>
      <c r="G228" s="60"/>
    </row>
    <row r="229" spans="2:7">
      <c r="B229" s="85" t="s">
        <v>161</v>
      </c>
      <c r="C229" s="85"/>
      <c r="D229" s="95"/>
      <c r="E229" s="247"/>
      <c r="F229" s="136"/>
      <c r="G229" s="137"/>
    </row>
    <row r="230" spans="2:7">
      <c r="B230" s="60" t="s">
        <v>61</v>
      </c>
      <c r="C230" s="60"/>
      <c r="D230" s="60"/>
      <c r="E230" s="248"/>
      <c r="F230" s="136"/>
      <c r="G230" s="138"/>
    </row>
    <row r="231" spans="2:7">
      <c r="B231" s="60"/>
      <c r="C231" s="60"/>
      <c r="D231" s="60"/>
      <c r="E231" s="248"/>
      <c r="F231" s="136"/>
      <c r="G231" s="138"/>
    </row>
    <row r="232" spans="2:7" ht="25.5">
      <c r="B232" s="141" t="s">
        <v>39</v>
      </c>
      <c r="C232" s="142"/>
      <c r="D232" s="84" t="s">
        <v>653</v>
      </c>
      <c r="E232" s="199" t="s">
        <v>239</v>
      </c>
      <c r="F232" s="136"/>
      <c r="G232" s="138"/>
    </row>
    <row r="233" spans="2:7">
      <c r="B233" s="143" t="s">
        <v>150</v>
      </c>
      <c r="C233" s="144"/>
      <c r="D233" s="393">
        <v>41898.03</v>
      </c>
      <c r="E233" s="393">
        <v>0</v>
      </c>
      <c r="F233" s="136"/>
      <c r="G233" s="138"/>
    </row>
    <row r="234" spans="2:7">
      <c r="B234" s="81" t="s">
        <v>63</v>
      </c>
      <c r="C234" s="82"/>
      <c r="D234" s="394">
        <v>41898.03</v>
      </c>
      <c r="E234" s="394">
        <v>0</v>
      </c>
      <c r="F234" s="136"/>
      <c r="G234" s="136"/>
    </row>
    <row r="235" spans="2:7">
      <c r="B235" s="60"/>
      <c r="C235" s="60"/>
      <c r="D235" s="60"/>
      <c r="E235" s="248"/>
      <c r="F235" s="136"/>
      <c r="G235" s="138"/>
    </row>
    <row r="236" spans="2:7">
      <c r="B236" s="83"/>
      <c r="C236" s="83"/>
      <c r="D236" s="60"/>
      <c r="E236" s="247"/>
      <c r="F236" s="136"/>
      <c r="G236" s="138"/>
    </row>
    <row r="237" spans="2:7">
      <c r="B237" s="85" t="s">
        <v>183</v>
      </c>
      <c r="C237" s="85"/>
      <c r="D237" s="95"/>
      <c r="E237" s="247"/>
      <c r="F237" s="136"/>
      <c r="G237" s="137"/>
    </row>
    <row r="238" spans="2:7">
      <c r="B238" s="60" t="s">
        <v>742</v>
      </c>
      <c r="C238" s="83"/>
      <c r="D238" s="60"/>
      <c r="E238" s="247"/>
      <c r="F238" s="136"/>
      <c r="G238" s="138"/>
    </row>
    <row r="239" spans="2:7">
      <c r="B239" s="60"/>
      <c r="C239" s="83"/>
      <c r="D239" s="60"/>
      <c r="E239" s="247"/>
      <c r="F239" s="136"/>
      <c r="G239" s="138"/>
    </row>
    <row r="240" spans="2:7" ht="25.5" hidden="1">
      <c r="B240" s="141" t="s">
        <v>39</v>
      </c>
      <c r="C240" s="142"/>
      <c r="D240" s="199" t="s">
        <v>653</v>
      </c>
      <c r="E240" s="199" t="s">
        <v>239</v>
      </c>
      <c r="F240" s="136"/>
      <c r="G240" s="138"/>
    </row>
    <row r="241" spans="2:7" hidden="1">
      <c r="B241" s="143" t="s">
        <v>301</v>
      </c>
      <c r="C241" s="144"/>
      <c r="D241" s="393">
        <v>0</v>
      </c>
      <c r="E241" s="393">
        <v>0</v>
      </c>
      <c r="F241" s="136"/>
      <c r="G241" s="138"/>
    </row>
    <row r="242" spans="2:7" hidden="1">
      <c r="B242" s="81" t="s">
        <v>63</v>
      </c>
      <c r="C242" s="82"/>
      <c r="D242" s="394">
        <v>0</v>
      </c>
      <c r="E242" s="394">
        <v>0</v>
      </c>
      <c r="F242" s="136">
        <v>0</v>
      </c>
      <c r="G242" s="136">
        <v>0</v>
      </c>
    </row>
    <row r="243" spans="2:7" hidden="1">
      <c r="B243" s="60"/>
      <c r="C243" s="60"/>
      <c r="D243" s="60"/>
      <c r="E243" s="248"/>
      <c r="F243" s="136"/>
      <c r="G243" s="138"/>
    </row>
    <row r="244" spans="2:7">
      <c r="B244" s="60"/>
      <c r="C244" s="60"/>
      <c r="D244" s="60"/>
      <c r="E244" s="248"/>
      <c r="F244" s="136"/>
      <c r="G244" s="138"/>
    </row>
    <row r="245" spans="2:7">
      <c r="B245" s="85" t="s">
        <v>184</v>
      </c>
      <c r="C245" s="85"/>
      <c r="D245" s="95"/>
      <c r="E245" s="247"/>
      <c r="F245" s="136"/>
      <c r="G245" s="137"/>
    </row>
    <row r="246" spans="2:7">
      <c r="B246" s="60" t="s">
        <v>61</v>
      </c>
      <c r="C246" s="83"/>
      <c r="D246" s="60"/>
      <c r="E246" s="247"/>
      <c r="F246" s="136"/>
      <c r="G246" s="138"/>
    </row>
    <row r="247" spans="2:7">
      <c r="B247" s="60"/>
      <c r="C247" s="83"/>
      <c r="D247" s="60"/>
      <c r="E247" s="247"/>
      <c r="F247" s="136"/>
      <c r="G247" s="138"/>
    </row>
    <row r="248" spans="2:7" ht="25.5">
      <c r="B248" s="141" t="s">
        <v>39</v>
      </c>
      <c r="C248" s="142"/>
      <c r="D248" s="199" t="s">
        <v>653</v>
      </c>
      <c r="E248" s="199" t="s">
        <v>538</v>
      </c>
      <c r="F248" s="136"/>
      <c r="G248" s="138"/>
    </row>
    <row r="249" spans="2:7">
      <c r="B249" s="143" t="s">
        <v>243</v>
      </c>
      <c r="C249" s="144"/>
      <c r="D249" s="238">
        <v>1706430.17</v>
      </c>
      <c r="E249" s="238">
        <v>800661</v>
      </c>
      <c r="F249" s="136"/>
      <c r="G249" s="138"/>
    </row>
    <row r="250" spans="2:7">
      <c r="B250" s="81" t="s">
        <v>63</v>
      </c>
      <c r="C250" s="82"/>
      <c r="D250" s="239">
        <v>1706430.17</v>
      </c>
      <c r="E250" s="239">
        <v>800661</v>
      </c>
      <c r="F250" s="136"/>
      <c r="G250" s="136"/>
    </row>
    <row r="251" spans="2:7" ht="15">
      <c r="B251"/>
      <c r="C251" s="83"/>
      <c r="D251" s="60"/>
      <c r="E251" s="247"/>
      <c r="F251" s="136"/>
      <c r="G251" s="138"/>
    </row>
    <row r="252" spans="2:7">
      <c r="B252" s="60"/>
      <c r="C252" s="60"/>
      <c r="D252" s="60"/>
      <c r="E252" s="248"/>
      <c r="F252" s="136"/>
      <c r="G252" s="138"/>
    </row>
    <row r="253" spans="2:7">
      <c r="B253" s="85" t="s">
        <v>185</v>
      </c>
      <c r="C253" s="85"/>
      <c r="D253" s="95"/>
      <c r="E253" s="247"/>
      <c r="F253" s="136"/>
      <c r="G253" s="137"/>
    </row>
    <row r="254" spans="2:7">
      <c r="B254" s="60" t="s">
        <v>61</v>
      </c>
      <c r="C254" s="83"/>
      <c r="D254" s="60"/>
      <c r="E254" s="247"/>
      <c r="F254" s="136"/>
      <c r="G254" s="138"/>
    </row>
    <row r="255" spans="2:7">
      <c r="B255" s="60"/>
      <c r="C255" s="83"/>
      <c r="D255" s="60"/>
      <c r="E255" s="247"/>
      <c r="F255" s="136"/>
      <c r="G255" s="138"/>
    </row>
    <row r="256" spans="2:7" ht="25.5">
      <c r="B256" s="141" t="s">
        <v>39</v>
      </c>
      <c r="C256" s="142"/>
      <c r="D256" s="199" t="s">
        <v>653</v>
      </c>
      <c r="E256" s="199" t="s">
        <v>538</v>
      </c>
      <c r="F256" s="136"/>
      <c r="G256" s="138"/>
    </row>
    <row r="257" spans="2:7">
      <c r="B257" s="143" t="s">
        <v>237</v>
      </c>
      <c r="C257" s="144"/>
      <c r="D257" s="245">
        <v>0</v>
      </c>
      <c r="E257" s="245">
        <v>305.35000000000002</v>
      </c>
      <c r="F257" s="136"/>
      <c r="G257" s="138"/>
    </row>
    <row r="258" spans="2:7">
      <c r="B258" s="81" t="s">
        <v>63</v>
      </c>
      <c r="C258" s="82"/>
      <c r="D258" s="246">
        <v>0</v>
      </c>
      <c r="E258" s="246">
        <v>305.35000000000002</v>
      </c>
      <c r="F258" s="136"/>
      <c r="G258" s="136"/>
    </row>
    <row r="259" spans="2:7" ht="15">
      <c r="B259"/>
      <c r="C259" s="83"/>
      <c r="D259" s="666"/>
      <c r="E259" s="247"/>
      <c r="F259" s="136"/>
      <c r="G259" s="138"/>
    </row>
    <row r="260" spans="2:7">
      <c r="B260" s="83"/>
      <c r="C260" s="83"/>
      <c r="D260" s="60"/>
      <c r="E260" s="247"/>
      <c r="F260" s="136"/>
      <c r="G260" s="138"/>
    </row>
    <row r="261" spans="2:7">
      <c r="B261" s="85" t="s">
        <v>578</v>
      </c>
      <c r="C261" s="83"/>
      <c r="D261" s="60"/>
      <c r="E261" s="247"/>
      <c r="F261" s="136"/>
      <c r="G261" s="138"/>
    </row>
    <row r="262" spans="2:7">
      <c r="B262" s="60" t="s">
        <v>61</v>
      </c>
      <c r="C262" s="60"/>
      <c r="D262" s="60"/>
      <c r="E262" s="248"/>
      <c r="F262" s="136"/>
      <c r="G262" s="138"/>
    </row>
    <row r="263" spans="2:7">
      <c r="B263" s="60"/>
      <c r="C263" s="60"/>
      <c r="D263" s="60"/>
      <c r="E263" s="248"/>
      <c r="F263" s="136"/>
      <c r="G263" s="138"/>
    </row>
    <row r="264" spans="2:7" ht="25.5">
      <c r="B264" s="141" t="s">
        <v>39</v>
      </c>
      <c r="C264" s="142"/>
      <c r="D264" s="84" t="s">
        <v>653</v>
      </c>
      <c r="E264" s="199" t="s">
        <v>658</v>
      </c>
      <c r="F264" s="136"/>
      <c r="G264" s="138"/>
    </row>
    <row r="265" spans="2:7">
      <c r="B265" s="143" t="s">
        <v>130</v>
      </c>
      <c r="C265" s="144"/>
      <c r="D265" s="365">
        <v>517527.75</v>
      </c>
      <c r="E265" s="365">
        <v>4330.55</v>
      </c>
      <c r="F265" s="136"/>
      <c r="G265" s="138"/>
    </row>
    <row r="266" spans="2:7">
      <c r="B266" s="143" t="s">
        <v>292</v>
      </c>
      <c r="C266" s="144"/>
      <c r="D266" s="365">
        <v>108471.37000000001</v>
      </c>
      <c r="E266" s="365">
        <v>738.99</v>
      </c>
      <c r="F266" s="136"/>
      <c r="G266" s="138"/>
    </row>
    <row r="267" spans="2:7">
      <c r="B267" s="143" t="s">
        <v>590</v>
      </c>
      <c r="C267" s="144"/>
      <c r="D267" s="365">
        <v>11778.6</v>
      </c>
      <c r="E267" s="365">
        <v>0</v>
      </c>
      <c r="F267" s="136"/>
      <c r="G267" s="138"/>
    </row>
    <row r="268" spans="2:7">
      <c r="B268" s="220" t="s">
        <v>63</v>
      </c>
      <c r="C268" s="221"/>
      <c r="D268" s="395">
        <v>637777.72</v>
      </c>
      <c r="E268" s="395">
        <v>5069.54</v>
      </c>
      <c r="F268" s="136"/>
      <c r="G268" s="136"/>
    </row>
    <row r="269" spans="2:7">
      <c r="B269" s="265"/>
      <c r="C269" s="266"/>
      <c r="D269" s="266"/>
      <c r="E269" s="267"/>
      <c r="F269" s="136"/>
      <c r="G269" s="138"/>
    </row>
    <row r="270" spans="2:7">
      <c r="B270" s="265"/>
      <c r="C270" s="266"/>
      <c r="D270" s="266"/>
      <c r="E270" s="267"/>
      <c r="F270" s="136"/>
      <c r="G270" s="138"/>
    </row>
    <row r="271" spans="2:7">
      <c r="B271" s="85" t="s">
        <v>186</v>
      </c>
      <c r="C271" s="60"/>
      <c r="D271" s="60"/>
      <c r="E271" s="264"/>
      <c r="F271" s="136"/>
      <c r="G271" s="138"/>
    </row>
    <row r="272" spans="2:7">
      <c r="B272" s="60" t="s">
        <v>61</v>
      </c>
      <c r="C272" s="60"/>
      <c r="D272" s="60"/>
      <c r="E272" s="264"/>
      <c r="F272" s="136"/>
      <c r="G272" s="138"/>
    </row>
    <row r="273" spans="2:7">
      <c r="B273" s="60"/>
      <c r="C273" s="60"/>
      <c r="D273" s="60"/>
      <c r="E273" s="264"/>
      <c r="F273" s="136"/>
      <c r="G273" s="138"/>
    </row>
    <row r="274" spans="2:7" ht="25.5">
      <c r="B274" s="695" t="s">
        <v>39</v>
      </c>
      <c r="C274" s="697"/>
      <c r="D274" s="84" t="s">
        <v>653</v>
      </c>
      <c r="E274" s="199" t="s">
        <v>658</v>
      </c>
      <c r="F274" s="136"/>
      <c r="G274" s="138"/>
    </row>
    <row r="275" spans="2:7" hidden="1">
      <c r="B275" s="143" t="s">
        <v>229</v>
      </c>
      <c r="C275" s="144"/>
      <c r="D275" s="286">
        <v>0</v>
      </c>
      <c r="E275" s="289">
        <v>0</v>
      </c>
      <c r="F275" s="136"/>
      <c r="G275" s="138"/>
    </row>
    <row r="276" spans="2:7">
      <c r="B276" s="143" t="s">
        <v>230</v>
      </c>
      <c r="C276" s="144"/>
      <c r="D276" s="286">
        <v>4345115.22</v>
      </c>
      <c r="E276" s="667">
        <v>302590.67</v>
      </c>
      <c r="F276" s="136"/>
      <c r="G276" s="138"/>
    </row>
    <row r="277" spans="2:7">
      <c r="B277" s="143" t="s">
        <v>579</v>
      </c>
      <c r="C277" s="144"/>
      <c r="D277" s="667">
        <v>1955503.2</v>
      </c>
      <c r="E277" s="289">
        <v>781.04</v>
      </c>
      <c r="F277" s="136"/>
      <c r="G277" s="138"/>
    </row>
    <row r="278" spans="2:7" hidden="1">
      <c r="B278" s="143" t="s">
        <v>299</v>
      </c>
      <c r="C278" s="144"/>
      <c r="D278" s="286">
        <v>0</v>
      </c>
      <c r="E278" s="289">
        <v>0</v>
      </c>
      <c r="F278" s="136"/>
      <c r="G278" s="138"/>
    </row>
    <row r="279" spans="2:7">
      <c r="B279" s="220" t="s">
        <v>164</v>
      </c>
      <c r="C279" s="221"/>
      <c r="D279" s="287">
        <v>6300618.4199999999</v>
      </c>
      <c r="E279" s="287">
        <v>303371.70999999996</v>
      </c>
      <c r="F279" s="136"/>
      <c r="G279" s="136"/>
    </row>
    <row r="280" spans="2:7" hidden="1">
      <c r="B280" s="143" t="s">
        <v>167</v>
      </c>
      <c r="C280" s="144"/>
      <c r="D280" s="286">
        <v>0</v>
      </c>
      <c r="E280" s="289">
        <v>0</v>
      </c>
      <c r="F280" s="136"/>
      <c r="G280" s="138"/>
    </row>
    <row r="281" spans="2:7">
      <c r="B281" s="143" t="s">
        <v>228</v>
      </c>
      <c r="C281" s="144"/>
      <c r="D281" s="286">
        <v>-4339952.57</v>
      </c>
      <c r="E281" s="286">
        <v>-302435.02</v>
      </c>
      <c r="F281" s="136"/>
      <c r="G281" s="138"/>
    </row>
    <row r="282" spans="2:7">
      <c r="B282" s="143" t="s">
        <v>579</v>
      </c>
      <c r="C282" s="144"/>
      <c r="D282" s="286">
        <v>-1932376.9</v>
      </c>
      <c r="E282" s="289">
        <v>0</v>
      </c>
      <c r="F282" s="136"/>
      <c r="G282" s="138"/>
    </row>
    <row r="283" spans="2:7" hidden="1">
      <c r="B283" s="143" t="s">
        <v>299</v>
      </c>
      <c r="C283" s="144"/>
      <c r="D283" s="286">
        <v>0</v>
      </c>
      <c r="E283" s="289">
        <v>0</v>
      </c>
      <c r="F283" s="136"/>
      <c r="G283" s="138"/>
    </row>
    <row r="284" spans="2:7">
      <c r="B284" s="220" t="s">
        <v>165</v>
      </c>
      <c r="C284" s="221"/>
      <c r="D284" s="287">
        <v>-6272329.4700000007</v>
      </c>
      <c r="E284" s="287">
        <v>-302435.02</v>
      </c>
      <c r="F284" s="136"/>
      <c r="G284" s="136"/>
    </row>
    <row r="285" spans="2:7">
      <c r="B285" s="81" t="s">
        <v>166</v>
      </c>
      <c r="C285" s="82"/>
      <c r="D285" s="288">
        <v>28288.949999999255</v>
      </c>
      <c r="E285" s="288">
        <v>936.68999999994412</v>
      </c>
      <c r="F285" s="244"/>
      <c r="G285" s="136"/>
    </row>
    <row r="286" spans="2:7">
      <c r="B286" s="268"/>
      <c r="C286" s="268"/>
      <c r="D286" s="269"/>
      <c r="E286" s="270"/>
      <c r="F286" s="136"/>
      <c r="G286" s="136"/>
    </row>
    <row r="287" spans="2:7">
      <c r="B287" s="60"/>
      <c r="C287" s="60"/>
      <c r="D287" s="60"/>
      <c r="E287" s="248"/>
      <c r="F287" s="136"/>
      <c r="G287" s="138"/>
    </row>
    <row r="288" spans="2:7">
      <c r="B288" s="85" t="s">
        <v>300</v>
      </c>
      <c r="C288" s="83"/>
      <c r="D288" s="60"/>
      <c r="E288" s="247"/>
      <c r="F288" s="136"/>
      <c r="G288" s="138"/>
    </row>
    <row r="289" spans="2:7">
      <c r="B289" s="60" t="s">
        <v>61</v>
      </c>
      <c r="C289" s="60"/>
      <c r="D289" s="60"/>
      <c r="E289" s="248"/>
      <c r="F289" s="136"/>
      <c r="G289" s="138"/>
    </row>
    <row r="290" spans="2:7">
      <c r="B290" s="60"/>
      <c r="C290" s="60"/>
      <c r="D290" s="60"/>
      <c r="E290" s="248"/>
      <c r="F290" s="136"/>
      <c r="G290" s="138"/>
    </row>
    <row r="291" spans="2:7" ht="25.5">
      <c r="B291" s="695" t="s">
        <v>39</v>
      </c>
      <c r="C291" s="697"/>
      <c r="D291" s="84" t="s">
        <v>653</v>
      </c>
      <c r="E291" s="249" t="s">
        <v>658</v>
      </c>
      <c r="F291" s="136"/>
      <c r="G291" s="138"/>
    </row>
    <row r="292" spans="2:7">
      <c r="B292" s="143" t="s">
        <v>145</v>
      </c>
      <c r="C292" s="144"/>
      <c r="D292" s="238">
        <v>27588.98</v>
      </c>
      <c r="E292" s="396">
        <v>152.27000000000001</v>
      </c>
      <c r="F292" s="136"/>
      <c r="G292" s="138"/>
    </row>
    <row r="293" spans="2:7">
      <c r="B293" s="143" t="s">
        <v>580</v>
      </c>
      <c r="C293" s="144"/>
      <c r="D293" s="238">
        <v>21623.24</v>
      </c>
      <c r="E293" s="396">
        <v>0</v>
      </c>
      <c r="F293" s="136"/>
      <c r="G293" s="138"/>
    </row>
    <row r="294" spans="2:7">
      <c r="B294" s="220" t="s">
        <v>63</v>
      </c>
      <c r="C294" s="221"/>
      <c r="D294" s="287">
        <v>49212.22</v>
      </c>
      <c r="E294" s="395">
        <v>152.27000000000001</v>
      </c>
      <c r="F294" s="136"/>
      <c r="G294" s="136"/>
    </row>
    <row r="295" spans="2:7">
      <c r="B295" s="169"/>
      <c r="C295" s="60"/>
      <c r="D295" s="60"/>
      <c r="E295" s="248"/>
      <c r="F295" s="136"/>
      <c r="G295" s="138"/>
    </row>
    <row r="296" spans="2:7">
      <c r="B296" s="60"/>
      <c r="C296" s="60"/>
      <c r="D296" s="60"/>
      <c r="E296" s="248"/>
      <c r="F296" s="136"/>
      <c r="G296" s="138"/>
    </row>
    <row r="297" spans="2:7">
      <c r="B297" s="85" t="s">
        <v>187</v>
      </c>
      <c r="C297" s="83"/>
      <c r="D297" s="60"/>
      <c r="E297" s="248"/>
      <c r="F297" s="136"/>
      <c r="G297" s="138"/>
    </row>
    <row r="298" spans="2:7">
      <c r="B298" s="60" t="s">
        <v>61</v>
      </c>
      <c r="C298" s="60"/>
      <c r="D298" s="60"/>
      <c r="E298" s="248"/>
      <c r="F298" s="136"/>
      <c r="G298" s="138"/>
    </row>
    <row r="299" spans="2:7">
      <c r="B299" s="60"/>
      <c r="C299" s="60"/>
      <c r="D299" s="60"/>
      <c r="E299" s="248"/>
      <c r="F299" s="136"/>
      <c r="G299" s="138"/>
    </row>
    <row r="300" spans="2:7" ht="25.5">
      <c r="B300" s="695" t="s">
        <v>39</v>
      </c>
      <c r="C300" s="697"/>
      <c r="D300" s="84" t="s">
        <v>653</v>
      </c>
      <c r="E300" s="84" t="s">
        <v>658</v>
      </c>
      <c r="F300" s="136"/>
      <c r="G300" s="138"/>
    </row>
    <row r="301" spans="2:7">
      <c r="B301" s="143" t="s">
        <v>231</v>
      </c>
      <c r="C301" s="144"/>
      <c r="D301" s="238">
        <v>5282.9299999999985</v>
      </c>
      <c r="E301" s="250">
        <v>0</v>
      </c>
      <c r="F301" s="136"/>
      <c r="G301" s="138"/>
    </row>
    <row r="302" spans="2:7">
      <c r="B302" s="143" t="s">
        <v>189</v>
      </c>
      <c r="C302" s="144"/>
      <c r="D302" s="238">
        <v>146.46</v>
      </c>
      <c r="E302" s="250">
        <v>0</v>
      </c>
      <c r="F302" s="136"/>
      <c r="G302" s="138"/>
    </row>
    <row r="303" spans="2:7" s="332" customFormat="1">
      <c r="B303" s="333" t="s">
        <v>63</v>
      </c>
      <c r="C303" s="334"/>
      <c r="D303" s="335">
        <v>5429.3899999999985</v>
      </c>
      <c r="E303" s="336">
        <v>0</v>
      </c>
      <c r="F303" s="337"/>
      <c r="G303" s="337"/>
    </row>
    <row r="304" spans="2:7" ht="15">
      <c r="B304"/>
      <c r="C304" s="60"/>
      <c r="D304" s="60"/>
      <c r="E304" s="248"/>
      <c r="F304" s="136"/>
      <c r="G304" s="138"/>
    </row>
    <row r="305" spans="2:13">
      <c r="B305" s="85" t="s">
        <v>64</v>
      </c>
      <c r="C305" s="85"/>
      <c r="D305" s="60"/>
      <c r="E305" s="60"/>
      <c r="F305" s="65"/>
      <c r="G305" s="60"/>
      <c r="H305" s="60"/>
      <c r="I305" s="60"/>
    </row>
    <row r="306" spans="2:13" ht="45" customHeight="1">
      <c r="B306" s="702" t="s">
        <v>115</v>
      </c>
      <c r="C306" s="702"/>
      <c r="D306" s="702"/>
      <c r="E306" s="702"/>
      <c r="F306" s="702"/>
      <c r="G306" s="702"/>
      <c r="H306" s="702"/>
      <c r="I306" s="702"/>
      <c r="J306" s="702"/>
      <c r="K306" s="702"/>
      <c r="L306" s="702"/>
      <c r="M306" s="702"/>
    </row>
    <row r="307" spans="2:13" ht="17.45" customHeight="1">
      <c r="B307" s="328"/>
      <c r="C307" s="328"/>
      <c r="D307" s="328"/>
      <c r="E307" s="328"/>
      <c r="F307" s="328"/>
      <c r="G307" s="328"/>
      <c r="H307" s="328"/>
      <c r="I307" s="328"/>
      <c r="J307" s="328"/>
      <c r="K307" s="328"/>
      <c r="L307" s="328"/>
      <c r="M307" s="328"/>
    </row>
    <row r="308" spans="2:13">
      <c r="B308" s="85" t="s">
        <v>65</v>
      </c>
      <c r="C308" s="85"/>
      <c r="D308" s="60"/>
      <c r="E308" s="60"/>
      <c r="F308" s="65"/>
      <c r="G308" s="60"/>
      <c r="H308" s="60"/>
      <c r="I308" s="60"/>
    </row>
    <row r="309" spans="2:13" ht="16.149999999999999" customHeight="1">
      <c r="B309" s="701" t="s">
        <v>743</v>
      </c>
      <c r="C309" s="701"/>
      <c r="D309" s="701"/>
      <c r="E309" s="701"/>
      <c r="F309" s="701"/>
      <c r="G309" s="701"/>
      <c r="H309" s="701"/>
      <c r="I309" s="701"/>
    </row>
    <row r="310" spans="2:13">
      <c r="B310" s="60"/>
      <c r="C310" s="60"/>
      <c r="D310" s="60"/>
      <c r="E310" s="60"/>
      <c r="F310" s="65"/>
      <c r="G310" s="60"/>
      <c r="H310" s="60"/>
      <c r="I310" s="60"/>
    </row>
    <row r="311" spans="2:13">
      <c r="B311" s="85" t="s">
        <v>66</v>
      </c>
      <c r="C311" s="85"/>
      <c r="D311" s="60"/>
      <c r="E311" s="60"/>
      <c r="F311" s="65"/>
      <c r="G311" s="60"/>
      <c r="H311" s="60"/>
      <c r="I311" s="60"/>
    </row>
    <row r="312" spans="2:13" ht="15.6" customHeight="1">
      <c r="B312" s="701" t="s">
        <v>744</v>
      </c>
      <c r="C312" s="701"/>
      <c r="D312" s="701"/>
      <c r="E312" s="701"/>
      <c r="F312" s="701"/>
      <c r="G312" s="701"/>
      <c r="H312" s="701"/>
      <c r="I312" s="701"/>
    </row>
    <row r="313" spans="2:13">
      <c r="B313" s="74"/>
      <c r="C313" s="74"/>
      <c r="D313" s="74"/>
      <c r="E313" s="74"/>
      <c r="F313" s="74"/>
      <c r="G313" s="74"/>
      <c r="H313" s="74"/>
      <c r="I313" s="74"/>
    </row>
    <row r="314" spans="2:13">
      <c r="B314" s="85" t="s">
        <v>67</v>
      </c>
      <c r="C314" s="85"/>
      <c r="D314" s="60"/>
      <c r="E314" s="60"/>
      <c r="F314" s="60"/>
      <c r="G314" s="60"/>
      <c r="H314" s="60"/>
      <c r="I314" s="60"/>
    </row>
    <row r="315" spans="2:13" ht="22.15" customHeight="1">
      <c r="B315" s="701" t="s">
        <v>745</v>
      </c>
      <c r="C315" s="701"/>
      <c r="D315" s="701"/>
      <c r="E315" s="701"/>
      <c r="F315" s="701"/>
      <c r="G315" s="701"/>
      <c r="H315" s="701"/>
      <c r="I315" s="701"/>
      <c r="J315" s="701"/>
      <c r="K315" s="701"/>
      <c r="L315" s="701"/>
      <c r="M315" s="701"/>
    </row>
    <row r="316" spans="2:13">
      <c r="B316" s="60"/>
      <c r="C316" s="60"/>
      <c r="D316" s="60"/>
      <c r="E316" s="60"/>
      <c r="F316" s="60"/>
      <c r="G316" s="60"/>
      <c r="H316" s="60"/>
      <c r="I316" s="60"/>
    </row>
    <row r="317" spans="2:13">
      <c r="B317" s="48"/>
      <c r="C317" s="1"/>
      <c r="D317" s="1"/>
      <c r="E317" s="1"/>
      <c r="F317" s="1"/>
      <c r="G317" s="1"/>
      <c r="H317" s="1"/>
      <c r="I317" s="1"/>
    </row>
    <row r="318" spans="2:13">
      <c r="B318" s="60"/>
      <c r="C318" s="60"/>
      <c r="D318" s="60"/>
      <c r="E318" s="60"/>
      <c r="F318" s="60"/>
      <c r="G318" s="60"/>
      <c r="H318" s="60"/>
      <c r="I318" s="60"/>
    </row>
    <row r="319" spans="2:13">
      <c r="B319" s="60"/>
      <c r="C319" s="60"/>
      <c r="D319" s="60"/>
      <c r="E319" s="60"/>
      <c r="F319" s="60"/>
      <c r="G319" s="60"/>
      <c r="H319" s="60"/>
      <c r="I319" s="60"/>
    </row>
    <row r="320" spans="2:13">
      <c r="B320" s="62"/>
      <c r="C320" s="60"/>
      <c r="D320" s="62"/>
      <c r="E320" s="60"/>
      <c r="F320" s="63"/>
      <c r="G320" s="50"/>
      <c r="H320" s="59"/>
      <c r="I320" s="60"/>
    </row>
    <row r="321" spans="2:9">
      <c r="B321" s="64"/>
      <c r="C321" s="60"/>
      <c r="D321" s="64"/>
      <c r="E321" s="60"/>
      <c r="F321" s="65"/>
      <c r="G321" s="77"/>
      <c r="H321" s="64"/>
      <c r="I321" s="78"/>
    </row>
    <row r="322" spans="2:9">
      <c r="B322" s="60"/>
      <c r="C322" s="60"/>
      <c r="D322" s="60"/>
      <c r="E322" s="60"/>
      <c r="F322" s="60"/>
      <c r="G322" s="60"/>
      <c r="H322" s="60"/>
      <c r="I322" s="60"/>
    </row>
    <row r="323" spans="2:9">
      <c r="B323" s="62"/>
      <c r="C323" s="62" t="s">
        <v>147</v>
      </c>
      <c r="E323" s="59" t="s">
        <v>750</v>
      </c>
      <c r="F323" s="60"/>
      <c r="H323" s="59" t="s">
        <v>650</v>
      </c>
      <c r="I323" s="60"/>
    </row>
    <row r="324" spans="2:9">
      <c r="B324" s="64"/>
      <c r="C324" s="64" t="s">
        <v>116</v>
      </c>
      <c r="E324" s="75" t="s">
        <v>174</v>
      </c>
      <c r="F324" s="60"/>
      <c r="H324" s="64" t="s">
        <v>117</v>
      </c>
      <c r="I324" s="60"/>
    </row>
    <row r="325" spans="2:9">
      <c r="B325" s="60"/>
      <c r="C325" s="60"/>
      <c r="D325" s="60"/>
      <c r="E325" s="60"/>
      <c r="F325" s="60"/>
      <c r="G325" s="60"/>
      <c r="H325" s="60"/>
      <c r="I325" s="60"/>
    </row>
    <row r="326" spans="2:9">
      <c r="B326" s="60"/>
      <c r="C326" s="60"/>
      <c r="D326" s="60"/>
      <c r="E326" s="60"/>
      <c r="F326" s="60"/>
      <c r="G326" s="60"/>
      <c r="H326" s="60"/>
      <c r="I326" s="60"/>
    </row>
    <row r="327" spans="2:9" s="329" customFormat="1">
      <c r="B327" s="646"/>
      <c r="C327" s="646"/>
      <c r="D327" s="646"/>
      <c r="E327" s="646"/>
      <c r="F327" s="646"/>
      <c r="G327" s="646"/>
      <c r="H327" s="646"/>
      <c r="I327" s="646"/>
    </row>
    <row r="328" spans="2:9" s="329" customFormat="1">
      <c r="B328" s="646"/>
      <c r="C328" s="646"/>
      <c r="D328" s="646"/>
      <c r="E328" s="646"/>
      <c r="F328" s="646"/>
      <c r="G328" s="646"/>
      <c r="H328" s="646"/>
      <c r="I328" s="646"/>
    </row>
    <row r="329" spans="2:9" s="329" customFormat="1">
      <c r="B329" s="646"/>
      <c r="C329" s="646"/>
      <c r="D329" s="646"/>
      <c r="E329" s="646"/>
      <c r="F329" s="646"/>
      <c r="G329" s="646"/>
      <c r="H329" s="646"/>
      <c r="I329" s="646"/>
    </row>
    <row r="330" spans="2:9" s="329" customFormat="1">
      <c r="B330" s="646"/>
      <c r="C330" s="646"/>
      <c r="D330" s="646"/>
      <c r="E330" s="646"/>
      <c r="F330" s="646"/>
      <c r="G330" s="646"/>
      <c r="H330" s="646"/>
      <c r="I330" s="646"/>
    </row>
    <row r="331" spans="2:9" s="329" customFormat="1">
      <c r="B331" s="646"/>
      <c r="C331" s="700" t="s">
        <v>581</v>
      </c>
      <c r="D331" s="700"/>
      <c r="E331" s="646"/>
      <c r="F331" s="646"/>
      <c r="G331" s="648" t="s">
        <v>583</v>
      </c>
      <c r="H331" s="646"/>
      <c r="I331" s="646"/>
    </row>
    <row r="332" spans="2:9" s="329" customFormat="1">
      <c r="B332" s="646"/>
      <c r="C332" s="710" t="s">
        <v>582</v>
      </c>
      <c r="D332" s="710"/>
      <c r="E332" s="646"/>
      <c r="F332" s="646"/>
      <c r="G332" s="650" t="s">
        <v>584</v>
      </c>
      <c r="H332" s="646"/>
      <c r="I332" s="646"/>
    </row>
    <row r="333" spans="2:9" s="329" customFormat="1">
      <c r="B333" s="646"/>
      <c r="C333" s="646"/>
      <c r="D333" s="646"/>
      <c r="E333" s="646"/>
      <c r="F333" s="646"/>
      <c r="G333" s="646"/>
      <c r="H333" s="646"/>
      <c r="I333" s="646"/>
    </row>
  </sheetData>
  <customSheetViews>
    <customSheetView guid="{7015FC6D-0680-4B00-AA0E-B83DA1D0B666}" scale="80" showPageBreaks="1" showGridLines="0" printArea="1" view="pageBreakPreview" topLeftCell="A79">
      <selection activeCell="H119" sqref="H119"/>
      <pageMargins left="0" right="0" top="0" bottom="0" header="0" footer="0"/>
      <pageSetup scale="67" orientation="portrait" r:id="rId1"/>
    </customSheetView>
    <customSheetView guid="{5FCC9217-B3E9-4B91-A943-5F21728EBEE9}" scale="80" showPageBreaks="1" showGridLines="0" printArea="1" view="pageBreakPreview" topLeftCell="A79">
      <selection activeCell="H119" sqref="H119"/>
      <pageMargins left="0" right="0" top="0" bottom="0" header="0" footer="0"/>
      <pageSetup scale="67" orientation="portrait" r:id="rId2"/>
    </customSheetView>
    <customSheetView guid="{F3648BCD-1CED-4BBB-AE63-37BDB925883F}" scale="80" showPageBreaks="1" showGridLines="0" printArea="1" view="pageBreakPreview">
      <selection activeCell="G307" sqref="G306:G307"/>
      <pageMargins left="0" right="0" top="0" bottom="0" header="0" footer="0"/>
      <pageSetup scale="67" orientation="portrait" r:id="rId3"/>
    </customSheetView>
  </customSheetViews>
  <mergeCells count="104">
    <mergeCell ref="C332:D332"/>
    <mergeCell ref="B42:G42"/>
    <mergeCell ref="H42:I42"/>
    <mergeCell ref="J42:K42"/>
    <mergeCell ref="B39:G39"/>
    <mergeCell ref="H39:I39"/>
    <mergeCell ref="J39:K39"/>
    <mergeCell ref="B40:G40"/>
    <mergeCell ref="H40:I40"/>
    <mergeCell ref="J40:K40"/>
    <mergeCell ref="B41:G41"/>
    <mergeCell ref="H41:I41"/>
    <mergeCell ref="J41:K41"/>
    <mergeCell ref="B62:M62"/>
    <mergeCell ref="B315:M315"/>
    <mergeCell ref="B72:M72"/>
    <mergeCell ref="B75:M75"/>
    <mergeCell ref="B81:M81"/>
    <mergeCell ref="B85:M85"/>
    <mergeCell ref="B92:M92"/>
    <mergeCell ref="B89:M89"/>
    <mergeCell ref="B78:M78"/>
    <mergeCell ref="B84:M84"/>
    <mergeCell ref="B98:C98"/>
    <mergeCell ref="C331:D331"/>
    <mergeCell ref="B88:M88"/>
    <mergeCell ref="B107:C107"/>
    <mergeCell ref="B300:C300"/>
    <mergeCell ref="B312:I312"/>
    <mergeCell ref="B309:I309"/>
    <mergeCell ref="B306:M306"/>
    <mergeCell ref="B128:F129"/>
    <mergeCell ref="B63:M63"/>
    <mergeCell ref="B96:C96"/>
    <mergeCell ref="B291:C291"/>
    <mergeCell ref="B274:C274"/>
    <mergeCell ref="B99:E102"/>
    <mergeCell ref="B139:B140"/>
    <mergeCell ref="D139:D140"/>
    <mergeCell ref="B97:C97"/>
    <mergeCell ref="B64:M64"/>
    <mergeCell ref="B65:M65"/>
    <mergeCell ref="B70:M70"/>
    <mergeCell ref="E139:E140"/>
    <mergeCell ref="F139:F140"/>
    <mergeCell ref="G139:G140"/>
    <mergeCell ref="H139:H140"/>
    <mergeCell ref="I139:I140"/>
    <mergeCell ref="B27:G27"/>
    <mergeCell ref="H27:I27"/>
    <mergeCell ref="J27:K27"/>
    <mergeCell ref="B28:G28"/>
    <mergeCell ref="H28:I28"/>
    <mergeCell ref="J28:K28"/>
    <mergeCell ref="B61:M61"/>
    <mergeCell ref="B58:M58"/>
    <mergeCell ref="B51:M51"/>
    <mergeCell ref="B53:M53"/>
    <mergeCell ref="J29:K29"/>
    <mergeCell ref="B30:G30"/>
    <mergeCell ref="J31:K31"/>
    <mergeCell ref="B32:G32"/>
    <mergeCell ref="B36:G36"/>
    <mergeCell ref="H32:I32"/>
    <mergeCell ref="J32:K32"/>
    <mergeCell ref="B33:G33"/>
    <mergeCell ref="H33:I33"/>
    <mergeCell ref="J33:K33"/>
    <mergeCell ref="B31:G31"/>
    <mergeCell ref="H31:I31"/>
    <mergeCell ref="B7:M7"/>
    <mergeCell ref="B21:M21"/>
    <mergeCell ref="B24:M24"/>
    <mergeCell ref="B8:M8"/>
    <mergeCell ref="B16:M16"/>
    <mergeCell ref="B22:K22"/>
    <mergeCell ref="B13:M13"/>
    <mergeCell ref="B26:G26"/>
    <mergeCell ref="H26:I26"/>
    <mergeCell ref="J26:K26"/>
    <mergeCell ref="J139:J140"/>
    <mergeCell ref="C139:C140"/>
    <mergeCell ref="B29:G29"/>
    <mergeCell ref="H29:I29"/>
    <mergeCell ref="B48:M48"/>
    <mergeCell ref="B47:M47"/>
    <mergeCell ref="B44:K44"/>
    <mergeCell ref="B45:M45"/>
    <mergeCell ref="B37:G37"/>
    <mergeCell ref="H37:I37"/>
    <mergeCell ref="B34:G34"/>
    <mergeCell ref="H34:I34"/>
    <mergeCell ref="J37:K37"/>
    <mergeCell ref="B38:G38"/>
    <mergeCell ref="H38:I38"/>
    <mergeCell ref="J38:K38"/>
    <mergeCell ref="J34:K34"/>
    <mergeCell ref="B35:G35"/>
    <mergeCell ref="H35:I35"/>
    <mergeCell ref="J35:K35"/>
    <mergeCell ref="H36:I36"/>
    <mergeCell ref="J36:K36"/>
    <mergeCell ref="H30:I30"/>
    <mergeCell ref="J30:K30"/>
  </mergeCells>
  <hyperlinks>
    <hyperlink ref="M5" location="INDICE!A1" display="Índice" xr:uid="{28CFDE56-131D-4688-94CF-34527DCB6E3C}"/>
  </hyperlinks>
  <pageMargins left="0.7" right="0.7" top="0.75" bottom="0.75" header="0.3" footer="0.3"/>
  <pageSetup paperSize="9" scale="65" fitToHeight="0" orientation="portrait" r:id="rId4"/>
  <drawing r:id="rId5"/>
  <legacyDrawing r:id="rId6"/>
</worksheet>
</file>

<file path=_xmlsignatures/_rels/origin.sigs.rels><?xml version="1.0" encoding="UTF-8" standalone="yes"?>
<Relationships xmlns="http://schemas.openxmlformats.org/package/2006/relationships"><Relationship Id="rId8" Type="http://schemas.openxmlformats.org/package/2006/relationships/digital-signature/signature" Target="sig8.xml"/><Relationship Id="rId13" Type="http://schemas.openxmlformats.org/package/2006/relationships/digital-signature/signature" Target="sig13.xml"/><Relationship Id="rId3" Type="http://schemas.openxmlformats.org/package/2006/relationships/digital-signature/signature" Target="sig3.xml"/><Relationship Id="rId7" Type="http://schemas.openxmlformats.org/package/2006/relationships/digital-signature/signature" Target="sig7.xml"/><Relationship Id="rId12" Type="http://schemas.openxmlformats.org/package/2006/relationships/digital-signature/signature" Target="sig12.xml"/><Relationship Id="rId2" Type="http://schemas.openxmlformats.org/package/2006/relationships/digital-signature/signature" Target="sig2.xml"/><Relationship Id="rId1" Type="http://schemas.openxmlformats.org/package/2006/relationships/digital-signature/signature" Target="sig1.xml"/><Relationship Id="rId6" Type="http://schemas.openxmlformats.org/package/2006/relationships/digital-signature/signature" Target="sig6.xml"/><Relationship Id="rId11" Type="http://schemas.openxmlformats.org/package/2006/relationships/digital-signature/signature" Target="sig11.xml"/><Relationship Id="rId5" Type="http://schemas.openxmlformats.org/package/2006/relationships/digital-signature/signature" Target="sig5.xml"/><Relationship Id="rId15" Type="http://schemas.openxmlformats.org/package/2006/relationships/digital-signature/signature" Target="sig15.xml"/><Relationship Id="rId10" Type="http://schemas.openxmlformats.org/package/2006/relationships/digital-signature/signature" Target="sig10.xml"/><Relationship Id="rId4" Type="http://schemas.openxmlformats.org/package/2006/relationships/digital-signature/signature" Target="sig4.xml"/><Relationship Id="rId9" Type="http://schemas.openxmlformats.org/package/2006/relationships/digital-signature/signature" Target="sig9.xml"/><Relationship Id="rId14" Type="http://schemas.openxmlformats.org/package/2006/relationships/digital-signature/signature" Target="sig14.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9JyyIa5V1CyOUGHM5oGEe2c/NgNNuzGAwPEB3wyis4F9dDYQ+vATMeou5Hx3wStBJjEq7Hw1gs/U
y0rVYGdMrA==</DigestValue>
    </Reference>
    <Reference Type="http://www.w3.org/2000/09/xmldsig#Object" URI="#idOfficeObject">
      <DigestMethod Algorithm="http://www.w3.org/2001/04/xmlenc#sha512"/>
      <DigestValue>Slb1e4l3Oy8ooJq6VTE4mVpaMOEDkDYJLqtM8xll/uxZaNEKKlLSmUoQ7WtlRbEMDAjasBJBNSqD
iege6JFItQ==</DigestValue>
    </Reference>
    <Reference Type="http://uri.etsi.org/01903#SignedProperties" URI="#idSignedProperties">
      <Transforms>
        <Transform Algorithm="http://www.w3.org/TR/2001/REC-xml-c14n-20010315"/>
      </Transforms>
      <DigestMethod Algorithm="http://www.w3.org/2001/04/xmlenc#sha512"/>
      <DigestValue>bCKE8/Skvy1pDk7+lkUqHRKTPFqCnMvbBHmivft4qjYehbOAcZX+IXnu6nM98pKS1Aa2iSnDYuQW
XcKxJ7F4PA==</DigestValue>
    </Reference>
    <Reference Type="http://www.w3.org/2000/09/xmldsig#Object" URI="#idValidSigLnImg">
      <DigestMethod Algorithm="http://www.w3.org/2001/04/xmlenc#sha512"/>
      <DigestValue>racVcDCkJOjS/Ead0k3Xys/8ljvN8v+4NLLr+towTVQK/+TqjBxWdf+uW5lOL3Ti662yS5R3qRiR
S8s7L/pn8Q==</DigestValue>
    </Reference>
    <Reference Type="http://www.w3.org/2000/09/xmldsig#Object" URI="#idInvalidSigLnImg">
      <DigestMethod Algorithm="http://www.w3.org/2001/04/xmlenc#sha512"/>
      <DigestValue>sIeshzH5nel2okhocqF/o+nOhk71B5gWqh7rJUq741W7lkr7LEfZ7EUjornoMQOzGGEhZ5GNCL56
XWSTYbDPdA==</DigestValue>
    </Reference>
  </SignedInfo>
  <SignatureValue>1R8s8SqkE9/i07azT+8Qp8mDZ0cSm4raBPRXn1HTZK781qCL53rtGCxI3CyDojWM1Ax5Nm7ZBT/o
/86Lm5WhPvOjV0mVx6YuihbJdRO7dTMpva/b9WwI+8vpjbafPGc8EL5J9f7ZlYr42ZAlBYwfihKq
6AaiYy5kd6yLtV+9WahW7oAjPRqm1UzMaqc9Yelm6APuagq9OsEmYIr71fhfTmT7aBA/csCQpL36
sprVRIjxw6Qr1AdDQEcbRUtwydM/mT4zNLPR3yoFxDTjD8d4C6cmc4tyPx90DlmNIlynbu6X3fEU
U+xQilpf/fiOn43AHQHUDWVx1JPOKqn/0j2BPA==</SignatureValue>
  <KeyInfo>
    <X509Data>
      <X509Certificate>MIIHpzCCBY+gAwIBAgIRAOaMOS7wawa8TPeJW5TMYRswDQYJKoZIhvcNAQENBQAwgYUxCzAJBgNVBAYTAlBZMQ0wCwYDVQQKEwRJQ1BQMTgwNgYDVQQLEy9QcmVzdGFkb3IgQ3VhbGlmaWNhZG8gZGUgU2VydmljaW9zIGRlIENvbmZpYW56YTEVMBMGA1UEAxMMQ09ERTEwMCBTLkEuMRYwFAYDVQQFEw1SVUM4MDA4MDYxMC03MB4XDTI2MDczMDE0MzYyM1oXDTI4MDczMDE0MzYyM1owgbgxCzAJBgNVBAYTAlBZMTYwNAYDVQQKDC1DRVJUSUZJQ0FETyBDVUFMSUZJQ0FETyBERSBGSVJNQSBFTEVDVFLDk05JQ0ExCzAJBgNVBAsTAkYyMRUwEwYDVQQEEwxSSU9TIFpBUkFDSE8xFTATBgNVBCoTDExVSkFOIE1BR0FMSTEiMCAGA1UEAxMZTFVKQU4gTUFHQUxJIFJJT1MgWkFSQUNITzESMBAGA1UEBRMJQ0k0Nzg5MzE5MIIBIjANBgkqhkiG9w0BAQEFAAOCAQ8AMIIBCgKCAQEA3b1/j8X50yxjZQCZ9ws/0syUM+a29aa27HuYFphpcuJe166FVsUU6Slj9t3gz4EMOzd01wpjBY52FY5Z9n87fJ2KQLkyYwlfdJgwWtuy82AhUC8T7ocsC1FitA0zryI1CqZcKgBxho3YVoRRvYRxR87ASPQ7ZQtJdrLqHTyEodfSNDSoagS8lKCwx+6Im/46EQCcoq0bwIxunf6uvreWE7IhcsBgSaKTKzvWg2fQpZFga0G8CRmrqBkU7KW4b6PzdcWk9pTkDqYqe6BLv3hbhbCzFLpwhPp+PKiTior1OP0sFQ6LMlgPoqzDbwT1X5SoXVMxwdlga1KRQ5ofhQtKZwIDAQABo4IC2zCCAtcwDAYDVR0TAQH/BAIwADAdBgNVHQ4EFgQUDmAR507UwF3py+/eag0NuvPNqjkwHwYDVR0jBBgwFoAUvjVUYmhg5ybTMcFfl7Hi9mTOB/UwDgYDVR0PAQH/BAQDAgXgMFIGA1UdEQRLMEmBGkxVLlJJT1NaQVJBQ0hPQEhPVE1BSUwuQ09N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OPOiMPu8uKoUKnBEZOR+Zw1VjuFyNErhAd9k0+jXVvSEXuD+Nyp34E0dHsDSD+yD5KDOg7LC7wbouEbdqNnXVswZIPi2+/y9Adb0XysBOaZgEmFAqUomHbzvUjcYpzhj4ZjhC+pY9ryU14bs5pXEJpIj2n8YFUF1757cUEDHSd2lV3OXx/ygB7pRMnrqzbjnXPV2dYK+XXox4HtaQLP1VqD6lem4ONC24BhKzt6ZiAsICDbquwHZQmYCRYTBq15JUL3HWBf40UWuD/Hq9yKfPdKKXe7/QYw23sezC/p8TmEAm1tEQHSM6b/3apdUfb8CsWn0yiF28aj75J5n0T/9BveIyiTYCteqgTEXlWn4K+GPHHW9SvcBY11ANuHoiIAglsCgM+Us2IaOQeDY2/UA+5PfsC2pRUItM2xcEB8NIjGbDsPfFy04y165cx+st/gj04plbrDkzl74+LPgz/2iZUblbSPhE5qgdLZUB6crXtts9zE7B8nbC1Cn9UnA1U6pMLzBXXnCmz8fqxfLpyl32oekzzEgiDHpKKjWxHFhVkW0SNy09zyyRIgMYok7Mt8CGmj/zOSLwGF5Kfd9v9U2zWByl2nPlt36KZvtGuWEbll5rKeItfjtXYVVuecv6pkViDziJiHD5aBH250YSUFkmAuroErioSv/2UV+1/Z5OY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zgkyY6HSQK1BZB2kWWxoNv5MipmhTNVieG8sdJPI+9ncNzAnZD8LMrOTVBRs6s+ybpp1DxvqRgYGdROJhmbtIA==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Transform>
          <Transform Algorithm="http://www.w3.org/TR/2001/REC-xml-c14n-20010315"/>
        </Transforms>
        <DigestMethod Algorithm="http://www.w3.org/2001/04/xmlenc#sha512"/>
        <DigestValue>ludKKNtX5tnJpJ2rTMlsUNrggaepUlcBhrqNsUPg2NNtMbTuEeAFMjeY4P+TnJRxOTDlm/kwQIxQmPlJFKXiEQ==</DigestValue>
      </Reference>
      <Reference URI="/xl/calcChain.xml?ContentType=application/vnd.openxmlformats-officedocument.spreadsheetml.calcChain+xml">
        <DigestMethod Algorithm="http://www.w3.org/2001/04/xmlenc#sha512"/>
        <DigestValue>WojsXToDteF7+ZWPpDnkYgFxgeWjZrPEWlqusY2JYkLMGdcw2A+YBiyBd9wNPvrFpdeslBF41iWOjZ33wT+Dqw==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S5wr5IMKvcWEnYMlKM7CUvUJd1upKTDF0xqh90p5lNg3w9BlaoOXUXE/3ceouv6w+pfkd+zy22/Oq6mEtOsfEg==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szIPcT7Amlp5Mi6udC/yNfBr1EBwz8kR1C/bu9OHyrsNAf9hGpn30HkwwM51M/8gQ8KZ+aYKKZKMX4sD13zT6Q==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S5wr5IMKvcWEnYMlKM7CUvUJd1upKTDF0xqh90p5lNg3w9BlaoOXUXE/3ceouv6w+pfkd+zy22/Oq6mEtOsfEg==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/vD+TMAesbVivJYLl6c3cA/KKAHBFjP5NGsE+yVfoX1MvvC5vxij4GfI8OJ9cu12E0m8H85itLIae9+N/ydXPg==</DigestValue>
      </Reference>
      <Reference URI="/xl/drawings/drawing1.xml?ContentType=application/vnd.openxmlformats-officedocument.drawing+xml">
        <DigestMethod Algorithm="http://www.w3.org/2001/04/xmlenc#sha512"/>
        <DigestValue>s8fgwTh33sUNHpJnKH+gtDhCL/XxgS4d7AtFDxcpKunPUJ25vABxFDXdJf+KomJj6V+3PtnA6fWN47fCXWd8Uw==</DigestValue>
      </Reference>
      <Reference URI="/xl/drawings/drawing2.xml?ContentType=application/vnd.openxmlformats-officedocument.drawing+xml">
        <DigestMethod Algorithm="http://www.w3.org/2001/04/xmlenc#sha512"/>
        <DigestValue>wCBhU5hY64AOXMkUNJBwPQypITgHwnzlhW6cVzhlQpfC96cf6NROcNMnMwZapr3VbiT+Xf2sknj4mNVA3Rj2Eg==</DigestValue>
      </Reference>
      <Reference URI="/xl/drawings/drawing3.xml?ContentType=application/vnd.openxmlformats-officedocument.drawing+xml">
        <DigestMethod Algorithm="http://www.w3.org/2001/04/xmlenc#sha512"/>
        <DigestValue>PJkQi4zRVVCs2V5SMmB7RlZNvhfvRFomB/rcUwgTgSMyvqSps+NzdHz7mBpBzXK5aFFccSR9lXwQ9Vz4z/47CA==</DigestValue>
      </Reference>
      <Reference URI="/xl/drawings/drawing4.xml?ContentType=application/vnd.openxmlformats-officedocument.drawing+xml">
        <DigestMethod Algorithm="http://www.w3.org/2001/04/xmlenc#sha512"/>
        <DigestValue>1fhhX3JvoYhIDinAoOnYV3YVOfLzRYiI7VTouoR5rRtABENlGFnXSw4BXIqaynwWT1lBZ1/7c4xEJnKQTUxhMA==</DigestValue>
      </Reference>
      <Reference URI="/xl/drawings/drawing5.xml?ContentType=application/vnd.openxmlformats-officedocument.drawing+xml">
        <DigestMethod Algorithm="http://www.w3.org/2001/04/xmlenc#sha512"/>
        <DigestValue>/8yVWtgywRqL4S1HaYAuukZMhVRaZbJkAhrW+7yf9zaENSUKr2YWoAHHIugJCV2HWaQESzM8pi2q17KV83GRlw==</DigestValue>
      </Reference>
      <Reference URI="/xl/drawings/drawing6.xml?ContentType=application/vnd.openxmlformats-officedocument.drawing+xml">
        <DigestMethod Algorithm="http://www.w3.org/2001/04/xmlenc#sha512"/>
        <DigestValue>88SBM5bzNK+LPMb7UZG05GRZ8Io3sSRpJw7TFXYf/w5tRd+oVZtultXhbGyQa5iZ7qi72gWs3zI0t9TgZpm9eQ==</DigestValue>
      </Reference>
      <Reference URI="/xl/drawings/drawing7.xml?ContentType=application/vnd.openxmlformats-officedocument.drawing+xml">
        <DigestMethod Algorithm="http://www.w3.org/2001/04/xmlenc#sha512"/>
        <DigestValue>qQWQx6gFE3KCWFy3HlSUMYo49ETAsflURudgWkXVA0CVfDUxCl/FXvW7zwjkTzU/yzd7PnSTQppZhw7ajydxNQ==</DigestValue>
      </Reference>
      <Reference URI="/xl/drawings/drawing8.xml?ContentType=application/vnd.openxmlformats-officedocument.drawing+xml">
        <DigestMethod Algorithm="http://www.w3.org/2001/04/xmlenc#sha512"/>
        <DigestValue>Tk5XCMyllastPidHWRYQhP7bRNxm2qK28gFpL20GxcviEwStH/kxe/Jy10nTWAbiBwOdDm/JPvHIRCmasN7DdQ==</DigestValue>
      </Reference>
      <Reference URI="/xl/drawings/vmlDrawing1.vml?ContentType=application/vnd.openxmlformats-officedocument.vmlDrawing">
        <DigestMethod Algorithm="http://www.w3.org/2001/04/xmlenc#sha512"/>
        <DigestValue>T52xBKPYDZiMk3sX1evxWyFQi8RsDCM2lWCwscSGt4QpaV8sgz0cEHpAyG16taEKPV7qaSzcfObcAnzg4XDXvA==</DigestValue>
      </Reference>
      <Reference URI="/xl/drawings/vmlDrawing2.vml?ContentType=application/vnd.openxmlformats-officedocument.vmlDrawing">
        <DigestMethod Algorithm="http://www.w3.org/2001/04/xmlenc#sha512"/>
        <DigestValue>Qh95fYYpQl1lsOx4lAxyhcQ0AROeN2g6MtmmLW/o1lPnOkxC0a69xtxjrFyKf/4el8mq8wBuEBEzmsGvVFeT+w==</DigestValue>
      </Reference>
      <Reference URI="/xl/drawings/vmlDrawing3.vml?ContentType=application/vnd.openxmlformats-officedocument.vmlDrawing">
        <DigestMethod Algorithm="http://www.w3.org/2001/04/xmlenc#sha512"/>
        <DigestValue>Q383J+kzBZNuDM8V6rnZuDrElzV2DCPmzS032eSVMsA9L5ALkWgACEzWxDW/U3fYVnmCJB3Vhb479+9P+KYCBA==</DigestValue>
      </Reference>
      <Reference URI="/xl/drawings/vmlDrawing4.vml?ContentType=application/vnd.openxmlformats-officedocument.vmlDrawing">
        <DigestMethod Algorithm="http://www.w3.org/2001/04/xmlenc#sha512"/>
        <DigestValue>0QSWDtLvhUCVW0rQ5D3s7tjlgVs6iIZINdGnG2xpPbTK7K9Wwaumw9v45leD4XYoSQBU2v19aOzrdeCC8u6dgg==</DigestValue>
      </Reference>
      <Reference URI="/xl/drawings/vmlDrawing5.vml?ContentType=application/vnd.openxmlformats-officedocument.vmlDrawing">
        <DigestMethod Algorithm="http://www.w3.org/2001/04/xmlenc#sha512"/>
        <DigestValue>gZ9XAG/nDhxizT9nlK7BuUspiqQGtdhuQZmpIbb9L4OPQ0FSz+9CA3xcqdh1VcU1p6IwAM7lF8+nXzJNhxyCAw==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fY59D9sZgAJMfyyKPS0iuRM2ZcrGSFbsztCVHBJWjqnrb+SldDiyjVuG/G+nbgygvQvK4RwTqjgXv5MrmR8Hwg==</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MPcY1DRjW18Rxzx+VtyQ9FB8MyZ2y0wDOgwigQGxTH+IWkwsYxh5wbqL7p5AGIxxhpPuwqzIvwsFPF9COtfxIQ==</DigestValue>
      </Reference>
      <Reference URI="/xl/externalLinks/externalLink1.xml?ContentType=application/vnd.openxmlformats-officedocument.spreadsheetml.externalLink+xml">
        <DigestMethod Algorithm="http://www.w3.org/2001/04/xmlenc#sha512"/>
        <DigestValue>jhJZZ+ejyiL80rUJbzE8wzKCP94jt6CmMWM8ENV304ivUKg6QWeE8LihlvnSEu7szD1Lv+I9MyLU29NI2d/eOw==</DigestValue>
      </Reference>
      <Reference URI="/xl/externalLinks/externalLink2.xml?ContentType=application/vnd.openxmlformats-officedocument.spreadsheetml.externalLink+xml">
        <DigestMethod Algorithm="http://www.w3.org/2001/04/xmlenc#sha512"/>
        <DigestValue>2zTGn2TEU+BPq3zpp+jw/xHtNK0OzrXICizQG7KAp6h42/PqGQgm0nJb7r/tPHvfTnA8FgsDdAl+jzATwr1rgw==</DigestValue>
      </Reference>
      <Reference URI="/xl/media/image1.png?ContentType=image/png">
        <DigestMethod Algorithm="http://www.w3.org/2001/04/xmlenc#sha512"/>
        <DigestValue>0J/YeztM+DOtHM/9GR7617vrmSUpHmoP6GpBmOpfi4NfaeoG1BgncCzzJ/kvxNT1uvACFGwxR/7aswD2kQHh+Q==</DigestValue>
      </Reference>
      <Reference URI="/xl/media/image2.emf?ContentType=image/x-emf">
        <DigestMethod Algorithm="http://www.w3.org/2001/04/xmlenc#sha512"/>
        <DigestValue>7FZQb4osohmuPEotms6xVuXztB1vMW90M0n6ml7193IKs5+va2eqnh74ga1vymTgvqpB8G2Xg8gJN/BLpZqqJQ==</DigestValue>
      </Reference>
      <Reference URI="/xl/media/image3.emf?ContentType=image/x-emf">
        <DigestMethod Algorithm="http://www.w3.org/2001/04/xmlenc#sha512"/>
        <DigestValue>RA0XmfPGBU1PV4jrPtRsiEPvqopZfqw7PbklFwp2MmXvZ0OQFaIWBQQXHmkauzpStNhj4YlB9UzqEhv6DVUcnw==</DigestValue>
      </Reference>
      <Reference URI="/xl/media/image4.emf?ContentType=image/x-emf">
        <DigestMethod Algorithm="http://www.w3.org/2001/04/xmlenc#sha512"/>
        <DigestValue>Of4X7NmLzDjAEVrTY5C/jZvVtAjikrIfFLULHBDrGWt8tPYQTsCPqz3obJsfnm8fnVM3DKUS64vyCOPlHooeIQ==</DigestValue>
      </Reference>
      <Reference URI="/xl/media/image5.emf?ContentType=image/x-emf">
        <DigestMethod Algorithm="http://www.w3.org/2001/04/xmlenc#sha512"/>
        <DigestValue>Zsu6aCwEaSQ9WQDjs85/2Phnb5h1KsQjQDUGDwabbjU8OGUMP8EsDgzd6DXP0tOCnkvyyd0AWtcEZbhDLrlFxA==</DigestValue>
      </Reference>
      <Reference URI="/xl/media/image6.emf?ContentType=image/x-emf">
        <DigestMethod Algorithm="http://www.w3.org/2001/04/xmlenc#sha512"/>
        <DigestValue>ZJst3YkwU37ud9URqLgUGunTWmJRSO+2/hI8TKAUwpWA3a9dWAoI3vDrPfFDrPXNCHJ1gip5E+9sangdb9El0Q==</DigestValue>
      </Reference>
      <Reference URI="/xl/printerSettings/printerSettings1.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10.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11.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1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3.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4.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5.bin?ContentType=application/vnd.openxmlformats-officedocument.spreadsheetml.printerSettings">
        <DigestMethod Algorithm="http://www.w3.org/2001/04/xmlenc#sha512"/>
        <DigestValue>vr7zRE1PDRQZk0O+jP6xgzrtwXfHr1aOB5dp3LuLEBBPzvjl0CuRfabRqfQMuHXt8xJWrOju1atF+JpeTeCTAA==</DigestValue>
      </Reference>
      <Reference URI="/xl/printerSettings/printerSettings16.bin?ContentType=application/vnd.openxmlformats-officedocument.spreadsheetml.printerSettings">
        <DigestMethod Algorithm="http://www.w3.org/2001/04/xmlenc#sha512"/>
        <DigestValue>i0UnTXlq4gNPeGJL0JJtMJMtsqFQIYHE9OwHWf7E0Ue+sDLuHcNWuSAAIntHyfTG6l1budm2piENd2QuvcZocA==</DigestValue>
      </Reference>
      <Reference URI="/xl/printerSettings/printerSettings17.bin?ContentType=application/vnd.openxmlformats-officedocument.spreadsheetml.printerSettings">
        <DigestMethod Algorithm="http://www.w3.org/2001/04/xmlenc#sha512"/>
        <DigestValue>e74gdx0vyejNdV5zVABWWrO2QdZyTJxk2wWuatU6JqtzxdtkIAfbaVDB6rF6F9dbM+GKJcnMFDDFdceMPs3GgQ==</DigestValue>
      </Reference>
      <Reference URI="/xl/printerSettings/printerSettings18.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9.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bin?ContentType=application/vnd.openxmlformats-officedocument.spreadsheetml.printerSettings">
        <DigestMethod Algorithm="http://www.w3.org/2001/04/xmlenc#sha512"/>
        <DigestValue>EFovoOni050gLn/cjPhV5//Fw/O68a4xPFBhq6EjZGvzUuXHjLAILLoDH6yeHxS/F554s2iYan/BmWz332Oq0g==</DigestValue>
      </Reference>
      <Reference URI="/xl/printerSettings/printerSettings20.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21.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22.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23.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4.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5.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6.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7.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8.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9.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3.bin?ContentType=application/vnd.openxmlformats-officedocument.spreadsheetml.printerSettings">
        <DigestMethod Algorithm="http://www.w3.org/2001/04/xmlenc#sha512"/>
        <DigestValue>MSRDT+eWK2kx9/wzMCCgbpIolG4Jwwdaj/m/PGHfV9/Y+EW/LTqTd9lT43ep9L+nU56FxkvMq6d78cnVWysLjg==</DigestValue>
      </Reference>
      <Reference URI="/xl/printerSettings/printerSettings30.bin?ContentType=application/vnd.openxmlformats-officedocument.spreadsheetml.printerSettings">
        <DigestMethod Algorithm="http://www.w3.org/2001/04/xmlenc#sha512"/>
        <DigestValue>tdAJcCJTjVpYumktMHXo0ub3Kg5mp0h6hf2bjqRcgI+m03evncCrZKSoktt9AgHImCIK53ZTDCA/zLYJe7CfAg==</DigestValue>
      </Reference>
      <Reference URI="/xl/printerSettings/printerSettings4.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5.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6.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7.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8.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9.bin?ContentType=application/vnd.openxmlformats-officedocument.spreadsheetml.printerSettings">
        <DigestMethod Algorithm="http://www.w3.org/2001/04/xmlenc#sha512"/>
        <DigestValue>cWyYRypeu/Csclb5lRrF42O4hv9o1I03LYU0Y3e9Xd0aT3eT8ujrNgWQxGzNYeo5ENW8cLwEwxgVTDzdv18WdA==</DigestValue>
      </Reference>
      <Reference URI="/xl/sharedStrings.xml?ContentType=application/vnd.openxmlformats-officedocument.spreadsheetml.sharedStrings+xml">
        <DigestMethod Algorithm="http://www.w3.org/2001/04/xmlenc#sha512"/>
        <DigestValue>Xk/EFpWPR+FLRnhNwC9p1myuaX16DV4rS8sccL0+8RqflACW6TDI4q5zopVw/o8NUY4j1oj/mCHBaeRZDtDGMw==</DigestValue>
      </Reference>
      <Reference URI="/xl/styles.xml?ContentType=application/vnd.openxmlformats-officedocument.spreadsheetml.styles+xml">
        <DigestMethod Algorithm="http://www.w3.org/2001/04/xmlenc#sha512"/>
        <DigestValue>f4Ye2fgV7NK9W1OdOslf/h0o3/crwNGphKbJXaZk4ptXkZ1gY1qykqPa52MXLkKhqXhTGgWkYk/NuU3MtIqEuw==</DigestValue>
      </Reference>
      <Reference URI="/xl/tables/table1.xml?ContentType=application/vnd.openxmlformats-officedocument.spreadsheetml.table+xml">
        <DigestMethod Algorithm="http://www.w3.org/2001/04/xmlenc#sha512"/>
        <DigestValue>+bK4qX/AyGirzqD6K8ZNGweDO2RP/uU/dn4WAMOM8rQ5dohJGAWXNSQQqV9XJc0fpTwbfSnL6Ag0IvIQHtTDOQ==</DigestValue>
      </Reference>
      <Reference URI="/xl/tables/table2.xml?ContentType=application/vnd.openxmlformats-officedocument.spreadsheetml.table+xml">
        <DigestMethod Algorithm="http://www.w3.org/2001/04/xmlenc#sha512"/>
        <DigestValue>sjEUyP8rFtjfPjDPxnUcAw+8xbhdFMpa4jr5Y5HpuqluJxW9IG+vwSB6MTQ1t2OoMR8QOf/5sswYlNhsRhkqlA==</DigestValue>
      </Reference>
      <Reference URI="/xl/theme/theme1.xml?ContentType=application/vnd.openxmlformats-officedocument.theme+xml">
        <DigestMethod Algorithm="http://www.w3.org/2001/04/xmlenc#sha512"/>
        <DigestValue>76eo5ECoom53GHPvzbWL8z6vGMM214UT/S4gHnzUTDN7wmv0Fl5Cveh+fFnsv9P62p0uMT0hNTVNf07CavwI4Q==</DigestValue>
      </Reference>
      <Reference URI="/xl/workbook.xml?ContentType=application/vnd.openxmlformats-officedocument.spreadsheetml.sheet.main+xml">
        <DigestMethod Algorithm="http://www.w3.org/2001/04/xmlenc#sha512"/>
        <DigestValue>Cg/+6fR8N6jsj+dNxFE6W2Loh8aM4aGdTUbp9GNljMH8d2yH9Yjbl/mFlR7C+HGUJ4FjFqFpcmeDM0b9i1sHCg==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xoXcPe1fboSSW3jC7V712yNxnIoMxn9134kCupKFdevFmuq9uKnYmiRxaZi6UUAs4VOi9PbWzGqSaIMWcVrCog==</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wMS2NX2ojfnExEaQsYT92YmJwmFfuGpDM+Pj5YCzy47AJzdEcAGQv1bnVxUxaoXceMTIZwpAYY5bnbOWC6GQ4A==</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49C4rrwEV7jg52US4ipwbSLyRdnURaFWDZExfKSws1O7OW5TvGzzxQBOCLV5Umq4QqN9tN2ptdvryj2eC6wcLw==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z1iTu2rR0pz3ey/BaJKkOcvbk+P8VMIjRd01V+giviSH1N9Pyr8IyJ5wFXKNifOO1mN0GvG6tr+SxHOXcEU5cA==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LrjrFM7rRdgqU5TsuByD2mCVS2U+a8Ym9bkYqdX/cJklGT1C1y1bOhHI0XdUzpSd+9TjRWIfQk0Ud8ESFZC9mg==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tc6H9EuogzsEm5lJ9VC75QRPhkhFQivtRxLTwbkuFrmZtOxtUtF8B8V5Q2JDml2lZ2csK0YnSE1RB4vB3UNQdw==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TDmPFHhhnL/5a5JpiW3DxnEQ91OB/s/SMVOP1EN+92dW/6dxIzKOWd+7oKcCLDdmN1/z1ucXSDZABFybqB11yQ==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512"/>
        <DigestValue>K1gh4KObKnP/b/vj39BnIFg+cJeH4cippsehCQHVEvnS3z4WaDaqrNF22vM3ZlKoJOIDZ13LA/q7TGyYeoFZXg==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iAfxJQJ+J6s2ykSUMvFsIGhqxGB2savvSxwLD8HX7mh0cxXgLPkOHj3ayAvE4m32+aMD+oihR5OnnoFGQq4lkA==</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p4BAff026vWR4vxvk5JELRLvzg7Li6DIn8s8+Ekx8IDlh6NLRUCg6WZ5F8RzOFkfmeZbeRq+KLplbtN5cIkaVg==</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512"/>
        <DigestValue>CBMxoCuMe3IUn+BPdzLWlTQsRBGTCUkw2g0O4Zucea2daAFUB/cr9nUIC2k+L1OLlTxUSivvjlK9spj727DC5w==</DigestValue>
      </Reference>
      <Reference URI="/xl/worksheets/sheet1.xml?ContentType=application/vnd.openxmlformats-officedocument.spreadsheetml.worksheet+xml">
        <DigestMethod Algorithm="http://www.w3.org/2001/04/xmlenc#sha512"/>
        <DigestValue>xFaDMYSvR1eErz5+Eb00LMLdvqcaatCByIS/2qJxLx9FRK16qoDoXUV8/RzG9u+HiGjX6o0qGctpnK/IGhaWbw==</DigestValue>
      </Reference>
      <Reference URI="/xl/worksheets/sheet10.xml?ContentType=application/vnd.openxmlformats-officedocument.spreadsheetml.worksheet+xml">
        <DigestMethod Algorithm="http://www.w3.org/2001/04/xmlenc#sha512"/>
        <DigestValue>gdpW9VsfXkzSk1uMVwBRi2hwE3EKqqwvF8L4svcBEbQ5ebrZPrFeCTawnCfuHwV4q9+xoO1Ne3Dwrfa87n9O1g==</DigestValue>
      </Reference>
      <Reference URI="/xl/worksheets/sheet11.xml?ContentType=application/vnd.openxmlformats-officedocument.spreadsheetml.worksheet+xml">
        <DigestMethod Algorithm="http://www.w3.org/2001/04/xmlenc#sha512"/>
        <DigestValue>a8g/q9HiZIBV/kEb1ZNV/eKI+KahSbs+ahI3tX7yOTHIM3c81/Hdd2tS/vJDc13y+xwiRkXCziyyVCzjONoeuQ==</DigestValue>
      </Reference>
      <Reference URI="/xl/worksheets/sheet2.xml?ContentType=application/vnd.openxmlformats-officedocument.spreadsheetml.worksheet+xml">
        <DigestMethod Algorithm="http://www.w3.org/2001/04/xmlenc#sha512"/>
        <DigestValue>6BuV1lOQnaQgs7lof3KVpMXrQ7257KQlmv/nSonqkgEUkiKkBwf9rykF9sPs83x3QVyx9M19aAH42Z8fO0iLdg==</DigestValue>
      </Reference>
      <Reference URI="/xl/worksheets/sheet3.xml?ContentType=application/vnd.openxmlformats-officedocument.spreadsheetml.worksheet+xml">
        <DigestMethod Algorithm="http://www.w3.org/2001/04/xmlenc#sha512"/>
        <DigestValue>37jTbmhWLUF5QF/13+dQbOvmErEDACd6U6uh3HfRol6pok0hHDA2RXvxXpfnUq3riWZ1h8HO+oJI6RWZCgwEqA==</DigestValue>
      </Reference>
      <Reference URI="/xl/worksheets/sheet4.xml?ContentType=application/vnd.openxmlformats-officedocument.spreadsheetml.worksheet+xml">
        <DigestMethod Algorithm="http://www.w3.org/2001/04/xmlenc#sha512"/>
        <DigestValue>7YPTkUHok5FZMLt9+hLu3Vg6Xns0IhOY+3jfNcHsWXke9N/SWefTGxdnSjwgyVR43iVWKbTHxtEQCHGpk634Cg==</DigestValue>
      </Reference>
      <Reference URI="/xl/worksheets/sheet5.xml?ContentType=application/vnd.openxmlformats-officedocument.spreadsheetml.worksheet+xml">
        <DigestMethod Algorithm="http://www.w3.org/2001/04/xmlenc#sha512"/>
        <DigestValue>MxtlMJSkDp58fPOWyl555WaMWdYfsOg9rdelSfGaHWqTtemPcy89dA8iyVfby40pMkFCt+6QuRXqCeNzQLDR+g==</DigestValue>
      </Reference>
      <Reference URI="/xl/worksheets/sheet6.xml?ContentType=application/vnd.openxmlformats-officedocument.spreadsheetml.worksheet+xml">
        <DigestMethod Algorithm="http://www.w3.org/2001/04/xmlenc#sha512"/>
        <DigestValue>f8bk1kq/FXJ0K6mk2TNftN27sPNVgo0cvgEGLEyyPmzt2Gvl9J9hV4dmoJFnGk1/WVmrKjSE1urKAdBkHwOpIg==</DigestValue>
      </Reference>
      <Reference URI="/xl/worksheets/sheet7.xml?ContentType=application/vnd.openxmlformats-officedocument.spreadsheetml.worksheet+xml">
        <DigestMethod Algorithm="http://www.w3.org/2001/04/xmlenc#sha512"/>
        <DigestValue>g+vhybnL5QqOD5w9EwVvD+2/WRiKtPz4IOF/ObZq+B8unSz9nMRblp1nYcBkPEng1EFdL/m8NfOuBPL6a63tuQ==</DigestValue>
      </Reference>
      <Reference URI="/xl/worksheets/sheet8.xml?ContentType=application/vnd.openxmlformats-officedocument.spreadsheetml.worksheet+xml">
        <DigestMethod Algorithm="http://www.w3.org/2001/04/xmlenc#sha512"/>
        <DigestValue>JZO8zV3nNxmqin8jWCZlQTy3c149iokAfaRMUGSpjkWi39VambR0fhotUstp1ugUjnU1dbGmqclU+1tLymID6g==</DigestValue>
      </Reference>
      <Reference URI="/xl/worksheets/sheet9.xml?ContentType=application/vnd.openxmlformats-officedocument.spreadsheetml.worksheet+xml">
        <DigestMethod Algorithm="http://www.w3.org/2001/04/xmlenc#sha512"/>
        <DigestValue>KRj8tUXH9PXlKBoJH0t0kidGacFi6CFrEM/ZRhVg1pGp1sFvoTXbwQ50OlGwwtWMtwgXHZlM+Nd9KmUQRb2bgg==</DigestValue>
      </Reference>
    </Manifest>
    <SignatureProperties>
      <SignatureProperty Id="idSignatureTime" Target="#idPackageSignature">
        <mdssi:SignatureTime xmlns:mdssi="http://schemas.openxmlformats.org/package/2006/digital-signature">
          <mdssi:Format>YYYY-MM-DDThh:mm:ssTZD</mdssi:Format>
          <mdssi:Value>2026-08-13T15:04:55Z</mdssi:Value>
        </mdssi:SignatureTime>
      </SignatureProperty>
    </SignatureProperties>
  </Object>
  <Object Id="idOfficeObject">
    <SignatureProperties>
      <SignatureProperty Id="idOfficeV1Details" Target="#idPackageSignature">
        <SignatureInfoV1 xmlns="http://schemas.microsoft.com/office/2006/digsig">
          <SetupID>{0173DB29-8B4D-4293-AD8A-24A9AF46A826}</SetupID>
          <SignatureText>Luján Ríos</SignatureText>
          <SignatureImage/>
          <SignatureComments/>
          <WindowsVersion>10.0</WindowsVersion>
          <OfficeVersion>16.0.20228/27</OfficeVersion>
          <ApplicationVersion>16.0.20228</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2026-08-13T15:04:55Z</xd:SigningTime>
          <xd:SigningCertificate>
            <xd:Cert>
              <xd:CertDigest>
                <DigestMethod Algorithm="http://www.w3.org/2001/04/xmlenc#sha512"/>
                <DigestValue>2tW8sSYp/86GUWkmCmCaLeawWrZ7bTHbA2OEBLHp7WrmRqZb75P2Fj5aRtrTVo4vv+x+LVBWpm7MGKSWMU8ZVw==</DigestValue>
              </xd:CertDigest>
              <xd:IssuerSerial>
                <X509IssuerName>SERIALNUMBER=RUC80080610-7, CN=CODE100 S.A., OU=Prestador Cualificado de Servicios de Confianza, O=ICPP, C=PY</X509IssuerName>
                <X509SerialNumber>306450520406974199664798005030384591131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MwsAACBFTUYAAAEAVBsAAKo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QAz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IkAAABWAAAAMAAAADsAAABa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IoAAABXAAAAJQAAAAwAAAAEAAAAVAAAAIgAAAAxAAAAOwAAAIgAAABWAAAAAQAAAFVVj0FVVY9BMQAAADsAAAAKAAAATAAAAAAAAAAAAAAAAAAAAP//////////YAAAAEwAdQBqAOEAbgAgAFIA7QBvAHMACQAAAAsAAAAFAAAACgAAAAsAAAAFAAAADAAAAAUAAAAMAAAAC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JAAAAcQAAAAEAAABVVY9BVVWPQQ8AAABhAAAACgAAAEwAAAAAAAAAAAAAAAAAAAD//////////2AAAABMAHUAagBhAG4AIABSAGkAbwBzAAYAAAAHAAAAAwAAAAcAAAAHAAAABAAAAAgAAAADAAAACA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VVWP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FQEAAJsAAAAOAAAAiwAAAAgBAAARAAAAIQDwAAAAAAAAAAAAAACAPwAAAAAAAAAAAACAPwAAAAAAAAAAAAAAAAAAAAAAAAAAAAAAAAAAAAAAAAAAJQAAAAwAAAAAAACAKAAAAAwAAAAFAAAAJQAAAAwAAAABAAAAGAAAAAwAAAAAAAAAEgAAAAwAAAABAAAAFgAAAAwAAAAAAAAAVAAAADABAAAPAAAAiwAAABQBAACbAAAAAQAAAFVVj0FVVY9BDwAAAIsAAAAmAAAATAAAAAQAAAAOAAAAiwAAABYBAACcAAAAmAAAAEYAaQByAG0AYQBkAG8AIABwAG8AcgA6ACAATABVAEoAQQBOACAATQBBAEcAQQBMAEkAIABSAEkATwBTACAAWgBBAFIAQQBDAEgATwAGAAAAAwAAAAUAAAALAAAABwAAAAgAAAAIAAAABAAAAAgAAAAIAAAABQAAAAMAAAAEAAAABgAAAAkAAAAFAAAACAAAAAoAAAAEAAAADAAAAAgAAAAJAAAACAAAAAYAAAADAAAABAAAAAgAAAADAAAACgAAAAcAAAAEAAAABwAAAAgAAAAIAAAACAAAAAgAAAAJAAAACgAAABYAAAAMAAAAAAAAACUAAAAMAAAAAgAAAA4AAAAUAAAAAAAAABAAAAAUAAAA</Object>
  <Object Id="idInvalidSigLnImg">AQAAAGwAAAAAAAAAAAAAAD8BAACfAAAAAAAAAAAAAABmFgAAMwsAACBFTUYAAAEA1CEAALE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iQAAAFYAAAAwAAAAOwAAAFo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igAAAFcAAAAlAAAADAAAAAQAAABUAAAAiAAAADEAAAA7AAAAiAAAAFYAAAABAAAAVVWPQVVVj0ExAAAAOwAAAAoAAABMAAAAAAAAAAAAAAAAAAAA//////////9gAAAATAB1AGoA4QBuACAAUgDtAG8AcwAJAAAACwAAAAUAAAAKAAAACwAAAAUAAAAMAAAABQAAAAwAAAAI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kAAABxAAAAAQAAAFVVj0FVVY9BDwAAAGEAAAAKAAAATAAAAAAAAAAAAAAAAAAAAP//////////YAAAAEwAdQBqAGEAbgAgAFIAaQBvAHMABgAAAAcAAAADAAAABwAAAAcAAAAEAAAACAAAAAMAAAAIAAAABg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FVVY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VAQAAmwAAAA4AAACLAAAACAEAABEAAAAhAPAAAAAAAAAAAAAAAIA/AAAAAAAAAAAAAIA/AAAAAAAAAAAAAAAAAAAAAAAAAAAAAAAAAAAAAAAAAAAlAAAADAAAAAAAAIAoAAAADAAAAAUAAAAlAAAADAAAAAEAAAAYAAAADAAAAAAAAAASAAAADAAAAAEAAAAWAAAADAAAAAAAAABUAAAAMAEAAA8AAACLAAAAFAEAAJsAAAABAAAAVVWPQVVVj0EPAAAAiwAAACYAAABMAAAABAAAAA4AAACLAAAAFgEAAJwAAACYAAAARgBpAHIAbQBhAGQAbwAgAHAAbwByADoAIABMAFUASgBBAE4AIABNAEEARwBBAEwASQAgAFIASQBPAFMAIABaAEEAUgBBAEMASABPAAYAAAADAAAABQAAAAsAAAAHAAAACAAAAAgAAAAEAAAACAAAAAgAAAAFAAAAAwAAAAQAAAAGAAAACQAAAAUAAAAIAAAACgAAAAQAAAAMAAAACAAAAAkAAAAIAAAABgAAAAMAAAAEAAAACAAAAAMAAAAKAAAABwAAAAQAAAAHAAAACAAAAAgAAAAIAAAACAAAAAkAAAAKAAAAFgAAAAwAAAAAAAAAJQAAAAwAAAACAAAADgAAABQAAAAAAAAAEAAAABQ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QdebLMDojW7pbRGTVoOGhDXcJZws5e30TRmdBa/GHsgpTMHzTXo2H6EyDmbHWKDmNnjQ4+KXKAqu
kAxh8bwgLg==</DigestValue>
    </Reference>
    <Reference Type="http://www.w3.org/2000/09/xmldsig#Object" URI="#idOfficeObject">
      <DigestMethod Algorithm="http://www.w3.org/2001/04/xmlenc#sha512"/>
      <DigestValue>a2snN8MDpgpl7g5OseNyeG2lGGP9E93LMfTn0e7kIP6LUUhbM5J47ZO/KvRn5QUSGZvckPJoE0Ti
oS5nOgNrWw==</DigestValue>
    </Reference>
    <Reference Type="http://uri.etsi.org/01903#SignedProperties" URI="#idSignedProperties">
      <Transforms>
        <Transform Algorithm="http://www.w3.org/TR/2001/REC-xml-c14n-20010315"/>
      </Transforms>
      <DigestMethod Algorithm="http://www.w3.org/2001/04/xmlenc#sha512"/>
      <DigestValue>hhabD+KTs6bAdbdzjxDdYsAe/GX5SgRSY0RFVgc6hN1VqnAD0FBe9l/85sCMePwk+L2G0PJOtHsg
Zo8UvqD4fw==</DigestValue>
    </Reference>
    <Reference Type="http://www.w3.org/2000/09/xmldsig#Object" URI="#idValidSigLnImg">
      <DigestMethod Algorithm="http://www.w3.org/2001/04/xmlenc#sha512"/>
      <DigestValue>racVcDCkJOjS/Ead0k3Xys/8ljvN8v+4NLLr+towTVQK/+TqjBxWdf+uW5lOL3Ti662yS5R3qRiR
S8s7L/pn8Q==</DigestValue>
    </Reference>
    <Reference Type="http://www.w3.org/2000/09/xmldsig#Object" URI="#idInvalidSigLnImg">
      <DigestMethod Algorithm="http://www.w3.org/2001/04/xmlenc#sha512"/>
      <DigestValue>sIeshzH5nel2okhocqF/o+nOhk71B5gWqh7rJUq741W7lkr7LEfZ7EUjornoMQOzGGEhZ5GNCL56
XWSTYbDPdA==</DigestValue>
    </Reference>
  </SignedInfo>
  <SignatureValue>xJcf3NBggHlci2c41UzjyvDiytv6c+aym2hlD1bdvTEu/7wIQbOBBQ6FdDfcqicfX1+RFui4c/su
u4tLtpO20zyVxxiKNeVwtKMlmOZTK6yZj3zU7f9AtXdYtBVqffuaEG2KuNSzsx53C8wsm0ff1+Xq
R/zMKwaQOmMN4WXdYIm55cUEP116Y1R56mIGVomaGn/grvy8A0DLhJ84C198Pf5NnYYVRs22cOho
HOaKKO4lwjZ2gjvqt1WVHTicSlY/fx8PMO+oKKAaclA9dGZVTk96y9ZBJJtCehItofp59FZaFx6g
oXep06SusflDcBUBBoA8W55tgVm7cyNs/Qm39g==</SignatureValue>
  <KeyInfo>
    <X509Data>
      <X509Certificate>MIIHpzCCBY+gAwIBAgIRAOaMOS7wawa8TPeJW5TMYRswDQYJKoZIhvcNAQENBQAwgYUxCzAJBgNVBAYTAlBZMQ0wCwYDVQQKEwRJQ1BQMTgwNgYDVQQLEy9QcmVzdGFkb3IgQ3VhbGlmaWNhZG8gZGUgU2VydmljaW9zIGRlIENvbmZpYW56YTEVMBMGA1UEAxMMQ09ERTEwMCBTLkEuMRYwFAYDVQQFEw1SVUM4MDA4MDYxMC03MB4XDTI2MDczMDE0MzYyM1oXDTI4MDczMDE0MzYyM1owgbgxCzAJBgNVBAYTAlBZMTYwNAYDVQQKDC1DRVJUSUZJQ0FETyBDVUFMSUZJQ0FETyBERSBGSVJNQSBFTEVDVFLDk05JQ0ExCzAJBgNVBAsTAkYyMRUwEwYDVQQEEwxSSU9TIFpBUkFDSE8xFTATBgNVBCoTDExVSkFOIE1BR0FMSTEiMCAGA1UEAxMZTFVKQU4gTUFHQUxJIFJJT1MgWkFSQUNITzESMBAGA1UEBRMJQ0k0Nzg5MzE5MIIBIjANBgkqhkiG9w0BAQEFAAOCAQ8AMIIBCgKCAQEA3b1/j8X50yxjZQCZ9ws/0syUM+a29aa27HuYFphpcuJe166FVsUU6Slj9t3gz4EMOzd01wpjBY52FY5Z9n87fJ2KQLkyYwlfdJgwWtuy82AhUC8T7ocsC1FitA0zryI1CqZcKgBxho3YVoRRvYRxR87ASPQ7ZQtJdrLqHTyEodfSNDSoagS8lKCwx+6Im/46EQCcoq0bwIxunf6uvreWE7IhcsBgSaKTKzvWg2fQpZFga0G8CRmrqBkU7KW4b6PzdcWk9pTkDqYqe6BLv3hbhbCzFLpwhPp+PKiTior1OP0sFQ6LMlgPoqzDbwT1X5SoXVMxwdlga1KRQ5ofhQtKZwIDAQABo4IC2zCCAtcwDAYDVR0TAQH/BAIwADAdBgNVHQ4EFgQUDmAR507UwF3py+/eag0NuvPNqjkwHwYDVR0jBBgwFoAUvjVUYmhg5ybTMcFfl7Hi9mTOB/UwDgYDVR0PAQH/BAQDAgXgMFIGA1UdEQRLMEmBGkxVLlJJT1NaQVJBQ0hPQEhPVE1BSUwuQ09N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OPOiMPu8uKoUKnBEZOR+Zw1VjuFyNErhAd9k0+jXVvSEXuD+Nyp34E0dHsDSD+yD5KDOg7LC7wbouEbdqNnXVswZIPi2+/y9Adb0XysBOaZgEmFAqUomHbzvUjcYpzhj4ZjhC+pY9ryU14bs5pXEJpIj2n8YFUF1757cUEDHSd2lV3OXx/ygB7pRMnrqzbjnXPV2dYK+XXox4HtaQLP1VqD6lem4ONC24BhKzt6ZiAsICDbquwHZQmYCRYTBq15JUL3HWBf40UWuD/Hq9yKfPdKKXe7/QYw23sezC/p8TmEAm1tEQHSM6b/3apdUfb8CsWn0yiF28aj75J5n0T/9BveIyiTYCteqgTEXlWn4K+GPHHW9SvcBY11ANuHoiIAglsCgM+Us2IaOQeDY2/UA+5PfsC2pRUItM2xcEB8NIjGbDsPfFy04y165cx+st/gj04plbrDkzl74+LPgz/2iZUblbSPhE5qgdLZUB6crXtts9zE7B8nbC1Cn9UnA1U6pMLzBXXnCmz8fqxfLpyl32oekzzEgiDHpKKjWxHFhVkW0SNy09zyyRIgMYok7Mt8CGmj/zOSLwGF5Kfd9v9U2zWByl2nPlt36KZvtGuWEbll5rKeItfjtXYVVuecv6pkViDziJiHD5aBH250YSUFkmAuroErioSv/2UV+1/Z5OY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zgkyY6HSQK1BZB2kWWxoNv5MipmhTNVieG8sdJPI+9ncNzAnZD8LMrOTVBRs6s+ybpp1DxvqRgYGdROJhmbtIA==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Transform>
          <Transform Algorithm="http://www.w3.org/TR/2001/REC-xml-c14n-20010315"/>
        </Transforms>
        <DigestMethod Algorithm="http://www.w3.org/2001/04/xmlenc#sha512"/>
        <DigestValue>ludKKNtX5tnJpJ2rTMlsUNrggaepUlcBhrqNsUPg2NNtMbTuEeAFMjeY4P+TnJRxOTDlm/kwQIxQmPlJFKXiEQ==</DigestValue>
      </Reference>
      <Reference URI="/xl/calcChain.xml?ContentType=application/vnd.openxmlformats-officedocument.spreadsheetml.calcChain+xml">
        <DigestMethod Algorithm="http://www.w3.org/2001/04/xmlenc#sha512"/>
        <DigestValue>WojsXToDteF7+ZWPpDnkYgFxgeWjZrPEWlqusY2JYkLMGdcw2A+YBiyBd9wNPvrFpdeslBF41iWOjZ33wT+Dqw==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S5wr5IMKvcWEnYMlKM7CUvUJd1upKTDF0xqh90p5lNg3w9BlaoOXUXE/3ceouv6w+pfkd+zy22/Oq6mEtOsfEg==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szIPcT7Amlp5Mi6udC/yNfBr1EBwz8kR1C/bu9OHyrsNAf9hGpn30HkwwM51M/8gQ8KZ+aYKKZKMX4sD13zT6Q==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S5wr5IMKvcWEnYMlKM7CUvUJd1upKTDF0xqh90p5lNg3w9BlaoOXUXE/3ceouv6w+pfkd+zy22/Oq6mEtOsfEg==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/vD+TMAesbVivJYLl6c3cA/KKAHBFjP5NGsE+yVfoX1MvvC5vxij4GfI8OJ9cu12E0m8H85itLIae9+N/ydXPg==</DigestValue>
      </Reference>
      <Reference URI="/xl/drawings/drawing1.xml?ContentType=application/vnd.openxmlformats-officedocument.drawing+xml">
        <DigestMethod Algorithm="http://www.w3.org/2001/04/xmlenc#sha512"/>
        <DigestValue>s8fgwTh33sUNHpJnKH+gtDhCL/XxgS4d7AtFDxcpKunPUJ25vABxFDXdJf+KomJj6V+3PtnA6fWN47fCXWd8Uw==</DigestValue>
      </Reference>
      <Reference URI="/xl/drawings/drawing2.xml?ContentType=application/vnd.openxmlformats-officedocument.drawing+xml">
        <DigestMethod Algorithm="http://www.w3.org/2001/04/xmlenc#sha512"/>
        <DigestValue>wCBhU5hY64AOXMkUNJBwPQypITgHwnzlhW6cVzhlQpfC96cf6NROcNMnMwZapr3VbiT+Xf2sknj4mNVA3Rj2Eg==</DigestValue>
      </Reference>
      <Reference URI="/xl/drawings/drawing3.xml?ContentType=application/vnd.openxmlformats-officedocument.drawing+xml">
        <DigestMethod Algorithm="http://www.w3.org/2001/04/xmlenc#sha512"/>
        <DigestValue>PJkQi4zRVVCs2V5SMmB7RlZNvhfvRFomB/rcUwgTgSMyvqSps+NzdHz7mBpBzXK5aFFccSR9lXwQ9Vz4z/47CA==</DigestValue>
      </Reference>
      <Reference URI="/xl/drawings/drawing4.xml?ContentType=application/vnd.openxmlformats-officedocument.drawing+xml">
        <DigestMethod Algorithm="http://www.w3.org/2001/04/xmlenc#sha512"/>
        <DigestValue>1fhhX3JvoYhIDinAoOnYV3YVOfLzRYiI7VTouoR5rRtABENlGFnXSw4BXIqaynwWT1lBZ1/7c4xEJnKQTUxhMA==</DigestValue>
      </Reference>
      <Reference URI="/xl/drawings/drawing5.xml?ContentType=application/vnd.openxmlformats-officedocument.drawing+xml">
        <DigestMethod Algorithm="http://www.w3.org/2001/04/xmlenc#sha512"/>
        <DigestValue>/8yVWtgywRqL4S1HaYAuukZMhVRaZbJkAhrW+7yf9zaENSUKr2YWoAHHIugJCV2HWaQESzM8pi2q17KV83GRlw==</DigestValue>
      </Reference>
      <Reference URI="/xl/drawings/drawing6.xml?ContentType=application/vnd.openxmlformats-officedocument.drawing+xml">
        <DigestMethod Algorithm="http://www.w3.org/2001/04/xmlenc#sha512"/>
        <DigestValue>88SBM5bzNK+LPMb7UZG05GRZ8Io3sSRpJw7TFXYf/w5tRd+oVZtultXhbGyQa5iZ7qi72gWs3zI0t9TgZpm9eQ==</DigestValue>
      </Reference>
      <Reference URI="/xl/drawings/drawing7.xml?ContentType=application/vnd.openxmlformats-officedocument.drawing+xml">
        <DigestMethod Algorithm="http://www.w3.org/2001/04/xmlenc#sha512"/>
        <DigestValue>qQWQx6gFE3KCWFy3HlSUMYo49ETAsflURudgWkXVA0CVfDUxCl/FXvW7zwjkTzU/yzd7PnSTQppZhw7ajydxNQ==</DigestValue>
      </Reference>
      <Reference URI="/xl/drawings/drawing8.xml?ContentType=application/vnd.openxmlformats-officedocument.drawing+xml">
        <DigestMethod Algorithm="http://www.w3.org/2001/04/xmlenc#sha512"/>
        <DigestValue>Tk5XCMyllastPidHWRYQhP7bRNxm2qK28gFpL20GxcviEwStH/kxe/Jy10nTWAbiBwOdDm/JPvHIRCmasN7DdQ==</DigestValue>
      </Reference>
      <Reference URI="/xl/drawings/vmlDrawing1.vml?ContentType=application/vnd.openxmlformats-officedocument.vmlDrawing">
        <DigestMethod Algorithm="http://www.w3.org/2001/04/xmlenc#sha512"/>
        <DigestValue>T52xBKPYDZiMk3sX1evxWyFQi8RsDCM2lWCwscSGt4QpaV8sgz0cEHpAyG16taEKPV7qaSzcfObcAnzg4XDXvA==</DigestValue>
      </Reference>
      <Reference URI="/xl/drawings/vmlDrawing2.vml?ContentType=application/vnd.openxmlformats-officedocument.vmlDrawing">
        <DigestMethod Algorithm="http://www.w3.org/2001/04/xmlenc#sha512"/>
        <DigestValue>Qh95fYYpQl1lsOx4lAxyhcQ0AROeN2g6MtmmLW/o1lPnOkxC0a69xtxjrFyKf/4el8mq8wBuEBEzmsGvVFeT+w==</DigestValue>
      </Reference>
      <Reference URI="/xl/drawings/vmlDrawing3.vml?ContentType=application/vnd.openxmlformats-officedocument.vmlDrawing">
        <DigestMethod Algorithm="http://www.w3.org/2001/04/xmlenc#sha512"/>
        <DigestValue>Q383J+kzBZNuDM8V6rnZuDrElzV2DCPmzS032eSVMsA9L5ALkWgACEzWxDW/U3fYVnmCJB3Vhb479+9P+KYCBA==</DigestValue>
      </Reference>
      <Reference URI="/xl/drawings/vmlDrawing4.vml?ContentType=application/vnd.openxmlformats-officedocument.vmlDrawing">
        <DigestMethod Algorithm="http://www.w3.org/2001/04/xmlenc#sha512"/>
        <DigestValue>0QSWDtLvhUCVW0rQ5D3s7tjlgVs6iIZINdGnG2xpPbTK7K9Wwaumw9v45leD4XYoSQBU2v19aOzrdeCC8u6dgg==</DigestValue>
      </Reference>
      <Reference URI="/xl/drawings/vmlDrawing5.vml?ContentType=application/vnd.openxmlformats-officedocument.vmlDrawing">
        <DigestMethod Algorithm="http://www.w3.org/2001/04/xmlenc#sha512"/>
        <DigestValue>gZ9XAG/nDhxizT9nlK7BuUspiqQGtdhuQZmpIbb9L4OPQ0FSz+9CA3xcqdh1VcU1p6IwAM7lF8+nXzJNhxyCAw==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fY59D9sZgAJMfyyKPS0iuRM2ZcrGSFbsztCVHBJWjqnrb+SldDiyjVuG/G+nbgygvQvK4RwTqjgXv5MrmR8Hwg==</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MPcY1DRjW18Rxzx+VtyQ9FB8MyZ2y0wDOgwigQGxTH+IWkwsYxh5wbqL7p5AGIxxhpPuwqzIvwsFPF9COtfxIQ==</DigestValue>
      </Reference>
      <Reference URI="/xl/externalLinks/externalLink1.xml?ContentType=application/vnd.openxmlformats-officedocument.spreadsheetml.externalLink+xml">
        <DigestMethod Algorithm="http://www.w3.org/2001/04/xmlenc#sha512"/>
        <DigestValue>jhJZZ+ejyiL80rUJbzE8wzKCP94jt6CmMWM8ENV304ivUKg6QWeE8LihlvnSEu7szD1Lv+I9MyLU29NI2d/eOw==</DigestValue>
      </Reference>
      <Reference URI="/xl/externalLinks/externalLink2.xml?ContentType=application/vnd.openxmlformats-officedocument.spreadsheetml.externalLink+xml">
        <DigestMethod Algorithm="http://www.w3.org/2001/04/xmlenc#sha512"/>
        <DigestValue>2zTGn2TEU+BPq3zpp+jw/xHtNK0OzrXICizQG7KAp6h42/PqGQgm0nJb7r/tPHvfTnA8FgsDdAl+jzATwr1rgw==</DigestValue>
      </Reference>
      <Reference URI="/xl/media/image1.png?ContentType=image/png">
        <DigestMethod Algorithm="http://www.w3.org/2001/04/xmlenc#sha512"/>
        <DigestValue>0J/YeztM+DOtHM/9GR7617vrmSUpHmoP6GpBmOpfi4NfaeoG1BgncCzzJ/kvxNT1uvACFGwxR/7aswD2kQHh+Q==</DigestValue>
      </Reference>
      <Reference URI="/xl/media/image2.emf?ContentType=image/x-emf">
        <DigestMethod Algorithm="http://www.w3.org/2001/04/xmlenc#sha512"/>
        <DigestValue>7FZQb4osohmuPEotms6xVuXztB1vMW90M0n6ml7193IKs5+va2eqnh74ga1vymTgvqpB8G2Xg8gJN/BLpZqqJQ==</DigestValue>
      </Reference>
      <Reference URI="/xl/media/image3.emf?ContentType=image/x-emf">
        <DigestMethod Algorithm="http://www.w3.org/2001/04/xmlenc#sha512"/>
        <DigestValue>RA0XmfPGBU1PV4jrPtRsiEPvqopZfqw7PbklFwp2MmXvZ0OQFaIWBQQXHmkauzpStNhj4YlB9UzqEhv6DVUcnw==</DigestValue>
      </Reference>
      <Reference URI="/xl/media/image4.emf?ContentType=image/x-emf">
        <DigestMethod Algorithm="http://www.w3.org/2001/04/xmlenc#sha512"/>
        <DigestValue>Of4X7NmLzDjAEVrTY5C/jZvVtAjikrIfFLULHBDrGWt8tPYQTsCPqz3obJsfnm8fnVM3DKUS64vyCOPlHooeIQ==</DigestValue>
      </Reference>
      <Reference URI="/xl/media/image5.emf?ContentType=image/x-emf">
        <DigestMethod Algorithm="http://www.w3.org/2001/04/xmlenc#sha512"/>
        <DigestValue>Zsu6aCwEaSQ9WQDjs85/2Phnb5h1KsQjQDUGDwabbjU8OGUMP8EsDgzd6DXP0tOCnkvyyd0AWtcEZbhDLrlFxA==</DigestValue>
      </Reference>
      <Reference URI="/xl/media/image6.emf?ContentType=image/x-emf">
        <DigestMethod Algorithm="http://www.w3.org/2001/04/xmlenc#sha512"/>
        <DigestValue>ZJst3YkwU37ud9URqLgUGunTWmJRSO+2/hI8TKAUwpWA3a9dWAoI3vDrPfFDrPXNCHJ1gip5E+9sangdb9El0Q==</DigestValue>
      </Reference>
      <Reference URI="/xl/printerSettings/printerSettings1.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10.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11.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1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3.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4.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5.bin?ContentType=application/vnd.openxmlformats-officedocument.spreadsheetml.printerSettings">
        <DigestMethod Algorithm="http://www.w3.org/2001/04/xmlenc#sha512"/>
        <DigestValue>vr7zRE1PDRQZk0O+jP6xgzrtwXfHr1aOB5dp3LuLEBBPzvjl0CuRfabRqfQMuHXt8xJWrOju1atF+JpeTeCTAA==</DigestValue>
      </Reference>
      <Reference URI="/xl/printerSettings/printerSettings16.bin?ContentType=application/vnd.openxmlformats-officedocument.spreadsheetml.printerSettings">
        <DigestMethod Algorithm="http://www.w3.org/2001/04/xmlenc#sha512"/>
        <DigestValue>i0UnTXlq4gNPeGJL0JJtMJMtsqFQIYHE9OwHWf7E0Ue+sDLuHcNWuSAAIntHyfTG6l1budm2piENd2QuvcZocA==</DigestValue>
      </Reference>
      <Reference URI="/xl/printerSettings/printerSettings17.bin?ContentType=application/vnd.openxmlformats-officedocument.spreadsheetml.printerSettings">
        <DigestMethod Algorithm="http://www.w3.org/2001/04/xmlenc#sha512"/>
        <DigestValue>e74gdx0vyejNdV5zVABWWrO2QdZyTJxk2wWuatU6JqtzxdtkIAfbaVDB6rF6F9dbM+GKJcnMFDDFdceMPs3GgQ==</DigestValue>
      </Reference>
      <Reference URI="/xl/printerSettings/printerSettings18.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9.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bin?ContentType=application/vnd.openxmlformats-officedocument.spreadsheetml.printerSettings">
        <DigestMethod Algorithm="http://www.w3.org/2001/04/xmlenc#sha512"/>
        <DigestValue>EFovoOni050gLn/cjPhV5//Fw/O68a4xPFBhq6EjZGvzUuXHjLAILLoDH6yeHxS/F554s2iYan/BmWz332Oq0g==</DigestValue>
      </Reference>
      <Reference URI="/xl/printerSettings/printerSettings20.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21.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22.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23.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4.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5.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6.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7.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8.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9.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3.bin?ContentType=application/vnd.openxmlformats-officedocument.spreadsheetml.printerSettings">
        <DigestMethod Algorithm="http://www.w3.org/2001/04/xmlenc#sha512"/>
        <DigestValue>MSRDT+eWK2kx9/wzMCCgbpIolG4Jwwdaj/m/PGHfV9/Y+EW/LTqTd9lT43ep9L+nU56FxkvMq6d78cnVWysLjg==</DigestValue>
      </Reference>
      <Reference URI="/xl/printerSettings/printerSettings30.bin?ContentType=application/vnd.openxmlformats-officedocument.spreadsheetml.printerSettings">
        <DigestMethod Algorithm="http://www.w3.org/2001/04/xmlenc#sha512"/>
        <DigestValue>tdAJcCJTjVpYumktMHXo0ub3Kg5mp0h6hf2bjqRcgI+m03evncCrZKSoktt9AgHImCIK53ZTDCA/zLYJe7CfAg==</DigestValue>
      </Reference>
      <Reference URI="/xl/printerSettings/printerSettings4.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5.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6.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7.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8.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9.bin?ContentType=application/vnd.openxmlformats-officedocument.spreadsheetml.printerSettings">
        <DigestMethod Algorithm="http://www.w3.org/2001/04/xmlenc#sha512"/>
        <DigestValue>cWyYRypeu/Csclb5lRrF42O4hv9o1I03LYU0Y3e9Xd0aT3eT8ujrNgWQxGzNYeo5ENW8cLwEwxgVTDzdv18WdA==</DigestValue>
      </Reference>
      <Reference URI="/xl/sharedStrings.xml?ContentType=application/vnd.openxmlformats-officedocument.spreadsheetml.sharedStrings+xml">
        <DigestMethod Algorithm="http://www.w3.org/2001/04/xmlenc#sha512"/>
        <DigestValue>Xk/EFpWPR+FLRnhNwC9p1myuaX16DV4rS8sccL0+8RqflACW6TDI4q5zopVw/o8NUY4j1oj/mCHBaeRZDtDGMw==</DigestValue>
      </Reference>
      <Reference URI="/xl/styles.xml?ContentType=application/vnd.openxmlformats-officedocument.spreadsheetml.styles+xml">
        <DigestMethod Algorithm="http://www.w3.org/2001/04/xmlenc#sha512"/>
        <DigestValue>f4Ye2fgV7NK9W1OdOslf/h0o3/crwNGphKbJXaZk4ptXkZ1gY1qykqPa52MXLkKhqXhTGgWkYk/NuU3MtIqEuw==</DigestValue>
      </Reference>
      <Reference URI="/xl/tables/table1.xml?ContentType=application/vnd.openxmlformats-officedocument.spreadsheetml.table+xml">
        <DigestMethod Algorithm="http://www.w3.org/2001/04/xmlenc#sha512"/>
        <DigestValue>+bK4qX/AyGirzqD6K8ZNGweDO2RP/uU/dn4WAMOM8rQ5dohJGAWXNSQQqV9XJc0fpTwbfSnL6Ag0IvIQHtTDOQ==</DigestValue>
      </Reference>
      <Reference URI="/xl/tables/table2.xml?ContentType=application/vnd.openxmlformats-officedocument.spreadsheetml.table+xml">
        <DigestMethod Algorithm="http://www.w3.org/2001/04/xmlenc#sha512"/>
        <DigestValue>sjEUyP8rFtjfPjDPxnUcAw+8xbhdFMpa4jr5Y5HpuqluJxW9IG+vwSB6MTQ1t2OoMR8QOf/5sswYlNhsRhkqlA==</DigestValue>
      </Reference>
      <Reference URI="/xl/theme/theme1.xml?ContentType=application/vnd.openxmlformats-officedocument.theme+xml">
        <DigestMethod Algorithm="http://www.w3.org/2001/04/xmlenc#sha512"/>
        <DigestValue>76eo5ECoom53GHPvzbWL8z6vGMM214UT/S4gHnzUTDN7wmv0Fl5Cveh+fFnsv9P62p0uMT0hNTVNf07CavwI4Q==</DigestValue>
      </Reference>
      <Reference URI="/xl/workbook.xml?ContentType=application/vnd.openxmlformats-officedocument.spreadsheetml.sheet.main+xml">
        <DigestMethod Algorithm="http://www.w3.org/2001/04/xmlenc#sha512"/>
        <DigestValue>Cg/+6fR8N6jsj+dNxFE6W2Loh8aM4aGdTUbp9GNljMH8d2yH9Yjbl/mFlR7C+HGUJ4FjFqFpcmeDM0b9i1sHCg==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xoXcPe1fboSSW3jC7V712yNxnIoMxn9134kCupKFdevFmuq9uKnYmiRxaZi6UUAs4VOi9PbWzGqSaIMWcVrCog==</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512"/>
        <DigestValue>wMS2NX2ojfnExEaQsYT92YmJwmFfuGpDM+Pj5YCzy47AJzdEcAGQv1bnVxUxaoXceMTIZwpAYY5bnbOWC6GQ4A==</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512"/>
        <DigestValue>49C4rrwEV7jg52US4ipwbSLyRdnURaFWDZExfKSws1O7OW5TvGzzxQBOCLV5Umq4QqN9tN2ptdvryj2eC6wcLw==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z1iTu2rR0pz3ey/BaJKkOcvbk+P8VMIjRd01V+giviSH1N9Pyr8IyJ5wFXKNifOO1mN0GvG6tr+SxHOXcEU5cA==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LrjrFM7rRdgqU5TsuByD2mCVS2U+a8Ym9bkYqdX/cJklGT1C1y1bOhHI0XdUzpSd+9TjRWIfQk0Ud8ESFZC9mg==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tc6H9EuogzsEm5lJ9VC75QRPhkhFQivtRxLTwbkuFrmZtOxtUtF8B8V5Q2JDml2lZ2csK0YnSE1RB4vB3UNQdw==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TDmPFHhhnL/5a5JpiW3DxnEQ91OB/s/SMVOP1EN+92dW/6dxIzKOWd+7oKcCLDdmN1/z1ucXSDZABFybqB11yQ==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K1gh4KObKnP/b/vj39BnIFg+cJeH4cippsehCQHVEvnS3z4WaDaqrNF22vM3ZlKoJOIDZ13LA/q7TGyYeoFZXg==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512"/>
        <DigestValue>iAfxJQJ+J6s2ykSUMvFsIGhqxGB2savvSxwLD8HX7mh0cxXgLPkOHj3ayAvE4m32+aMD+oihR5OnnoFGQq4lkA==</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p4BAff026vWR4vxvk5JELRLvzg7Li6DIn8s8+Ekx8IDlh6NLRUCg6WZ5F8RzOFkfmeZbeRq+KLplbtN5cIkaVg==</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512"/>
        <DigestValue>CBMxoCuMe3IUn+BPdzLWlTQsRBGTCUkw2g0O4Zucea2daAFUB/cr9nUIC2k+L1OLlTxUSivvjlK9spj727DC5w==</DigestValue>
      </Reference>
      <Reference URI="/xl/worksheets/sheet1.xml?ContentType=application/vnd.openxmlformats-officedocument.spreadsheetml.worksheet+xml">
        <DigestMethod Algorithm="http://www.w3.org/2001/04/xmlenc#sha512"/>
        <DigestValue>xFaDMYSvR1eErz5+Eb00LMLdvqcaatCByIS/2qJxLx9FRK16qoDoXUV8/RzG9u+HiGjX6o0qGctpnK/IGhaWbw==</DigestValue>
      </Reference>
      <Reference URI="/xl/worksheets/sheet10.xml?ContentType=application/vnd.openxmlformats-officedocument.spreadsheetml.worksheet+xml">
        <DigestMethod Algorithm="http://www.w3.org/2001/04/xmlenc#sha512"/>
        <DigestValue>gdpW9VsfXkzSk1uMVwBRi2hwE3EKqqwvF8L4svcBEbQ5ebrZPrFeCTawnCfuHwV4q9+xoO1Ne3Dwrfa87n9O1g==</DigestValue>
      </Reference>
      <Reference URI="/xl/worksheets/sheet11.xml?ContentType=application/vnd.openxmlformats-officedocument.spreadsheetml.worksheet+xml">
        <DigestMethod Algorithm="http://www.w3.org/2001/04/xmlenc#sha512"/>
        <DigestValue>a8g/q9HiZIBV/kEb1ZNV/eKI+KahSbs+ahI3tX7yOTHIM3c81/Hdd2tS/vJDc13y+xwiRkXCziyyVCzjONoeuQ==</DigestValue>
      </Reference>
      <Reference URI="/xl/worksheets/sheet2.xml?ContentType=application/vnd.openxmlformats-officedocument.spreadsheetml.worksheet+xml">
        <DigestMethod Algorithm="http://www.w3.org/2001/04/xmlenc#sha512"/>
        <DigestValue>6BuV1lOQnaQgs7lof3KVpMXrQ7257KQlmv/nSonqkgEUkiKkBwf9rykF9sPs83x3QVyx9M19aAH42Z8fO0iLdg==</DigestValue>
      </Reference>
      <Reference URI="/xl/worksheets/sheet3.xml?ContentType=application/vnd.openxmlformats-officedocument.spreadsheetml.worksheet+xml">
        <DigestMethod Algorithm="http://www.w3.org/2001/04/xmlenc#sha512"/>
        <DigestValue>37jTbmhWLUF5QF/13+dQbOvmErEDACd6U6uh3HfRol6pok0hHDA2RXvxXpfnUq3riWZ1h8HO+oJI6RWZCgwEqA==</DigestValue>
      </Reference>
      <Reference URI="/xl/worksheets/sheet4.xml?ContentType=application/vnd.openxmlformats-officedocument.spreadsheetml.worksheet+xml">
        <DigestMethod Algorithm="http://www.w3.org/2001/04/xmlenc#sha512"/>
        <DigestValue>7YPTkUHok5FZMLt9+hLu3Vg6Xns0IhOY+3jfNcHsWXke9N/SWefTGxdnSjwgyVR43iVWKbTHxtEQCHGpk634Cg==</DigestValue>
      </Reference>
      <Reference URI="/xl/worksheets/sheet5.xml?ContentType=application/vnd.openxmlformats-officedocument.spreadsheetml.worksheet+xml">
        <DigestMethod Algorithm="http://www.w3.org/2001/04/xmlenc#sha512"/>
        <DigestValue>MxtlMJSkDp58fPOWyl555WaMWdYfsOg9rdelSfGaHWqTtemPcy89dA8iyVfby40pMkFCt+6QuRXqCeNzQLDR+g==</DigestValue>
      </Reference>
      <Reference URI="/xl/worksheets/sheet6.xml?ContentType=application/vnd.openxmlformats-officedocument.spreadsheetml.worksheet+xml">
        <DigestMethod Algorithm="http://www.w3.org/2001/04/xmlenc#sha512"/>
        <DigestValue>f8bk1kq/FXJ0K6mk2TNftN27sPNVgo0cvgEGLEyyPmzt2Gvl9J9hV4dmoJFnGk1/WVmrKjSE1urKAdBkHwOpIg==</DigestValue>
      </Reference>
      <Reference URI="/xl/worksheets/sheet7.xml?ContentType=application/vnd.openxmlformats-officedocument.spreadsheetml.worksheet+xml">
        <DigestMethod Algorithm="http://www.w3.org/2001/04/xmlenc#sha512"/>
        <DigestValue>g+vhybnL5QqOD5w9EwVvD+2/WRiKtPz4IOF/ObZq+B8unSz9nMRblp1nYcBkPEng1EFdL/m8NfOuBPL6a63tuQ==</DigestValue>
      </Reference>
      <Reference URI="/xl/worksheets/sheet8.xml?ContentType=application/vnd.openxmlformats-officedocument.spreadsheetml.worksheet+xml">
        <DigestMethod Algorithm="http://www.w3.org/2001/04/xmlenc#sha512"/>
        <DigestValue>JZO8zV3nNxmqin8jWCZlQTy3c149iokAfaRMUGSpjkWi39VambR0fhotUstp1ugUjnU1dbGmqclU+1tLymID6g==</DigestValue>
      </Reference>
      <Reference URI="/xl/worksheets/sheet9.xml?ContentType=application/vnd.openxmlformats-officedocument.spreadsheetml.worksheet+xml">
        <DigestMethod Algorithm="http://www.w3.org/2001/04/xmlenc#sha512"/>
        <DigestValue>KRj8tUXH9PXlKBoJH0t0kidGacFi6CFrEM/ZRhVg1pGp1sFvoTXbwQ50OlGwwtWMtwgXHZlM+Nd9KmUQRb2bgg==</DigestValue>
      </Reference>
    </Manifest>
    <SignatureProperties>
      <SignatureProperty Id="idSignatureTime" Target="#idPackageSignature">
        <mdssi:SignatureTime xmlns:mdssi="http://schemas.openxmlformats.org/package/2006/digital-signature">
          <mdssi:Format>YYYY-MM-DDThh:mm:ssTZD</mdssi:Format>
          <mdssi:Value>2026-08-13T15:05:10Z</mdssi:Value>
        </mdssi:SignatureTime>
      </SignatureProperty>
    </SignatureProperties>
  </Object>
  <Object Id="idOfficeObject">
    <SignatureProperties>
      <SignatureProperty Id="idOfficeV1Details" Target="#idPackageSignature">
        <SignatureInfoV1 xmlns="http://schemas.microsoft.com/office/2006/digsig">
          <SetupID>{5C2CFA55-E21E-4939-A130-F927D32298F8}</SetupID>
          <SignatureText>Luján Ríos</SignatureText>
          <SignatureImage/>
          <SignatureComments/>
          <WindowsVersion>10.0</WindowsVersion>
          <OfficeVersion>16.0.20228/27</OfficeVersion>
          <ApplicationVersion>16.0.20228</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2026-08-13T15:05:10Z</xd:SigningTime>
          <xd:SigningCertificate>
            <xd:Cert>
              <xd:CertDigest>
                <DigestMethod Algorithm="http://www.w3.org/2001/04/xmlenc#sha512"/>
                <DigestValue>2tW8sSYp/86GUWkmCmCaLeawWrZ7bTHbA2OEBLHp7WrmRqZb75P2Fj5aRtrTVo4vv+x+LVBWpm7MGKSWMU8ZVw==</DigestValue>
              </xd:CertDigest>
              <xd:IssuerSerial>
                <X509IssuerName>SERIALNUMBER=RUC80080610-7, CN=CODE100 S.A., OU=Prestador Cualificado de Servicios de Confianza, O=ICPP, C=PY</X509IssuerName>
                <X509SerialNumber>306450520406974199664798005030384591131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MwsAACBFTUYAAAEAVBsAAKo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QAz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IkAAABWAAAAMAAAADsAAABa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IoAAABXAAAAJQAAAAwAAAAEAAAAVAAAAIgAAAAxAAAAOwAAAIgAAABWAAAAAQAAAFVVj0FVVY9BMQAAADsAAAAKAAAATAAAAAAAAAAAAAAAAAAAAP//////////YAAAAEwAdQBqAOEAbgAgAFIA7QBvAHMACQAAAAsAAAAFAAAACgAAAAsAAAAFAAAADAAAAAUAAAAMAAAAC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JAAAAcQAAAAEAAABVVY9BVVWPQQ8AAABhAAAACgAAAEwAAAAAAAAAAAAAAAAAAAD//////////2AAAABMAHUAagBhAG4AIABSAGkAbwBzAAYAAAAHAAAAAwAAAAcAAAAHAAAABAAAAAgAAAADAAAACA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VVWP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FQEAAJsAAAAOAAAAiwAAAAgBAAARAAAAIQDwAAAAAAAAAAAAAACAPwAAAAAAAAAAAACAPwAAAAAAAAAAAAAAAAAAAAAAAAAAAAAAAAAAAAAAAAAAJQAAAAwAAAAAAACAKAAAAAwAAAAFAAAAJQAAAAwAAAABAAAAGAAAAAwAAAAAAAAAEgAAAAwAAAABAAAAFgAAAAwAAAAAAAAAVAAAADABAAAPAAAAiwAAABQBAACbAAAAAQAAAFVVj0FVVY9BDwAAAIsAAAAmAAAATAAAAAQAAAAOAAAAiwAAABYBAACcAAAAmAAAAEYAaQByAG0AYQBkAG8AIABwAG8AcgA6ACAATABVAEoAQQBOACAATQBBAEcAQQBMAEkAIABSAEkATwBTACAAWgBBAFIAQQBDAEgATwAGAAAAAwAAAAUAAAALAAAABwAAAAgAAAAIAAAABAAAAAgAAAAIAAAABQAAAAMAAAAEAAAABgAAAAkAAAAFAAAACAAAAAoAAAAEAAAADAAAAAgAAAAJAAAACAAAAAYAAAADAAAABAAAAAgAAAADAAAACgAAAAcAAAAEAAAABwAAAAgAAAAIAAAACAAAAAgAAAAJAAAACgAAABYAAAAMAAAAAAAAACUAAAAMAAAAAgAAAA4AAAAUAAAAAAAAABAAAAAUAAAA</Object>
  <Object Id="idInvalidSigLnImg">AQAAAGwAAAAAAAAAAAAAAD8BAACfAAAAAAAAAAAAAABmFgAAMwsAACBFTUYAAAEA1CEAALE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iQAAAFYAAAAwAAAAOwAAAFo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igAAAFcAAAAlAAAADAAAAAQAAABUAAAAiAAAADEAAAA7AAAAiAAAAFYAAAABAAAAVVWPQVVVj0ExAAAAOwAAAAoAAABMAAAAAAAAAAAAAAAAAAAA//////////9gAAAATAB1AGoA4QBuACAAUgDtAG8AcwAJAAAACwAAAAUAAAAKAAAACwAAAAUAAAAMAAAABQAAAAwAAAAI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kAAABxAAAAAQAAAFVVj0FVVY9BDwAAAGEAAAAKAAAATAAAAAAAAAAAAAAAAAAAAP//////////YAAAAEwAdQBqAGEAbgAgAFIAaQBvAHMABgAAAAcAAAADAAAABwAAAAcAAAAEAAAACAAAAAMAAAAIAAAABg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FVVY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VAQAAmwAAAA4AAACLAAAACAEAABEAAAAhAPAAAAAAAAAAAAAAAIA/AAAAAAAAAAAAAIA/AAAAAAAAAAAAAAAAAAAAAAAAAAAAAAAAAAAAAAAAAAAlAAAADAAAAAAAAIAoAAAADAAAAAUAAAAlAAAADAAAAAEAAAAYAAAADAAAAAAAAAASAAAADAAAAAEAAAAWAAAADAAAAAAAAABUAAAAMAEAAA8AAACLAAAAFAEAAJsAAAABAAAAVVWPQVVVj0EPAAAAiwAAACYAAABMAAAABAAAAA4AAACLAAAAFgEAAJwAAACYAAAARgBpAHIAbQBhAGQAbwAgAHAAbwByADoAIABMAFUASgBBAE4AIABNAEEARwBBAEwASQAgAFIASQBPAFMAIABaAEEAUgBBAEMASABPAAYAAAADAAAABQAAAAsAAAAHAAAACAAAAAgAAAAEAAAACAAAAAgAAAAFAAAAAwAAAAQAAAAGAAAACQAAAAUAAAAIAAAACgAAAAQAAAAMAAAACAAAAAkAAAAIAAAABgAAAAMAAAAEAAAACAAAAAMAAAAKAAAABwAAAAQAAAAHAAAACAAAAAgAAAAIAAAACAAAAAkAAAAKAAAAFgAAAAwAAAAAAAAAJQAAAAwAAAACAAAADgAAABQAAAAAAAAAEAAAABQAAAA=</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u0mFaKlvzO/92zyDVvt9NzQv4FT82rsxhHW0yo7Ctw3Jf8RuYAxq9VlYi0uwQe01z+euC+k7FUp+
KEXvum+oxA==</DigestValue>
    </Reference>
    <Reference Type="http://www.w3.org/2000/09/xmldsig#Object" URI="#idOfficeObject">
      <DigestMethod Algorithm="http://www.w3.org/2001/04/xmlenc#sha512"/>
      <DigestValue>wxjrcL3NehJeRWPzNYITxnCSwEI6AnYYV7uJ+44GD62LIOs0JrgO9GejzAd86PPAhLBKEcVN4Yu+
Qic9uUqApQ==</DigestValue>
    </Reference>
    <Reference Type="http://uri.etsi.org/01903#SignedProperties" URI="#idSignedProperties">
      <Transforms>
        <Transform Algorithm="http://www.w3.org/TR/2001/REC-xml-c14n-20010315"/>
      </Transforms>
      <DigestMethod Algorithm="http://www.w3.org/2001/04/xmlenc#sha512"/>
      <DigestValue>qNe8dZx+6i251T97pOinB9TLTU7dvU2pFEibs/vUH4cXJicEtS7V3do05o+N3jFb9PyFOfN+4eSO
yNQc56F2BQ==</DigestValue>
    </Reference>
    <Reference Type="http://www.w3.org/2000/09/xmldsig#Object" URI="#idValidSigLnImg">
      <DigestMethod Algorithm="http://www.w3.org/2001/04/xmlenc#sha512"/>
      <DigestValue>SjZBHgiOGMuaTItXziCkPHeYfyeOnO8rCRhi30Sss3/IzlveH9jV97VWz6F53m2Qm+0SS5fmBCfd
o71aer7mEg==</DigestValue>
    </Reference>
    <Reference Type="http://www.w3.org/2000/09/xmldsig#Object" URI="#idInvalidSigLnImg">
      <DigestMethod Algorithm="http://www.w3.org/2001/04/xmlenc#sha512"/>
      <DigestValue>mDc7rjcAg/SS9n5vNM2eWDelrachYwNUztP92QN5baXPgxz4NoiBIYFozQQXaiAav1g2JuB3n8Tl
ziQNZl9JTA==</DigestValue>
    </Reference>
  </SignedInfo>
  <SignatureValue>fJC+jJsRCG8AbFrpctz/03JI0gHor2e03eZbJ7CXQ2eU6qA6Wbsd4dNf71ksprOhQfBKSFzJmHlh
3ChY8U7veeZK4mZHp1hxygfhsT3OlxzdfNsZj7Kf/rb3iNjxLfzXC+lnT20ZtsRopSXDYTfUs2ve
VUKbJGnV/HZykUiPiy8uQyeOx9z0ornz6InbCHQFL1IhcDqNbeWeW8CwEzoR3CEkXu6gtA4TaXbA
C0h8L7WrAX+90gGzEs92Fb+m5Qt5DB2SGiSduM3OCVOtRUPef9sdk6u8cZUVQ22G6fIgeUfOe/uC
SBXsvH5PrbBSBbuDi3oyNkWLbp89cDwAAn7WPw==</SignatureValue>
  <KeyInfo>
    <X509Data>
      <X509Certificate>MIIHpzCCBY+gAwIBAgIRAOaMOS7wawa8TPeJW5TMYRswDQYJKoZIhvcNAQENBQAwgYUxCzAJBgNVBAYTAlBZMQ0wCwYDVQQKEwRJQ1BQMTgwNgYDVQQLEy9QcmVzdGFkb3IgQ3VhbGlmaWNhZG8gZGUgU2VydmljaW9zIGRlIENvbmZpYW56YTEVMBMGA1UEAxMMQ09ERTEwMCBTLkEuMRYwFAYDVQQFEw1SVUM4MDA4MDYxMC03MB4XDTI2MDczMDE0MzYyM1oXDTI4MDczMDE0MzYyM1owgbgxCzAJBgNVBAYTAlBZMTYwNAYDVQQKDC1DRVJUSUZJQ0FETyBDVUFMSUZJQ0FETyBERSBGSVJNQSBFTEVDVFLDk05JQ0ExCzAJBgNVBAsTAkYyMRUwEwYDVQQEEwxSSU9TIFpBUkFDSE8xFTATBgNVBCoTDExVSkFOIE1BR0FMSTEiMCAGA1UEAxMZTFVKQU4gTUFHQUxJIFJJT1MgWkFSQUNITzESMBAGA1UEBRMJQ0k0Nzg5MzE5MIIBIjANBgkqhkiG9w0BAQEFAAOCAQ8AMIIBCgKCAQEA3b1/j8X50yxjZQCZ9ws/0syUM+a29aa27HuYFphpcuJe166FVsUU6Slj9t3gz4EMOzd01wpjBY52FY5Z9n87fJ2KQLkyYwlfdJgwWtuy82AhUC8T7ocsC1FitA0zryI1CqZcKgBxho3YVoRRvYRxR87ASPQ7ZQtJdrLqHTyEodfSNDSoagS8lKCwx+6Im/46EQCcoq0bwIxunf6uvreWE7IhcsBgSaKTKzvWg2fQpZFga0G8CRmrqBkU7KW4b6PzdcWk9pTkDqYqe6BLv3hbhbCzFLpwhPp+PKiTior1OP0sFQ6LMlgPoqzDbwT1X5SoXVMxwdlga1KRQ5ofhQtKZwIDAQABo4IC2zCCAtcwDAYDVR0TAQH/BAIwADAdBgNVHQ4EFgQUDmAR507UwF3py+/eag0NuvPNqjkwHwYDVR0jBBgwFoAUvjVUYmhg5ybTMcFfl7Hi9mTOB/UwDgYDVR0PAQH/BAQDAgXgMFIGA1UdEQRLMEmBGkxVLlJJT1NaQVJBQ0hPQEhPVE1BSUwuQ09N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OPOiMPu8uKoUKnBEZOR+Zw1VjuFyNErhAd9k0+jXVvSEXuD+Nyp34E0dHsDSD+yD5KDOg7LC7wbouEbdqNnXVswZIPi2+/y9Adb0XysBOaZgEmFAqUomHbzvUjcYpzhj4ZjhC+pY9ryU14bs5pXEJpIj2n8YFUF1757cUEDHSd2lV3OXx/ygB7pRMnrqzbjnXPV2dYK+XXox4HtaQLP1VqD6lem4ONC24BhKzt6ZiAsICDbquwHZQmYCRYTBq15JUL3HWBf40UWuD/Hq9yKfPdKKXe7/QYw23sezC/p8TmEAm1tEQHSM6b/3apdUfb8CsWn0yiF28aj75J5n0T/9BveIyiTYCteqgTEXlWn4K+GPHHW9SvcBY11ANuHoiIAglsCgM+Us2IaOQeDY2/UA+5PfsC2pRUItM2xcEB8NIjGbDsPfFy04y165cx+st/gj04plbrDkzl74+LPgz/2iZUblbSPhE5qgdLZUB6crXtts9zE7B8nbC1Cn9UnA1U6pMLzBXXnCmz8fqxfLpyl32oekzzEgiDHpKKjWxHFhVkW0SNy09zyyRIgMYok7Mt8CGmj/zOSLwGF5Kfd9v9U2zWByl2nPlt36KZvtGuWEbll5rKeItfjtXYVVuecv6pkViDziJiHD5aBH250YSUFkmAuroErioSv/2UV+1/Z5OY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zgkyY6HSQK1BZB2kWWxoNv5MipmhTNVieG8sdJPI+9ncNzAnZD8LMrOTVBRs6s+ybpp1DxvqRgYGdROJhmbtIA==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512"/>
        <DigestValue>ludKKNtX5tnJpJ2rTMlsUNrggaepUlcBhrqNsUPg2NNtMbTuEeAFMjeY4P+TnJRxOTDlm/kwQIxQmPlJFKXiEQ==</DigestValue>
      </Reference>
      <Reference URI="/xl/calcChain.xml?ContentType=application/vnd.openxmlformats-officedocument.spreadsheetml.calcChain+xml">
        <DigestMethod Algorithm="http://www.w3.org/2001/04/xmlenc#sha512"/>
        <DigestValue>WojsXToDteF7+ZWPpDnkYgFxgeWjZrPEWlqusY2JYkLMGdcw2A+YBiyBd9wNPvrFpdeslBF41iWOjZ33wT+Dqw==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S5wr5IMKvcWEnYMlKM7CUvUJd1upKTDF0xqh90p5lNg3w9BlaoOXUXE/3ceouv6w+pfkd+zy22/Oq6mEtOsfEg==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szIPcT7Amlp5Mi6udC/yNfBr1EBwz8kR1C/bu9OHyrsNAf9hGpn30HkwwM51M/8gQ8KZ+aYKKZKMX4sD13zT6Q==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S5wr5IMKvcWEnYMlKM7CUvUJd1upKTDF0xqh90p5lNg3w9BlaoOXUXE/3ceouv6w+pfkd+zy22/Oq6mEtOsfEg==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/vD+TMAesbVivJYLl6c3cA/KKAHBFjP5NGsE+yVfoX1MvvC5vxij4GfI8OJ9cu12E0m8H85itLIae9+N/ydXPg==</DigestValue>
      </Reference>
      <Reference URI="/xl/drawings/drawing1.xml?ContentType=application/vnd.openxmlformats-officedocument.drawing+xml">
        <DigestMethod Algorithm="http://www.w3.org/2001/04/xmlenc#sha512"/>
        <DigestValue>s8fgwTh33sUNHpJnKH+gtDhCL/XxgS4d7AtFDxcpKunPUJ25vABxFDXdJf+KomJj6V+3PtnA6fWN47fCXWd8Uw==</DigestValue>
      </Reference>
      <Reference URI="/xl/drawings/drawing2.xml?ContentType=application/vnd.openxmlformats-officedocument.drawing+xml">
        <DigestMethod Algorithm="http://www.w3.org/2001/04/xmlenc#sha512"/>
        <DigestValue>wCBhU5hY64AOXMkUNJBwPQypITgHwnzlhW6cVzhlQpfC96cf6NROcNMnMwZapr3VbiT+Xf2sknj4mNVA3Rj2Eg==</DigestValue>
      </Reference>
      <Reference URI="/xl/drawings/drawing3.xml?ContentType=application/vnd.openxmlformats-officedocument.drawing+xml">
        <DigestMethod Algorithm="http://www.w3.org/2001/04/xmlenc#sha512"/>
        <DigestValue>PJkQi4zRVVCs2V5SMmB7RlZNvhfvRFomB/rcUwgTgSMyvqSps+NzdHz7mBpBzXK5aFFccSR9lXwQ9Vz4z/47CA==</DigestValue>
      </Reference>
      <Reference URI="/xl/drawings/drawing4.xml?ContentType=application/vnd.openxmlformats-officedocument.drawing+xml">
        <DigestMethod Algorithm="http://www.w3.org/2001/04/xmlenc#sha512"/>
        <DigestValue>1fhhX3JvoYhIDinAoOnYV3YVOfLzRYiI7VTouoR5rRtABENlGFnXSw4BXIqaynwWT1lBZ1/7c4xEJnKQTUxhMA==</DigestValue>
      </Reference>
      <Reference URI="/xl/drawings/drawing5.xml?ContentType=application/vnd.openxmlformats-officedocument.drawing+xml">
        <DigestMethod Algorithm="http://www.w3.org/2001/04/xmlenc#sha512"/>
        <DigestValue>/8yVWtgywRqL4S1HaYAuukZMhVRaZbJkAhrW+7yf9zaENSUKr2YWoAHHIugJCV2HWaQESzM8pi2q17KV83GRlw==</DigestValue>
      </Reference>
      <Reference URI="/xl/drawings/drawing6.xml?ContentType=application/vnd.openxmlformats-officedocument.drawing+xml">
        <DigestMethod Algorithm="http://www.w3.org/2001/04/xmlenc#sha512"/>
        <DigestValue>88SBM5bzNK+LPMb7UZG05GRZ8Io3sSRpJw7TFXYf/w5tRd+oVZtultXhbGyQa5iZ7qi72gWs3zI0t9TgZpm9eQ==</DigestValue>
      </Reference>
      <Reference URI="/xl/drawings/drawing7.xml?ContentType=application/vnd.openxmlformats-officedocument.drawing+xml">
        <DigestMethod Algorithm="http://www.w3.org/2001/04/xmlenc#sha512"/>
        <DigestValue>qQWQx6gFE3KCWFy3HlSUMYo49ETAsflURudgWkXVA0CVfDUxCl/FXvW7zwjkTzU/yzd7PnSTQppZhw7ajydxNQ==</DigestValue>
      </Reference>
      <Reference URI="/xl/drawings/drawing8.xml?ContentType=application/vnd.openxmlformats-officedocument.drawing+xml">
        <DigestMethod Algorithm="http://www.w3.org/2001/04/xmlenc#sha512"/>
        <DigestValue>Tk5XCMyllastPidHWRYQhP7bRNxm2qK28gFpL20GxcviEwStH/kxe/Jy10nTWAbiBwOdDm/JPvHIRCmasN7DdQ==</DigestValue>
      </Reference>
      <Reference URI="/xl/drawings/vmlDrawing1.vml?ContentType=application/vnd.openxmlformats-officedocument.vmlDrawing">
        <DigestMethod Algorithm="http://www.w3.org/2001/04/xmlenc#sha512"/>
        <DigestValue>T52xBKPYDZiMk3sX1evxWyFQi8RsDCM2lWCwscSGt4QpaV8sgz0cEHpAyG16taEKPV7qaSzcfObcAnzg4XDXvA==</DigestValue>
      </Reference>
      <Reference URI="/xl/drawings/vmlDrawing2.vml?ContentType=application/vnd.openxmlformats-officedocument.vmlDrawing">
        <DigestMethod Algorithm="http://www.w3.org/2001/04/xmlenc#sha512"/>
        <DigestValue>Qh95fYYpQl1lsOx4lAxyhcQ0AROeN2g6MtmmLW/o1lPnOkxC0a69xtxjrFyKf/4el8mq8wBuEBEzmsGvVFeT+w==</DigestValue>
      </Reference>
      <Reference URI="/xl/drawings/vmlDrawing3.vml?ContentType=application/vnd.openxmlformats-officedocument.vmlDrawing">
        <DigestMethod Algorithm="http://www.w3.org/2001/04/xmlenc#sha512"/>
        <DigestValue>Q383J+kzBZNuDM8V6rnZuDrElzV2DCPmzS032eSVMsA9L5ALkWgACEzWxDW/U3fYVnmCJB3Vhb479+9P+KYCBA==</DigestValue>
      </Reference>
      <Reference URI="/xl/drawings/vmlDrawing4.vml?ContentType=application/vnd.openxmlformats-officedocument.vmlDrawing">
        <DigestMethod Algorithm="http://www.w3.org/2001/04/xmlenc#sha512"/>
        <DigestValue>0QSWDtLvhUCVW0rQ5D3s7tjlgVs6iIZINdGnG2xpPbTK7K9Wwaumw9v45leD4XYoSQBU2v19aOzrdeCC8u6dgg==</DigestValue>
      </Reference>
      <Reference URI="/xl/drawings/vmlDrawing5.vml?ContentType=application/vnd.openxmlformats-officedocument.vmlDrawing">
        <DigestMethod Algorithm="http://www.w3.org/2001/04/xmlenc#sha512"/>
        <DigestValue>gZ9XAG/nDhxizT9nlK7BuUspiqQGtdhuQZmpIbb9L4OPQ0FSz+9CA3xcqdh1VcU1p6IwAM7lF8+nXzJNhxyCAw==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fY59D9sZgAJMfyyKPS0iuRM2ZcrGSFbsztCVHBJWjqnrb+SldDiyjVuG/G+nbgygvQvK4RwTqjgXv5MrmR8Hwg==</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MPcY1DRjW18Rxzx+VtyQ9FB8MyZ2y0wDOgwigQGxTH+IWkwsYxh5wbqL7p5AGIxxhpPuwqzIvwsFPF9COtfxIQ==</DigestValue>
      </Reference>
      <Reference URI="/xl/externalLinks/externalLink1.xml?ContentType=application/vnd.openxmlformats-officedocument.spreadsheetml.externalLink+xml">
        <DigestMethod Algorithm="http://www.w3.org/2001/04/xmlenc#sha512"/>
        <DigestValue>jhJZZ+ejyiL80rUJbzE8wzKCP94jt6CmMWM8ENV304ivUKg6QWeE8LihlvnSEu7szD1Lv+I9MyLU29NI2d/eOw==</DigestValue>
      </Reference>
      <Reference URI="/xl/externalLinks/externalLink2.xml?ContentType=application/vnd.openxmlformats-officedocument.spreadsheetml.externalLink+xml">
        <DigestMethod Algorithm="http://www.w3.org/2001/04/xmlenc#sha512"/>
        <DigestValue>2zTGn2TEU+BPq3zpp+jw/xHtNK0OzrXICizQG7KAp6h42/PqGQgm0nJb7r/tPHvfTnA8FgsDdAl+jzATwr1rgw==</DigestValue>
      </Reference>
      <Reference URI="/xl/media/image1.png?ContentType=image/png">
        <DigestMethod Algorithm="http://www.w3.org/2001/04/xmlenc#sha512"/>
        <DigestValue>0J/YeztM+DOtHM/9GR7617vrmSUpHmoP6GpBmOpfi4NfaeoG1BgncCzzJ/kvxNT1uvACFGwxR/7aswD2kQHh+Q==</DigestValue>
      </Reference>
      <Reference URI="/xl/media/image2.emf?ContentType=image/x-emf">
        <DigestMethod Algorithm="http://www.w3.org/2001/04/xmlenc#sha512"/>
        <DigestValue>7FZQb4osohmuPEotms6xVuXztB1vMW90M0n6ml7193IKs5+va2eqnh74ga1vymTgvqpB8G2Xg8gJN/BLpZqqJQ==</DigestValue>
      </Reference>
      <Reference URI="/xl/media/image3.emf?ContentType=image/x-emf">
        <DigestMethod Algorithm="http://www.w3.org/2001/04/xmlenc#sha512"/>
        <DigestValue>RA0XmfPGBU1PV4jrPtRsiEPvqopZfqw7PbklFwp2MmXvZ0OQFaIWBQQXHmkauzpStNhj4YlB9UzqEhv6DVUcnw==</DigestValue>
      </Reference>
      <Reference URI="/xl/media/image4.emf?ContentType=image/x-emf">
        <DigestMethod Algorithm="http://www.w3.org/2001/04/xmlenc#sha512"/>
        <DigestValue>Of4X7NmLzDjAEVrTY5C/jZvVtAjikrIfFLULHBDrGWt8tPYQTsCPqz3obJsfnm8fnVM3DKUS64vyCOPlHooeIQ==</DigestValue>
      </Reference>
      <Reference URI="/xl/media/image5.emf?ContentType=image/x-emf">
        <DigestMethod Algorithm="http://www.w3.org/2001/04/xmlenc#sha512"/>
        <DigestValue>Zsu6aCwEaSQ9WQDjs85/2Phnb5h1KsQjQDUGDwabbjU8OGUMP8EsDgzd6DXP0tOCnkvyyd0AWtcEZbhDLrlFxA==</DigestValue>
      </Reference>
      <Reference URI="/xl/media/image6.emf?ContentType=image/x-emf">
        <DigestMethod Algorithm="http://www.w3.org/2001/04/xmlenc#sha512"/>
        <DigestValue>ZJst3YkwU37ud9URqLgUGunTWmJRSO+2/hI8TKAUwpWA3a9dWAoI3vDrPfFDrPXNCHJ1gip5E+9sangdb9El0Q==</DigestValue>
      </Reference>
      <Reference URI="/xl/printerSettings/printerSettings1.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10.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11.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1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3.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4.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5.bin?ContentType=application/vnd.openxmlformats-officedocument.spreadsheetml.printerSettings">
        <DigestMethod Algorithm="http://www.w3.org/2001/04/xmlenc#sha512"/>
        <DigestValue>vr7zRE1PDRQZk0O+jP6xgzrtwXfHr1aOB5dp3LuLEBBPzvjl0CuRfabRqfQMuHXt8xJWrOju1atF+JpeTeCTAA==</DigestValue>
      </Reference>
      <Reference URI="/xl/printerSettings/printerSettings16.bin?ContentType=application/vnd.openxmlformats-officedocument.spreadsheetml.printerSettings">
        <DigestMethod Algorithm="http://www.w3.org/2001/04/xmlenc#sha512"/>
        <DigestValue>i0UnTXlq4gNPeGJL0JJtMJMtsqFQIYHE9OwHWf7E0Ue+sDLuHcNWuSAAIntHyfTG6l1budm2piENd2QuvcZocA==</DigestValue>
      </Reference>
      <Reference URI="/xl/printerSettings/printerSettings17.bin?ContentType=application/vnd.openxmlformats-officedocument.spreadsheetml.printerSettings">
        <DigestMethod Algorithm="http://www.w3.org/2001/04/xmlenc#sha512"/>
        <DigestValue>e74gdx0vyejNdV5zVABWWrO2QdZyTJxk2wWuatU6JqtzxdtkIAfbaVDB6rF6F9dbM+GKJcnMFDDFdceMPs3GgQ==</DigestValue>
      </Reference>
      <Reference URI="/xl/printerSettings/printerSettings18.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9.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bin?ContentType=application/vnd.openxmlformats-officedocument.spreadsheetml.printerSettings">
        <DigestMethod Algorithm="http://www.w3.org/2001/04/xmlenc#sha512"/>
        <DigestValue>EFovoOni050gLn/cjPhV5//Fw/O68a4xPFBhq6EjZGvzUuXHjLAILLoDH6yeHxS/F554s2iYan/BmWz332Oq0g==</DigestValue>
      </Reference>
      <Reference URI="/xl/printerSettings/printerSettings20.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21.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22.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23.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4.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5.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6.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7.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8.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9.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3.bin?ContentType=application/vnd.openxmlformats-officedocument.spreadsheetml.printerSettings">
        <DigestMethod Algorithm="http://www.w3.org/2001/04/xmlenc#sha512"/>
        <DigestValue>MSRDT+eWK2kx9/wzMCCgbpIolG4Jwwdaj/m/PGHfV9/Y+EW/LTqTd9lT43ep9L+nU56FxkvMq6d78cnVWysLjg==</DigestValue>
      </Reference>
      <Reference URI="/xl/printerSettings/printerSettings30.bin?ContentType=application/vnd.openxmlformats-officedocument.spreadsheetml.printerSettings">
        <DigestMethod Algorithm="http://www.w3.org/2001/04/xmlenc#sha512"/>
        <DigestValue>tdAJcCJTjVpYumktMHXo0ub3Kg5mp0h6hf2bjqRcgI+m03evncCrZKSoktt9AgHImCIK53ZTDCA/zLYJe7CfAg==</DigestValue>
      </Reference>
      <Reference URI="/xl/printerSettings/printerSettings4.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5.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6.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7.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8.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9.bin?ContentType=application/vnd.openxmlformats-officedocument.spreadsheetml.printerSettings">
        <DigestMethod Algorithm="http://www.w3.org/2001/04/xmlenc#sha512"/>
        <DigestValue>cWyYRypeu/Csclb5lRrF42O4hv9o1I03LYU0Y3e9Xd0aT3eT8ujrNgWQxGzNYeo5ENW8cLwEwxgVTDzdv18WdA==</DigestValue>
      </Reference>
      <Reference URI="/xl/sharedStrings.xml?ContentType=application/vnd.openxmlformats-officedocument.spreadsheetml.sharedStrings+xml">
        <DigestMethod Algorithm="http://www.w3.org/2001/04/xmlenc#sha512"/>
        <DigestValue>Xk/EFpWPR+FLRnhNwC9p1myuaX16DV4rS8sccL0+8RqflACW6TDI4q5zopVw/o8NUY4j1oj/mCHBaeRZDtDGMw==</DigestValue>
      </Reference>
      <Reference URI="/xl/styles.xml?ContentType=application/vnd.openxmlformats-officedocument.spreadsheetml.styles+xml">
        <DigestMethod Algorithm="http://www.w3.org/2001/04/xmlenc#sha512"/>
        <DigestValue>f4Ye2fgV7NK9W1OdOslf/h0o3/crwNGphKbJXaZk4ptXkZ1gY1qykqPa52MXLkKhqXhTGgWkYk/NuU3MtIqEuw==</DigestValue>
      </Reference>
      <Reference URI="/xl/tables/table1.xml?ContentType=application/vnd.openxmlformats-officedocument.spreadsheetml.table+xml">
        <DigestMethod Algorithm="http://www.w3.org/2001/04/xmlenc#sha512"/>
        <DigestValue>+bK4qX/AyGirzqD6K8ZNGweDO2RP/uU/dn4WAMOM8rQ5dohJGAWXNSQQqV9XJc0fpTwbfSnL6Ag0IvIQHtTDOQ==</DigestValue>
      </Reference>
      <Reference URI="/xl/tables/table2.xml?ContentType=application/vnd.openxmlformats-officedocument.spreadsheetml.table+xml">
        <DigestMethod Algorithm="http://www.w3.org/2001/04/xmlenc#sha512"/>
        <DigestValue>sjEUyP8rFtjfPjDPxnUcAw+8xbhdFMpa4jr5Y5HpuqluJxW9IG+vwSB6MTQ1t2OoMR8QOf/5sswYlNhsRhkqlA==</DigestValue>
      </Reference>
      <Reference URI="/xl/theme/theme1.xml?ContentType=application/vnd.openxmlformats-officedocument.theme+xml">
        <DigestMethod Algorithm="http://www.w3.org/2001/04/xmlenc#sha512"/>
        <DigestValue>76eo5ECoom53GHPvzbWL8z6vGMM214UT/S4gHnzUTDN7wmv0Fl5Cveh+fFnsv9P62p0uMT0hNTVNf07CavwI4Q==</DigestValue>
      </Reference>
      <Reference URI="/xl/workbook.xml?ContentType=application/vnd.openxmlformats-officedocument.spreadsheetml.sheet.main+xml">
        <DigestMethod Algorithm="http://www.w3.org/2001/04/xmlenc#sha512"/>
        <DigestValue>Cg/+6fR8N6jsj+dNxFE6W2Loh8aM4aGdTUbp9GNljMH8d2yH9Yjbl/mFlR7C+HGUJ4FjFqFpcmeDM0b9i1sHCg==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xoXcPe1fboSSW3jC7V712yNxnIoMxn9134kCupKFdevFmuq9uKnYmiRxaZi6UUAs4VOi9PbWzGqSaIMWcVrCog==</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512"/>
        <DigestValue>wMS2NX2ojfnExEaQsYT92YmJwmFfuGpDM+Pj5YCzy47AJzdEcAGQv1bnVxUxaoXceMTIZwpAYY5bnbOWC6GQ4A==</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49C4rrwEV7jg52US4ipwbSLyRdnURaFWDZExfKSws1O7OW5TvGzzxQBOCLV5Umq4QqN9tN2ptdvryj2eC6wcLw==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z1iTu2rR0pz3ey/BaJKkOcvbk+P8VMIjRd01V+giviSH1N9Pyr8IyJ5wFXKNifOO1mN0GvG6tr+SxHOXcEU5cA==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LrjrFM7rRdgqU5TsuByD2mCVS2U+a8Ym9bkYqdX/cJklGT1C1y1bOhHI0XdUzpSd+9TjRWIfQk0Ud8ESFZC9mg==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tc6H9EuogzsEm5lJ9VC75QRPhkhFQivtRxLTwbkuFrmZtOxtUtF8B8V5Q2JDml2lZ2csK0YnSE1RB4vB3UNQdw==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TDmPFHhhnL/5a5JpiW3DxnEQ91OB/s/SMVOP1EN+92dW/6dxIzKOWd+7oKcCLDdmN1/z1ucXSDZABFybqB11yQ==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512"/>
        <DigestValue>K1gh4KObKnP/b/vj39BnIFg+cJeH4cippsehCQHVEvnS3z4WaDaqrNF22vM3ZlKoJOIDZ13LA/q7TGyYeoFZXg==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512"/>
        <DigestValue>iAfxJQJ+J6s2ykSUMvFsIGhqxGB2savvSxwLD8HX7mh0cxXgLPkOHj3ayAvE4m32+aMD+oihR5OnnoFGQq4lkA==</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p4BAff026vWR4vxvk5JELRLvzg7Li6DIn8s8+Ekx8IDlh6NLRUCg6WZ5F8RzOFkfmeZbeRq+KLplbtN5cIkaVg==</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512"/>
        <DigestValue>CBMxoCuMe3IUn+BPdzLWlTQsRBGTCUkw2g0O4Zucea2daAFUB/cr9nUIC2k+L1OLlTxUSivvjlK9spj727DC5w==</DigestValue>
      </Reference>
      <Reference URI="/xl/worksheets/sheet1.xml?ContentType=application/vnd.openxmlformats-officedocument.spreadsheetml.worksheet+xml">
        <DigestMethod Algorithm="http://www.w3.org/2001/04/xmlenc#sha512"/>
        <DigestValue>xFaDMYSvR1eErz5+Eb00LMLdvqcaatCByIS/2qJxLx9FRK16qoDoXUV8/RzG9u+HiGjX6o0qGctpnK/IGhaWbw==</DigestValue>
      </Reference>
      <Reference URI="/xl/worksheets/sheet10.xml?ContentType=application/vnd.openxmlformats-officedocument.spreadsheetml.worksheet+xml">
        <DigestMethod Algorithm="http://www.w3.org/2001/04/xmlenc#sha512"/>
        <DigestValue>gdpW9VsfXkzSk1uMVwBRi2hwE3EKqqwvF8L4svcBEbQ5ebrZPrFeCTawnCfuHwV4q9+xoO1Ne3Dwrfa87n9O1g==</DigestValue>
      </Reference>
      <Reference URI="/xl/worksheets/sheet11.xml?ContentType=application/vnd.openxmlformats-officedocument.spreadsheetml.worksheet+xml">
        <DigestMethod Algorithm="http://www.w3.org/2001/04/xmlenc#sha512"/>
        <DigestValue>a8g/q9HiZIBV/kEb1ZNV/eKI+KahSbs+ahI3tX7yOTHIM3c81/Hdd2tS/vJDc13y+xwiRkXCziyyVCzjONoeuQ==</DigestValue>
      </Reference>
      <Reference URI="/xl/worksheets/sheet2.xml?ContentType=application/vnd.openxmlformats-officedocument.spreadsheetml.worksheet+xml">
        <DigestMethod Algorithm="http://www.w3.org/2001/04/xmlenc#sha512"/>
        <DigestValue>6BuV1lOQnaQgs7lof3KVpMXrQ7257KQlmv/nSonqkgEUkiKkBwf9rykF9sPs83x3QVyx9M19aAH42Z8fO0iLdg==</DigestValue>
      </Reference>
      <Reference URI="/xl/worksheets/sheet3.xml?ContentType=application/vnd.openxmlformats-officedocument.spreadsheetml.worksheet+xml">
        <DigestMethod Algorithm="http://www.w3.org/2001/04/xmlenc#sha512"/>
        <DigestValue>37jTbmhWLUF5QF/13+dQbOvmErEDACd6U6uh3HfRol6pok0hHDA2RXvxXpfnUq3riWZ1h8HO+oJI6RWZCgwEqA==</DigestValue>
      </Reference>
      <Reference URI="/xl/worksheets/sheet4.xml?ContentType=application/vnd.openxmlformats-officedocument.spreadsheetml.worksheet+xml">
        <DigestMethod Algorithm="http://www.w3.org/2001/04/xmlenc#sha512"/>
        <DigestValue>7YPTkUHok5FZMLt9+hLu3Vg6Xns0IhOY+3jfNcHsWXke9N/SWefTGxdnSjwgyVR43iVWKbTHxtEQCHGpk634Cg==</DigestValue>
      </Reference>
      <Reference URI="/xl/worksheets/sheet5.xml?ContentType=application/vnd.openxmlformats-officedocument.spreadsheetml.worksheet+xml">
        <DigestMethod Algorithm="http://www.w3.org/2001/04/xmlenc#sha512"/>
        <DigestValue>MxtlMJSkDp58fPOWyl555WaMWdYfsOg9rdelSfGaHWqTtemPcy89dA8iyVfby40pMkFCt+6QuRXqCeNzQLDR+g==</DigestValue>
      </Reference>
      <Reference URI="/xl/worksheets/sheet6.xml?ContentType=application/vnd.openxmlformats-officedocument.spreadsheetml.worksheet+xml">
        <DigestMethod Algorithm="http://www.w3.org/2001/04/xmlenc#sha512"/>
        <DigestValue>f8bk1kq/FXJ0K6mk2TNftN27sPNVgo0cvgEGLEyyPmzt2Gvl9J9hV4dmoJFnGk1/WVmrKjSE1urKAdBkHwOpIg==</DigestValue>
      </Reference>
      <Reference URI="/xl/worksheets/sheet7.xml?ContentType=application/vnd.openxmlformats-officedocument.spreadsheetml.worksheet+xml">
        <DigestMethod Algorithm="http://www.w3.org/2001/04/xmlenc#sha512"/>
        <DigestValue>g+vhybnL5QqOD5w9EwVvD+2/WRiKtPz4IOF/ObZq+B8unSz9nMRblp1nYcBkPEng1EFdL/m8NfOuBPL6a63tuQ==</DigestValue>
      </Reference>
      <Reference URI="/xl/worksheets/sheet8.xml?ContentType=application/vnd.openxmlformats-officedocument.spreadsheetml.worksheet+xml">
        <DigestMethod Algorithm="http://www.w3.org/2001/04/xmlenc#sha512"/>
        <DigestValue>JZO8zV3nNxmqin8jWCZlQTy3c149iokAfaRMUGSpjkWi39VambR0fhotUstp1ugUjnU1dbGmqclU+1tLymID6g==</DigestValue>
      </Reference>
      <Reference URI="/xl/worksheets/sheet9.xml?ContentType=application/vnd.openxmlformats-officedocument.spreadsheetml.worksheet+xml">
        <DigestMethod Algorithm="http://www.w3.org/2001/04/xmlenc#sha512"/>
        <DigestValue>KRj8tUXH9PXlKBoJH0t0kidGacFi6CFrEM/ZRhVg1pGp1sFvoTXbwQ50OlGwwtWMtwgXHZlM+Nd9KmUQRb2bgg==</DigestValue>
      </Reference>
    </Manifest>
    <SignatureProperties>
      <SignatureProperty Id="idSignatureTime" Target="#idPackageSignature">
        <mdssi:SignatureTime xmlns:mdssi="http://schemas.openxmlformats.org/package/2006/digital-signature">
          <mdssi:Format>YYYY-MM-DDThh:mm:ssTZD</mdssi:Format>
          <mdssi:Value>2026-08-13T15:05:18Z</mdssi:Value>
        </mdssi:SignatureTime>
      </SignatureProperty>
    </SignatureProperties>
  </Object>
  <Object Id="idOfficeObject">
    <SignatureProperties>
      <SignatureProperty Id="idOfficeV1Details" Target="#idPackageSignature">
        <SignatureInfoV1 xmlns="http://schemas.microsoft.com/office/2006/digsig">
          <SetupID>{26741218-28AA-49DA-988D-350C9BB4188F}</SetupID>
          <SignatureText>Luján Ríos</SignatureText>
          <SignatureImage/>
          <SignatureComments/>
          <WindowsVersion>10.0</WindowsVersion>
          <OfficeVersion>16.0.20228/27</OfficeVersion>
          <ApplicationVersion>16.0.20228</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2026-08-13T15:05:18Z</xd:SigningTime>
          <xd:SigningCertificate>
            <xd:Cert>
              <xd:CertDigest>
                <DigestMethod Algorithm="http://www.w3.org/2001/04/xmlenc#sha512"/>
                <DigestValue>2tW8sSYp/86GUWkmCmCaLeawWrZ7bTHbA2OEBLHp7WrmRqZb75P2Fj5aRtrTVo4vv+x+LVBWpm7MGKSWMU8ZVw==</DigestValue>
              </xd:CertDigest>
              <xd:IssuerSerial>
                <X509IssuerName>SERIALNUMBER=RUC80080610-7, CN=CODE100 S.A., OU=Prestador Cualificado de Servicios de Confianza, O=ICPP, C=PY</X509IssuerName>
                <X509SerialNumber>306450520406974199664798005030384591131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MwsAACBFTUYAAAEAWBsAAKo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QAz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IkAAABWAAAAMAAAADsAAABa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IoAAABXAAAAJQAAAAwAAAAEAAAAVAAAAIgAAAAxAAAAOwAAAIgAAABWAAAAAQAAAFVVj0FVVY9BMQAAADsAAAAKAAAATAAAAAAAAAAAAAAAAAAAAP//////////YAAAAEwAdQBqAOEAbgAgAFIA7QBvAHMACQAAAAsAAAAFAAAACgAAAAsAAAAFAAAADAAAAAUAAAAMAAAAC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JAAAAcQAAAAEAAABVVY9BVVWPQQ8AAABhAAAACgAAAEwAAAAAAAAAAAAAAAAAAAD//////////2AAAABMAHUAagBhAG4AIABSAGkAbwBzAAYAAAAHAAAAAwAAAAcAAAAHAAAABAAAAAgAAAADAAAACA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IAAAADwAAAHYAAABQAAAAhgAAAAEAAABVVY9BVVWPQQ8AAAB2AAAACgAAAEwAAAAAAAAAAAAAAAAAAAD//////////2AAAABDAG8AbgB0AGEAZABvAHQAcgBhAAgAAAAIAAAABwAAAAQAAAAHAAAACAAAAAgAAAAEAAAABQAAAAcAAABLAAAAQAAAADAAAAAFAAAAIAAAAAEAAAABAAAAEAAAAAAAAAAAAAAAQAEAAKAAAAAAAAAAAAAAAEABAACgAAAAJQAAAAwAAAACAAAAJwAAABgAAAAFAAAAAAAAAP///wAAAAAAJQAAAAwAAAAFAAAATAAAAGQAAAAOAAAAiwAAABUBAACbAAAADgAAAIsAAAAIAQAAEQAAACEA8AAAAAAAAAAAAAAAgD8AAAAAAAAAAAAAgD8AAAAAAAAAAAAAAAAAAAAAAAAAAAAAAAAAAAAAAAAAACUAAAAMAAAAAAAAgCgAAAAMAAAABQAAACUAAAAMAAAAAQAAABgAAAAMAAAAAAAAABIAAAAMAAAAAQAAABYAAAAMAAAAAAAAAFQAAAAwAQAADwAAAIsAAAAUAQAAmwAAAAEAAABVVY9BVVWPQQ8AAACLAAAAJgAAAEwAAAAEAAAADgAAAIsAAAAWAQAAnAAAAJgAAABGAGkAcgBtAGEAZABvACAAcABvAHIAOgAgAEwAVQBKAEEATgAgAE0AQQBHAEEATABJACAAUgBJAE8AUwAgAFoAQQBSAEEAQwBIAE8ABgAAAAMAAAAFAAAACwAAAAcAAAAIAAAACAAAAAQAAAAIAAAACAAAAAUAAAADAAAABAAAAAYAAAAJAAAABQAAAAgAAAAKAAAABAAAAAwAAAAIAAAACQAAAAgAAAAGAAAAAwAAAAQAAAAIAAAAAwAAAAoAAAAHAAAABAAAAAcAAAAIAAAACAAAAAgAAAAIAAAACQAAAAoAAAAWAAAADAAAAAAAAAAlAAAADAAAAAIAAAAOAAAAFAAAAAAAAAAQAAAAFAAAAA==</Object>
  <Object Id="idInvalidSigLnImg">AQAAAGwAAAAAAAAAAAAAAD8BAACfAAAAAAAAAAAAAABmFgAAMwsAACBFTUYAAAEA2CEAALE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iQAAAFYAAAAwAAAAOwAAAFo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igAAAFcAAAAlAAAADAAAAAQAAABUAAAAiAAAADEAAAA7AAAAiAAAAFYAAAABAAAAVVWPQVVVj0ExAAAAOwAAAAoAAABMAAAAAAAAAAAAAAAAAAAA//////////9gAAAATAB1AGoA4QBuACAAUgDtAG8AcwAJAAAACwAAAAUAAAAKAAAACwAAAAUAAAAMAAAABQAAAAwAAAAI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kAAABxAAAAAQAAAFVVj0FVVY9BDwAAAGEAAAAKAAAATAAAAAAAAAAAAAAAAAAAAP//////////YAAAAEwAdQBqAGEAbgAgAFIAaQBvAHMABgAAAAcAAAADAAAABwAAAAcAAAAEAAAACAAAAAMAAAAIAAAABg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gAAAAPAAAAdgAAAFAAAACGAAAAAQAAAFVVj0FVVY9BDwAAAHYAAAAKAAAATAAAAAAAAAAAAAAAAAAAAP//////////YAAAAEMAbwBuAHQAYQBkAG8AdAByAGEACAAAAAgAAAAHAAAABAAAAAcAAAAIAAAACAAAAAQAAAAFAAAABwAAAEsAAABAAAAAMAAAAAUAAAAgAAAAAQAAAAEAAAAQAAAAAAAAAAAAAABAAQAAoAAAAAAAAAAAAAAAQAEAAKAAAAAlAAAADAAAAAIAAAAnAAAAGAAAAAUAAAAAAAAA////AAAAAAAlAAAADAAAAAUAAABMAAAAZAAAAA4AAACLAAAAFQEAAJsAAAAOAAAAiwAAAAgBAAARAAAAIQDwAAAAAAAAAAAAAACAPwAAAAAAAAAAAACAPwAAAAAAAAAAAAAAAAAAAAAAAAAAAAAAAAAAAAAAAAAAJQAAAAwAAAAAAACAKAAAAAwAAAAFAAAAJQAAAAwAAAABAAAAGAAAAAwAAAAAAAAAEgAAAAwAAAABAAAAFgAAAAwAAAAAAAAAVAAAADABAAAPAAAAiwAAABQBAACbAAAAAQAAAFVVj0FVVY9BDwAAAIsAAAAmAAAATAAAAAQAAAAOAAAAiwAAABYBAACcAAAAmAAAAEYAaQByAG0AYQBkAG8AIABwAG8AcgA6ACAATABVAEoAQQBOACAATQBBAEcAQQBMAEkAIABSAEkATwBTACAAWgBBAFIAQQBDAEgATwAGAAAAAwAAAAUAAAALAAAABwAAAAgAAAAIAAAABAAAAAgAAAAIAAAABQAAAAMAAAAEAAAABgAAAAkAAAAFAAAACAAAAAoAAAAEAAAADAAAAAgAAAAJAAAACAAAAAYAAAADAAAABAAAAAgAAAADAAAACgAAAAcAAAAEAAAABwAAAAgAAAAIAAAACAAAAAgAAAAJAAAACgAAABYAAAAMAAAAAAAAACUAAAAMAAAAAgAAAA4AAAAUAAAAAAAAABAAAAAUAAAA</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9I/hTFB24T+pRAkedzvCYBHdEIU0FguC3NP2cSr9PIKVzu89/6hHX8HpFyDKmUU4e+pMm0jpYwS6
Xyk97ApYmA==</DigestValue>
    </Reference>
    <Reference Type="http://www.w3.org/2000/09/xmldsig#Object" URI="#idOfficeObject">
      <DigestMethod Algorithm="http://www.w3.org/2001/04/xmlenc#sha512"/>
      <DigestValue>uF7edg6DsMTcDh1XoLwCkYfVswQeldYasttAp0tMbuv20LemuKPaUM4J5e8qqaw3syjDv81E5MF6
Y85Dp1ZxFA==</DigestValue>
    </Reference>
    <Reference Type="http://uri.etsi.org/01903#SignedProperties" URI="#idSignedProperties">
      <Transforms>
        <Transform Algorithm="http://www.w3.org/TR/2001/REC-xml-c14n-20010315"/>
      </Transforms>
      <DigestMethod Algorithm="http://www.w3.org/2001/04/xmlenc#sha512"/>
      <DigestValue>hxupjDFTX1TuOTJK8isTepyma93/7RJeAkYmOo/r7iKhc/EoiwuMz0UTYUL+MCWSr+6syCs2WvDG
t/mbwqolkA==</DigestValue>
    </Reference>
    <Reference Type="http://www.w3.org/2000/09/xmldsig#Object" URI="#idValidSigLnImg">
      <DigestMethod Algorithm="http://www.w3.org/2001/04/xmlenc#sha512"/>
      <DigestValue>racVcDCkJOjS/Ead0k3Xys/8ljvN8v+4NLLr+towTVQK/+TqjBxWdf+uW5lOL3Ti662yS5R3qRiR
S8s7L/pn8Q==</DigestValue>
    </Reference>
    <Reference Type="http://www.w3.org/2000/09/xmldsig#Object" URI="#idInvalidSigLnImg">
      <DigestMethod Algorithm="http://www.w3.org/2001/04/xmlenc#sha512"/>
      <DigestValue>sIeshzH5nel2okhocqF/o+nOhk71B5gWqh7rJUq741W7lkr7LEfZ7EUjornoMQOzGGEhZ5GNCL56
XWSTYbDPdA==</DigestValue>
    </Reference>
  </SignedInfo>
  <SignatureValue>TA4gzH3AWwohtR2+oHCtRA5Jhq66TxINEf5OP49wTFtcfu+6/oxOMdUYz+RYmPjG4ptlEC+jb7R0
2sGXqGqdf2TgUoe5T+ykEs4gMDIhrxc1uRS77KeVN0k8gbmt2g1N7Pnh6sYF0Qig+iUEZQYrJMK+
Hb3cF17XpZ/s5Z/2ct3CV7wbxqUjL0L3ni0wvCUSO4WJa1RdvKfCHKaYXsf3aoG+ofxzNCheL58x
MgWWUQnpgILbnhmSveFWYz1rhqMIBdVKPkxxA2wFtro0AsnFMZt5qN4Q+BlwfY6R8LhD1YJtT7Ho
VmPMRY6Tbd3TdkcyXcBZ/xU4SL+e7l4M+KIMLw==</SignatureValue>
  <KeyInfo>
    <X509Data>
      <X509Certificate>MIIHpzCCBY+gAwIBAgIRAOaMOS7wawa8TPeJW5TMYRswDQYJKoZIhvcNAQENBQAwgYUxCzAJBgNVBAYTAlBZMQ0wCwYDVQQKEwRJQ1BQMTgwNgYDVQQLEy9QcmVzdGFkb3IgQ3VhbGlmaWNhZG8gZGUgU2VydmljaW9zIGRlIENvbmZpYW56YTEVMBMGA1UEAxMMQ09ERTEwMCBTLkEuMRYwFAYDVQQFEw1SVUM4MDA4MDYxMC03MB4XDTI2MDczMDE0MzYyM1oXDTI4MDczMDE0MzYyM1owgbgxCzAJBgNVBAYTAlBZMTYwNAYDVQQKDC1DRVJUSUZJQ0FETyBDVUFMSUZJQ0FETyBERSBGSVJNQSBFTEVDVFLDk05JQ0ExCzAJBgNVBAsTAkYyMRUwEwYDVQQEEwxSSU9TIFpBUkFDSE8xFTATBgNVBCoTDExVSkFOIE1BR0FMSTEiMCAGA1UEAxMZTFVKQU4gTUFHQUxJIFJJT1MgWkFSQUNITzESMBAGA1UEBRMJQ0k0Nzg5MzE5MIIBIjANBgkqhkiG9w0BAQEFAAOCAQ8AMIIBCgKCAQEA3b1/j8X50yxjZQCZ9ws/0syUM+a29aa27HuYFphpcuJe166FVsUU6Slj9t3gz4EMOzd01wpjBY52FY5Z9n87fJ2KQLkyYwlfdJgwWtuy82AhUC8T7ocsC1FitA0zryI1CqZcKgBxho3YVoRRvYRxR87ASPQ7ZQtJdrLqHTyEodfSNDSoagS8lKCwx+6Im/46EQCcoq0bwIxunf6uvreWE7IhcsBgSaKTKzvWg2fQpZFga0G8CRmrqBkU7KW4b6PzdcWk9pTkDqYqe6BLv3hbhbCzFLpwhPp+PKiTior1OP0sFQ6LMlgPoqzDbwT1X5SoXVMxwdlga1KRQ5ofhQtKZwIDAQABo4IC2zCCAtcwDAYDVR0TAQH/BAIwADAdBgNVHQ4EFgQUDmAR507UwF3py+/eag0NuvPNqjkwHwYDVR0jBBgwFoAUvjVUYmhg5ybTMcFfl7Hi9mTOB/UwDgYDVR0PAQH/BAQDAgXgMFIGA1UdEQRLMEmBGkxVLlJJT1NaQVJBQ0hPQEhPVE1BSUwuQ09N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OPOiMPu8uKoUKnBEZOR+Zw1VjuFyNErhAd9k0+jXVvSEXuD+Nyp34E0dHsDSD+yD5KDOg7LC7wbouEbdqNnXVswZIPi2+/y9Adb0XysBOaZgEmFAqUomHbzvUjcYpzhj4ZjhC+pY9ryU14bs5pXEJpIj2n8YFUF1757cUEDHSd2lV3OXx/ygB7pRMnrqzbjnXPV2dYK+XXox4HtaQLP1VqD6lem4ONC24BhKzt6ZiAsICDbquwHZQmYCRYTBq15JUL3HWBf40UWuD/Hq9yKfPdKKXe7/QYw23sezC/p8TmEAm1tEQHSM6b/3apdUfb8CsWn0yiF28aj75J5n0T/9BveIyiTYCteqgTEXlWn4K+GPHHW9SvcBY11ANuHoiIAglsCgM+Us2IaOQeDY2/UA+5PfsC2pRUItM2xcEB8NIjGbDsPfFy04y165cx+st/gj04plbrDkzl74+LPgz/2iZUblbSPhE5qgdLZUB6crXtts9zE7B8nbC1Cn9UnA1U6pMLzBXXnCmz8fqxfLpyl32oekzzEgiDHpKKjWxHFhVkW0SNy09zyyRIgMYok7Mt8CGmj/zOSLwGF5Kfd9v9U2zWByl2nPlt36KZvtGuWEbll5rKeItfjtXYVVuecv6pkViDziJiHD5aBH250YSUFkmAuroErioSv/2UV+1/Z5OY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zgkyY6HSQK1BZB2kWWxoNv5MipmhTNVieG8sdJPI+9ncNzAnZD8LMrOTVBRs6s+ybpp1DxvqRgYGdROJhmbtIA==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512"/>
        <DigestValue>ludKKNtX5tnJpJ2rTMlsUNrggaepUlcBhrqNsUPg2NNtMbTuEeAFMjeY4P+TnJRxOTDlm/kwQIxQmPlJFKXiEQ==</DigestValue>
      </Reference>
      <Reference URI="/xl/calcChain.xml?ContentType=application/vnd.openxmlformats-officedocument.spreadsheetml.calcChain+xml">
        <DigestMethod Algorithm="http://www.w3.org/2001/04/xmlenc#sha512"/>
        <DigestValue>WojsXToDteF7+ZWPpDnkYgFxgeWjZrPEWlqusY2JYkLMGdcw2A+YBiyBd9wNPvrFpdeslBF41iWOjZ33wT+Dqw==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S5wr5IMKvcWEnYMlKM7CUvUJd1upKTDF0xqh90p5lNg3w9BlaoOXUXE/3ceouv6w+pfkd+zy22/Oq6mEtOsfEg==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szIPcT7Amlp5Mi6udC/yNfBr1EBwz8kR1C/bu9OHyrsNAf9hGpn30HkwwM51M/8gQ8KZ+aYKKZKMX4sD13zT6Q==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S5wr5IMKvcWEnYMlKM7CUvUJd1upKTDF0xqh90p5lNg3w9BlaoOXUXE/3ceouv6w+pfkd+zy22/Oq6mEtOsfEg==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/vD+TMAesbVivJYLl6c3cA/KKAHBFjP5NGsE+yVfoX1MvvC5vxij4GfI8OJ9cu12E0m8H85itLIae9+N/ydXPg==</DigestValue>
      </Reference>
      <Reference URI="/xl/drawings/drawing1.xml?ContentType=application/vnd.openxmlformats-officedocument.drawing+xml">
        <DigestMethod Algorithm="http://www.w3.org/2001/04/xmlenc#sha512"/>
        <DigestValue>s8fgwTh33sUNHpJnKH+gtDhCL/XxgS4d7AtFDxcpKunPUJ25vABxFDXdJf+KomJj6V+3PtnA6fWN47fCXWd8Uw==</DigestValue>
      </Reference>
      <Reference URI="/xl/drawings/drawing2.xml?ContentType=application/vnd.openxmlformats-officedocument.drawing+xml">
        <DigestMethod Algorithm="http://www.w3.org/2001/04/xmlenc#sha512"/>
        <DigestValue>wCBhU5hY64AOXMkUNJBwPQypITgHwnzlhW6cVzhlQpfC96cf6NROcNMnMwZapr3VbiT+Xf2sknj4mNVA3Rj2Eg==</DigestValue>
      </Reference>
      <Reference URI="/xl/drawings/drawing3.xml?ContentType=application/vnd.openxmlformats-officedocument.drawing+xml">
        <DigestMethod Algorithm="http://www.w3.org/2001/04/xmlenc#sha512"/>
        <DigestValue>PJkQi4zRVVCs2V5SMmB7RlZNvhfvRFomB/rcUwgTgSMyvqSps+NzdHz7mBpBzXK5aFFccSR9lXwQ9Vz4z/47CA==</DigestValue>
      </Reference>
      <Reference URI="/xl/drawings/drawing4.xml?ContentType=application/vnd.openxmlformats-officedocument.drawing+xml">
        <DigestMethod Algorithm="http://www.w3.org/2001/04/xmlenc#sha512"/>
        <DigestValue>1fhhX3JvoYhIDinAoOnYV3YVOfLzRYiI7VTouoR5rRtABENlGFnXSw4BXIqaynwWT1lBZ1/7c4xEJnKQTUxhMA==</DigestValue>
      </Reference>
      <Reference URI="/xl/drawings/drawing5.xml?ContentType=application/vnd.openxmlformats-officedocument.drawing+xml">
        <DigestMethod Algorithm="http://www.w3.org/2001/04/xmlenc#sha512"/>
        <DigestValue>/8yVWtgywRqL4S1HaYAuukZMhVRaZbJkAhrW+7yf9zaENSUKr2YWoAHHIugJCV2HWaQESzM8pi2q17KV83GRlw==</DigestValue>
      </Reference>
      <Reference URI="/xl/drawings/drawing6.xml?ContentType=application/vnd.openxmlformats-officedocument.drawing+xml">
        <DigestMethod Algorithm="http://www.w3.org/2001/04/xmlenc#sha512"/>
        <DigestValue>88SBM5bzNK+LPMb7UZG05GRZ8Io3sSRpJw7TFXYf/w5tRd+oVZtultXhbGyQa5iZ7qi72gWs3zI0t9TgZpm9eQ==</DigestValue>
      </Reference>
      <Reference URI="/xl/drawings/drawing7.xml?ContentType=application/vnd.openxmlformats-officedocument.drawing+xml">
        <DigestMethod Algorithm="http://www.w3.org/2001/04/xmlenc#sha512"/>
        <DigestValue>qQWQx6gFE3KCWFy3HlSUMYo49ETAsflURudgWkXVA0CVfDUxCl/FXvW7zwjkTzU/yzd7PnSTQppZhw7ajydxNQ==</DigestValue>
      </Reference>
      <Reference URI="/xl/drawings/drawing8.xml?ContentType=application/vnd.openxmlformats-officedocument.drawing+xml">
        <DigestMethod Algorithm="http://www.w3.org/2001/04/xmlenc#sha512"/>
        <DigestValue>Tk5XCMyllastPidHWRYQhP7bRNxm2qK28gFpL20GxcviEwStH/kxe/Jy10nTWAbiBwOdDm/JPvHIRCmasN7DdQ==</DigestValue>
      </Reference>
      <Reference URI="/xl/drawings/vmlDrawing1.vml?ContentType=application/vnd.openxmlformats-officedocument.vmlDrawing">
        <DigestMethod Algorithm="http://www.w3.org/2001/04/xmlenc#sha512"/>
        <DigestValue>T52xBKPYDZiMk3sX1evxWyFQi8RsDCM2lWCwscSGt4QpaV8sgz0cEHpAyG16taEKPV7qaSzcfObcAnzg4XDXvA==</DigestValue>
      </Reference>
      <Reference URI="/xl/drawings/vmlDrawing2.vml?ContentType=application/vnd.openxmlformats-officedocument.vmlDrawing">
        <DigestMethod Algorithm="http://www.w3.org/2001/04/xmlenc#sha512"/>
        <DigestValue>Qh95fYYpQl1lsOx4lAxyhcQ0AROeN2g6MtmmLW/o1lPnOkxC0a69xtxjrFyKf/4el8mq8wBuEBEzmsGvVFeT+w==</DigestValue>
      </Reference>
      <Reference URI="/xl/drawings/vmlDrawing3.vml?ContentType=application/vnd.openxmlformats-officedocument.vmlDrawing">
        <DigestMethod Algorithm="http://www.w3.org/2001/04/xmlenc#sha512"/>
        <DigestValue>Q383J+kzBZNuDM8V6rnZuDrElzV2DCPmzS032eSVMsA9L5ALkWgACEzWxDW/U3fYVnmCJB3Vhb479+9P+KYCBA==</DigestValue>
      </Reference>
      <Reference URI="/xl/drawings/vmlDrawing4.vml?ContentType=application/vnd.openxmlformats-officedocument.vmlDrawing">
        <DigestMethod Algorithm="http://www.w3.org/2001/04/xmlenc#sha512"/>
        <DigestValue>0QSWDtLvhUCVW0rQ5D3s7tjlgVs6iIZINdGnG2xpPbTK7K9Wwaumw9v45leD4XYoSQBU2v19aOzrdeCC8u6dgg==</DigestValue>
      </Reference>
      <Reference URI="/xl/drawings/vmlDrawing5.vml?ContentType=application/vnd.openxmlformats-officedocument.vmlDrawing">
        <DigestMethod Algorithm="http://www.w3.org/2001/04/xmlenc#sha512"/>
        <DigestValue>gZ9XAG/nDhxizT9nlK7BuUspiqQGtdhuQZmpIbb9L4OPQ0FSz+9CA3xcqdh1VcU1p6IwAM7lF8+nXzJNhxyCAw==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fY59D9sZgAJMfyyKPS0iuRM2ZcrGSFbsztCVHBJWjqnrb+SldDiyjVuG/G+nbgygvQvK4RwTqjgXv5MrmR8Hwg==</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MPcY1DRjW18Rxzx+VtyQ9FB8MyZ2y0wDOgwigQGxTH+IWkwsYxh5wbqL7p5AGIxxhpPuwqzIvwsFPF9COtfxIQ==</DigestValue>
      </Reference>
      <Reference URI="/xl/externalLinks/externalLink1.xml?ContentType=application/vnd.openxmlformats-officedocument.spreadsheetml.externalLink+xml">
        <DigestMethod Algorithm="http://www.w3.org/2001/04/xmlenc#sha512"/>
        <DigestValue>jhJZZ+ejyiL80rUJbzE8wzKCP94jt6CmMWM8ENV304ivUKg6QWeE8LihlvnSEu7szD1Lv+I9MyLU29NI2d/eOw==</DigestValue>
      </Reference>
      <Reference URI="/xl/externalLinks/externalLink2.xml?ContentType=application/vnd.openxmlformats-officedocument.spreadsheetml.externalLink+xml">
        <DigestMethod Algorithm="http://www.w3.org/2001/04/xmlenc#sha512"/>
        <DigestValue>2zTGn2TEU+BPq3zpp+jw/xHtNK0OzrXICizQG7KAp6h42/PqGQgm0nJb7r/tPHvfTnA8FgsDdAl+jzATwr1rgw==</DigestValue>
      </Reference>
      <Reference URI="/xl/media/image1.png?ContentType=image/png">
        <DigestMethod Algorithm="http://www.w3.org/2001/04/xmlenc#sha512"/>
        <DigestValue>0J/YeztM+DOtHM/9GR7617vrmSUpHmoP6GpBmOpfi4NfaeoG1BgncCzzJ/kvxNT1uvACFGwxR/7aswD2kQHh+Q==</DigestValue>
      </Reference>
      <Reference URI="/xl/media/image2.emf?ContentType=image/x-emf">
        <DigestMethod Algorithm="http://www.w3.org/2001/04/xmlenc#sha512"/>
        <DigestValue>7FZQb4osohmuPEotms6xVuXztB1vMW90M0n6ml7193IKs5+va2eqnh74ga1vymTgvqpB8G2Xg8gJN/BLpZqqJQ==</DigestValue>
      </Reference>
      <Reference URI="/xl/media/image3.emf?ContentType=image/x-emf">
        <DigestMethod Algorithm="http://www.w3.org/2001/04/xmlenc#sha512"/>
        <DigestValue>RA0XmfPGBU1PV4jrPtRsiEPvqopZfqw7PbklFwp2MmXvZ0OQFaIWBQQXHmkauzpStNhj4YlB9UzqEhv6DVUcnw==</DigestValue>
      </Reference>
      <Reference URI="/xl/media/image4.emf?ContentType=image/x-emf">
        <DigestMethod Algorithm="http://www.w3.org/2001/04/xmlenc#sha512"/>
        <DigestValue>Of4X7NmLzDjAEVrTY5C/jZvVtAjikrIfFLULHBDrGWt8tPYQTsCPqz3obJsfnm8fnVM3DKUS64vyCOPlHooeIQ==</DigestValue>
      </Reference>
      <Reference URI="/xl/media/image5.emf?ContentType=image/x-emf">
        <DigestMethod Algorithm="http://www.w3.org/2001/04/xmlenc#sha512"/>
        <DigestValue>Zsu6aCwEaSQ9WQDjs85/2Phnb5h1KsQjQDUGDwabbjU8OGUMP8EsDgzd6DXP0tOCnkvyyd0AWtcEZbhDLrlFxA==</DigestValue>
      </Reference>
      <Reference URI="/xl/media/image6.emf?ContentType=image/x-emf">
        <DigestMethod Algorithm="http://www.w3.org/2001/04/xmlenc#sha512"/>
        <DigestValue>ZJst3YkwU37ud9URqLgUGunTWmJRSO+2/hI8TKAUwpWA3a9dWAoI3vDrPfFDrPXNCHJ1gip5E+9sangdb9El0Q==</DigestValue>
      </Reference>
      <Reference URI="/xl/printerSettings/printerSettings1.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10.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11.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1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3.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4.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5.bin?ContentType=application/vnd.openxmlformats-officedocument.spreadsheetml.printerSettings">
        <DigestMethod Algorithm="http://www.w3.org/2001/04/xmlenc#sha512"/>
        <DigestValue>vr7zRE1PDRQZk0O+jP6xgzrtwXfHr1aOB5dp3LuLEBBPzvjl0CuRfabRqfQMuHXt8xJWrOju1atF+JpeTeCTAA==</DigestValue>
      </Reference>
      <Reference URI="/xl/printerSettings/printerSettings16.bin?ContentType=application/vnd.openxmlformats-officedocument.spreadsheetml.printerSettings">
        <DigestMethod Algorithm="http://www.w3.org/2001/04/xmlenc#sha512"/>
        <DigestValue>i0UnTXlq4gNPeGJL0JJtMJMtsqFQIYHE9OwHWf7E0Ue+sDLuHcNWuSAAIntHyfTG6l1budm2piENd2QuvcZocA==</DigestValue>
      </Reference>
      <Reference URI="/xl/printerSettings/printerSettings17.bin?ContentType=application/vnd.openxmlformats-officedocument.spreadsheetml.printerSettings">
        <DigestMethod Algorithm="http://www.w3.org/2001/04/xmlenc#sha512"/>
        <DigestValue>e74gdx0vyejNdV5zVABWWrO2QdZyTJxk2wWuatU6JqtzxdtkIAfbaVDB6rF6F9dbM+GKJcnMFDDFdceMPs3GgQ==</DigestValue>
      </Reference>
      <Reference URI="/xl/printerSettings/printerSettings18.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9.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bin?ContentType=application/vnd.openxmlformats-officedocument.spreadsheetml.printerSettings">
        <DigestMethod Algorithm="http://www.w3.org/2001/04/xmlenc#sha512"/>
        <DigestValue>EFovoOni050gLn/cjPhV5//Fw/O68a4xPFBhq6EjZGvzUuXHjLAILLoDH6yeHxS/F554s2iYan/BmWz332Oq0g==</DigestValue>
      </Reference>
      <Reference URI="/xl/printerSettings/printerSettings20.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21.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22.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23.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4.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5.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6.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7.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8.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9.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3.bin?ContentType=application/vnd.openxmlformats-officedocument.spreadsheetml.printerSettings">
        <DigestMethod Algorithm="http://www.w3.org/2001/04/xmlenc#sha512"/>
        <DigestValue>MSRDT+eWK2kx9/wzMCCgbpIolG4Jwwdaj/m/PGHfV9/Y+EW/LTqTd9lT43ep9L+nU56FxkvMq6d78cnVWysLjg==</DigestValue>
      </Reference>
      <Reference URI="/xl/printerSettings/printerSettings30.bin?ContentType=application/vnd.openxmlformats-officedocument.spreadsheetml.printerSettings">
        <DigestMethod Algorithm="http://www.w3.org/2001/04/xmlenc#sha512"/>
        <DigestValue>tdAJcCJTjVpYumktMHXo0ub3Kg5mp0h6hf2bjqRcgI+m03evncCrZKSoktt9AgHImCIK53ZTDCA/zLYJe7CfAg==</DigestValue>
      </Reference>
      <Reference URI="/xl/printerSettings/printerSettings4.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5.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6.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7.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8.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9.bin?ContentType=application/vnd.openxmlformats-officedocument.spreadsheetml.printerSettings">
        <DigestMethod Algorithm="http://www.w3.org/2001/04/xmlenc#sha512"/>
        <DigestValue>cWyYRypeu/Csclb5lRrF42O4hv9o1I03LYU0Y3e9Xd0aT3eT8ujrNgWQxGzNYeo5ENW8cLwEwxgVTDzdv18WdA==</DigestValue>
      </Reference>
      <Reference URI="/xl/sharedStrings.xml?ContentType=application/vnd.openxmlformats-officedocument.spreadsheetml.sharedStrings+xml">
        <DigestMethod Algorithm="http://www.w3.org/2001/04/xmlenc#sha512"/>
        <DigestValue>Xk/EFpWPR+FLRnhNwC9p1myuaX16DV4rS8sccL0+8RqflACW6TDI4q5zopVw/o8NUY4j1oj/mCHBaeRZDtDGMw==</DigestValue>
      </Reference>
      <Reference URI="/xl/styles.xml?ContentType=application/vnd.openxmlformats-officedocument.spreadsheetml.styles+xml">
        <DigestMethod Algorithm="http://www.w3.org/2001/04/xmlenc#sha512"/>
        <DigestValue>f4Ye2fgV7NK9W1OdOslf/h0o3/crwNGphKbJXaZk4ptXkZ1gY1qykqPa52MXLkKhqXhTGgWkYk/NuU3MtIqEuw==</DigestValue>
      </Reference>
      <Reference URI="/xl/tables/table1.xml?ContentType=application/vnd.openxmlformats-officedocument.spreadsheetml.table+xml">
        <DigestMethod Algorithm="http://www.w3.org/2001/04/xmlenc#sha512"/>
        <DigestValue>+bK4qX/AyGirzqD6K8ZNGweDO2RP/uU/dn4WAMOM8rQ5dohJGAWXNSQQqV9XJc0fpTwbfSnL6Ag0IvIQHtTDOQ==</DigestValue>
      </Reference>
      <Reference URI="/xl/tables/table2.xml?ContentType=application/vnd.openxmlformats-officedocument.spreadsheetml.table+xml">
        <DigestMethod Algorithm="http://www.w3.org/2001/04/xmlenc#sha512"/>
        <DigestValue>sjEUyP8rFtjfPjDPxnUcAw+8xbhdFMpa4jr5Y5HpuqluJxW9IG+vwSB6MTQ1t2OoMR8QOf/5sswYlNhsRhkqlA==</DigestValue>
      </Reference>
      <Reference URI="/xl/theme/theme1.xml?ContentType=application/vnd.openxmlformats-officedocument.theme+xml">
        <DigestMethod Algorithm="http://www.w3.org/2001/04/xmlenc#sha512"/>
        <DigestValue>76eo5ECoom53GHPvzbWL8z6vGMM214UT/S4gHnzUTDN7wmv0Fl5Cveh+fFnsv9P62p0uMT0hNTVNf07CavwI4Q==</DigestValue>
      </Reference>
      <Reference URI="/xl/workbook.xml?ContentType=application/vnd.openxmlformats-officedocument.spreadsheetml.sheet.main+xml">
        <DigestMethod Algorithm="http://www.w3.org/2001/04/xmlenc#sha512"/>
        <DigestValue>Cg/+6fR8N6jsj+dNxFE6W2Loh8aM4aGdTUbp9GNljMH8d2yH9Yjbl/mFlR7C+HGUJ4FjFqFpcmeDM0b9i1sHCg==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xoXcPe1fboSSW3jC7V712yNxnIoMxn9134kCupKFdevFmuq9uKnYmiRxaZi6UUAs4VOi9PbWzGqSaIMWcVrCog==</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512"/>
        <DigestValue>wMS2NX2ojfnExEaQsYT92YmJwmFfuGpDM+Pj5YCzy47AJzdEcAGQv1bnVxUxaoXceMTIZwpAYY5bnbOWC6GQ4A==</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512"/>
        <DigestValue>49C4rrwEV7jg52US4ipwbSLyRdnURaFWDZExfKSws1O7OW5TvGzzxQBOCLV5Umq4QqN9tN2ptdvryj2eC6wcLw==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z1iTu2rR0pz3ey/BaJKkOcvbk+P8VMIjRd01V+giviSH1N9Pyr8IyJ5wFXKNifOO1mN0GvG6tr+SxHOXcEU5cA==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LrjrFM7rRdgqU5TsuByD2mCVS2U+a8Ym9bkYqdX/cJklGT1C1y1bOhHI0XdUzpSd+9TjRWIfQk0Ud8ESFZC9mg==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tc6H9EuogzsEm5lJ9VC75QRPhkhFQivtRxLTwbkuFrmZtOxtUtF8B8V5Q2JDml2lZ2csK0YnSE1RB4vB3UNQdw==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TDmPFHhhnL/5a5JpiW3DxnEQ91OB/s/SMVOP1EN+92dW/6dxIzKOWd+7oKcCLDdmN1/z1ucXSDZABFybqB11yQ==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K1gh4KObKnP/b/vj39BnIFg+cJeH4cippsehCQHVEvnS3z4WaDaqrNF22vM3ZlKoJOIDZ13LA/q7TGyYeoFZXg==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512"/>
        <DigestValue>iAfxJQJ+J6s2ykSUMvFsIGhqxGB2savvSxwLD8HX7mh0cxXgLPkOHj3ayAvE4m32+aMD+oihR5OnnoFGQq4lkA==</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p4BAff026vWR4vxvk5JELRLvzg7Li6DIn8s8+Ekx8IDlh6NLRUCg6WZ5F8RzOFkfmeZbeRq+KLplbtN5cIkaVg==</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512"/>
        <DigestValue>CBMxoCuMe3IUn+BPdzLWlTQsRBGTCUkw2g0O4Zucea2daAFUB/cr9nUIC2k+L1OLlTxUSivvjlK9spj727DC5w==</DigestValue>
      </Reference>
      <Reference URI="/xl/worksheets/sheet1.xml?ContentType=application/vnd.openxmlformats-officedocument.spreadsheetml.worksheet+xml">
        <DigestMethod Algorithm="http://www.w3.org/2001/04/xmlenc#sha512"/>
        <DigestValue>xFaDMYSvR1eErz5+Eb00LMLdvqcaatCByIS/2qJxLx9FRK16qoDoXUV8/RzG9u+HiGjX6o0qGctpnK/IGhaWbw==</DigestValue>
      </Reference>
      <Reference URI="/xl/worksheets/sheet10.xml?ContentType=application/vnd.openxmlformats-officedocument.spreadsheetml.worksheet+xml">
        <DigestMethod Algorithm="http://www.w3.org/2001/04/xmlenc#sha512"/>
        <DigestValue>gdpW9VsfXkzSk1uMVwBRi2hwE3EKqqwvF8L4svcBEbQ5ebrZPrFeCTawnCfuHwV4q9+xoO1Ne3Dwrfa87n9O1g==</DigestValue>
      </Reference>
      <Reference URI="/xl/worksheets/sheet11.xml?ContentType=application/vnd.openxmlformats-officedocument.spreadsheetml.worksheet+xml">
        <DigestMethod Algorithm="http://www.w3.org/2001/04/xmlenc#sha512"/>
        <DigestValue>a8g/q9HiZIBV/kEb1ZNV/eKI+KahSbs+ahI3tX7yOTHIM3c81/Hdd2tS/vJDc13y+xwiRkXCziyyVCzjONoeuQ==</DigestValue>
      </Reference>
      <Reference URI="/xl/worksheets/sheet2.xml?ContentType=application/vnd.openxmlformats-officedocument.spreadsheetml.worksheet+xml">
        <DigestMethod Algorithm="http://www.w3.org/2001/04/xmlenc#sha512"/>
        <DigestValue>6BuV1lOQnaQgs7lof3KVpMXrQ7257KQlmv/nSonqkgEUkiKkBwf9rykF9sPs83x3QVyx9M19aAH42Z8fO0iLdg==</DigestValue>
      </Reference>
      <Reference URI="/xl/worksheets/sheet3.xml?ContentType=application/vnd.openxmlformats-officedocument.spreadsheetml.worksheet+xml">
        <DigestMethod Algorithm="http://www.w3.org/2001/04/xmlenc#sha512"/>
        <DigestValue>37jTbmhWLUF5QF/13+dQbOvmErEDACd6U6uh3HfRol6pok0hHDA2RXvxXpfnUq3riWZ1h8HO+oJI6RWZCgwEqA==</DigestValue>
      </Reference>
      <Reference URI="/xl/worksheets/sheet4.xml?ContentType=application/vnd.openxmlformats-officedocument.spreadsheetml.worksheet+xml">
        <DigestMethod Algorithm="http://www.w3.org/2001/04/xmlenc#sha512"/>
        <DigestValue>7YPTkUHok5FZMLt9+hLu3Vg6Xns0IhOY+3jfNcHsWXke9N/SWefTGxdnSjwgyVR43iVWKbTHxtEQCHGpk634Cg==</DigestValue>
      </Reference>
      <Reference URI="/xl/worksheets/sheet5.xml?ContentType=application/vnd.openxmlformats-officedocument.spreadsheetml.worksheet+xml">
        <DigestMethod Algorithm="http://www.w3.org/2001/04/xmlenc#sha512"/>
        <DigestValue>MxtlMJSkDp58fPOWyl555WaMWdYfsOg9rdelSfGaHWqTtemPcy89dA8iyVfby40pMkFCt+6QuRXqCeNzQLDR+g==</DigestValue>
      </Reference>
      <Reference URI="/xl/worksheets/sheet6.xml?ContentType=application/vnd.openxmlformats-officedocument.spreadsheetml.worksheet+xml">
        <DigestMethod Algorithm="http://www.w3.org/2001/04/xmlenc#sha512"/>
        <DigestValue>f8bk1kq/FXJ0K6mk2TNftN27sPNVgo0cvgEGLEyyPmzt2Gvl9J9hV4dmoJFnGk1/WVmrKjSE1urKAdBkHwOpIg==</DigestValue>
      </Reference>
      <Reference URI="/xl/worksheets/sheet7.xml?ContentType=application/vnd.openxmlformats-officedocument.spreadsheetml.worksheet+xml">
        <DigestMethod Algorithm="http://www.w3.org/2001/04/xmlenc#sha512"/>
        <DigestValue>g+vhybnL5QqOD5w9EwVvD+2/WRiKtPz4IOF/ObZq+B8unSz9nMRblp1nYcBkPEng1EFdL/m8NfOuBPL6a63tuQ==</DigestValue>
      </Reference>
      <Reference URI="/xl/worksheets/sheet8.xml?ContentType=application/vnd.openxmlformats-officedocument.spreadsheetml.worksheet+xml">
        <DigestMethod Algorithm="http://www.w3.org/2001/04/xmlenc#sha512"/>
        <DigestValue>JZO8zV3nNxmqin8jWCZlQTy3c149iokAfaRMUGSpjkWi39VambR0fhotUstp1ugUjnU1dbGmqclU+1tLymID6g==</DigestValue>
      </Reference>
      <Reference URI="/xl/worksheets/sheet9.xml?ContentType=application/vnd.openxmlformats-officedocument.spreadsheetml.worksheet+xml">
        <DigestMethod Algorithm="http://www.w3.org/2001/04/xmlenc#sha512"/>
        <DigestValue>KRj8tUXH9PXlKBoJH0t0kidGacFi6CFrEM/ZRhVg1pGp1sFvoTXbwQ50OlGwwtWMtwgXHZlM+Nd9KmUQRb2bgg==</DigestValue>
      </Reference>
    </Manifest>
    <SignatureProperties>
      <SignatureProperty Id="idSignatureTime" Target="#idPackageSignature">
        <mdssi:SignatureTime xmlns:mdssi="http://schemas.openxmlformats.org/package/2006/digital-signature">
          <mdssi:Format>YYYY-MM-DDThh:mm:ssTZD</mdssi:Format>
          <mdssi:Value>2026-08-13T15:05:27Z</mdssi:Value>
        </mdssi:SignatureTime>
      </SignatureProperty>
    </SignatureProperties>
  </Object>
  <Object Id="idOfficeObject">
    <SignatureProperties>
      <SignatureProperty Id="idOfficeV1Details" Target="#idPackageSignature">
        <SignatureInfoV1 xmlns="http://schemas.microsoft.com/office/2006/digsig">
          <SetupID>{89D50256-D42D-4F8F-A33E-2C1F7DC877C5}</SetupID>
          <SignatureText>Luján Ríos</SignatureText>
          <SignatureImage/>
          <SignatureComments/>
          <WindowsVersion>10.0</WindowsVersion>
          <OfficeVersion>16.0.20228/27</OfficeVersion>
          <ApplicationVersion>16.0.20228</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2026-08-13T15:05:27Z</xd:SigningTime>
          <xd:SigningCertificate>
            <xd:Cert>
              <xd:CertDigest>
                <DigestMethod Algorithm="http://www.w3.org/2001/04/xmlenc#sha512"/>
                <DigestValue>2tW8sSYp/86GUWkmCmCaLeawWrZ7bTHbA2OEBLHp7WrmRqZb75P2Fj5aRtrTVo4vv+x+LVBWpm7MGKSWMU8ZVw==</DigestValue>
              </xd:CertDigest>
              <xd:IssuerSerial>
                <X509IssuerName>SERIALNUMBER=RUC80080610-7, CN=CODE100 S.A., OU=Prestador Cualificado de Servicios de Confianza, O=ICPP, C=PY</X509IssuerName>
                <X509SerialNumber>306450520406974199664798005030384591131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MwsAACBFTUYAAAEAVBsAAKo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QAz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IkAAABWAAAAMAAAADsAAABa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IoAAABXAAAAJQAAAAwAAAAEAAAAVAAAAIgAAAAxAAAAOwAAAIgAAABWAAAAAQAAAFVVj0FVVY9BMQAAADsAAAAKAAAATAAAAAAAAAAAAAAAAAAAAP//////////YAAAAEwAdQBqAOEAbgAgAFIA7QBvAHMACQAAAAsAAAAFAAAACgAAAAsAAAAFAAAADAAAAAUAAAAMAAAAC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JAAAAcQAAAAEAAABVVY9BVVWPQQ8AAABhAAAACgAAAEwAAAAAAAAAAAAAAAAAAAD//////////2AAAABMAHUAagBhAG4AIABSAGkAbwBzAAYAAAAHAAAAAwAAAAcAAAAHAAAABAAAAAgAAAADAAAACA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VVWP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FQEAAJsAAAAOAAAAiwAAAAgBAAARAAAAIQDwAAAAAAAAAAAAAACAPwAAAAAAAAAAAACAPwAAAAAAAAAAAAAAAAAAAAAAAAAAAAAAAAAAAAAAAAAAJQAAAAwAAAAAAACAKAAAAAwAAAAFAAAAJQAAAAwAAAABAAAAGAAAAAwAAAAAAAAAEgAAAAwAAAABAAAAFgAAAAwAAAAAAAAAVAAAADABAAAPAAAAiwAAABQBAACbAAAAAQAAAFVVj0FVVY9BDwAAAIsAAAAmAAAATAAAAAQAAAAOAAAAiwAAABYBAACcAAAAmAAAAEYAaQByAG0AYQBkAG8AIABwAG8AcgA6ACAATABVAEoAQQBOACAATQBBAEcAQQBMAEkAIABSAEkATwBTACAAWgBBAFIAQQBDAEgATwAGAAAAAwAAAAUAAAALAAAABwAAAAgAAAAIAAAABAAAAAgAAAAIAAAABQAAAAMAAAAEAAAABgAAAAkAAAAFAAAACAAAAAoAAAAEAAAADAAAAAgAAAAJAAAACAAAAAYAAAADAAAABAAAAAgAAAADAAAACgAAAAcAAAAEAAAABwAAAAgAAAAIAAAACAAAAAgAAAAJAAAACgAAABYAAAAMAAAAAAAAACUAAAAMAAAAAgAAAA4AAAAUAAAAAAAAABAAAAAUAAAA</Object>
  <Object Id="idInvalidSigLnImg">AQAAAGwAAAAAAAAAAAAAAD8BAACfAAAAAAAAAAAAAABmFgAAMwsAACBFTUYAAAEA1CEAALE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iQAAAFYAAAAwAAAAOwAAAFo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igAAAFcAAAAlAAAADAAAAAQAAABUAAAAiAAAADEAAAA7AAAAiAAAAFYAAAABAAAAVVWPQVVVj0ExAAAAOwAAAAoAAABMAAAAAAAAAAAAAAAAAAAA//////////9gAAAATAB1AGoA4QBuACAAUgDtAG8AcwAJAAAACwAAAAUAAAAKAAAACwAAAAUAAAAMAAAABQAAAAwAAAAI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kAAABxAAAAAQAAAFVVj0FVVY9BDwAAAGEAAAAKAAAATAAAAAAAAAAAAAAAAAAAAP//////////YAAAAEwAdQBqAGEAbgAgAFIAaQBvAHMABgAAAAcAAAADAAAABwAAAAcAAAAEAAAACAAAAAMAAAAIAAAABg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FVVY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VAQAAmwAAAA4AAACLAAAACAEAABEAAAAhAPAAAAAAAAAAAAAAAIA/AAAAAAAAAAAAAIA/AAAAAAAAAAAAAAAAAAAAAAAAAAAAAAAAAAAAAAAAAAAlAAAADAAAAAAAAIAoAAAADAAAAAUAAAAlAAAADAAAAAEAAAAYAAAADAAAAAAAAAASAAAADAAAAAEAAAAWAAAADAAAAAAAAABUAAAAMAEAAA8AAACLAAAAFAEAAJsAAAABAAAAVVWPQVVVj0EPAAAAiwAAACYAAABMAAAABAAAAA4AAACLAAAAFgEAAJwAAACYAAAARgBpAHIAbQBhAGQAbwAgAHAAbwByADoAIABMAFUASgBBAE4AIABNAEEARwBBAEwASQAgAFIASQBPAFMAIABaAEEAUgBBAEMASABPAAYAAAADAAAABQAAAAsAAAAHAAAACAAAAAgAAAAEAAAACAAAAAgAAAAFAAAAAwAAAAQAAAAGAAAACQAAAAUAAAAIAAAACgAAAAQAAAAMAAAACAAAAAkAAAAIAAAABgAAAAMAAAAEAAAACAAAAAMAAAAKAAAABwAAAAQAAAAHAAAACAAAAAgAAAAIAAAACAAAAAkAAAAKAAAAFgAAAAwAAAAAAAAAJQAAAAwAAAACAAAADgAAABQAAAAAAAAAEAAAABQAAAA=</Object>
</Signature>
</file>

<file path=_xmlsignatures/sig5.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IQsvspDimqKC7XleYtoQtuNc+A8gDn61Uu4Ie+nqC1RfMFnQgYPo77m4fuModgdGMNeQ00wPEpnA
oTfIjNOc1A==</DigestValue>
    </Reference>
    <Reference Type="http://www.w3.org/2000/09/xmldsig#Object" URI="#idOfficeObject">
      <DigestMethod Algorithm="http://www.w3.org/2001/04/xmlenc#sha512"/>
      <DigestValue>w6EM3M08h3cN04I09UAjowWA7YSEV8HIx8ipMxGPQiVrvF3Yrwr0XyfPq5pDXMQxpM1tNtaS84Kd
uK5WuJP9sA==</DigestValue>
    </Reference>
    <Reference Type="http://uri.etsi.org/01903#SignedProperties" URI="#idSignedProperties">
      <Transforms>
        <Transform Algorithm="http://www.w3.org/TR/2001/REC-xml-c14n-20010315"/>
      </Transforms>
      <DigestMethod Algorithm="http://www.w3.org/2001/04/xmlenc#sha512"/>
      <DigestValue>5GyMiqSRP7xh4G29VmtChkeGKdVnBDwKzxRTel9qYcVDSSr0V11n0EfNSwdszL2cGMnXYjQglyXV
YGWZnVhayA==</DigestValue>
    </Reference>
    <Reference Type="http://www.w3.org/2000/09/xmldsig#Object" URI="#idValidSigLnImg">
      <DigestMethod Algorithm="http://www.w3.org/2001/04/xmlenc#sha512"/>
      <DigestValue>racVcDCkJOjS/Ead0k3Xys/8ljvN8v+4NLLr+towTVQK/+TqjBxWdf+uW5lOL3Ti662yS5R3qRiR
S8s7L/pn8Q==</DigestValue>
    </Reference>
    <Reference Type="http://www.w3.org/2000/09/xmldsig#Object" URI="#idInvalidSigLnImg">
      <DigestMethod Algorithm="http://www.w3.org/2001/04/xmlenc#sha512"/>
      <DigestValue>sIeshzH5nel2okhocqF/o+nOhk71B5gWqh7rJUq741W7lkr7LEfZ7EUjornoMQOzGGEhZ5GNCL56
XWSTYbDPdA==</DigestValue>
    </Reference>
  </SignedInfo>
  <SignatureValue>bpZAOQNgXcNB7Ki13GrnKHwJ+B/US9jiKHQKnYwwowkQ1c23IdLvUEPGOPhxi/0qxzdpUspnQ8ru
QLshIy3yQiaMOmf45mYkQgvJoZLBTQ0wve+i2SbTVFsCbDb7StI4yibfWTj9xVnjiEDfKhkrIMtR
fj/Z6pLujzas3yy59IhzogRp817nZgoukGQAJVACJbWD4jQy84KyXgWtqUjN9gESvV41O9B4LKki
hiI7rPiHBeQuZ/Vlb8XPf3l6mEoq8pT/jzH5jl33NWFqZure/QwRR5hMafbz+rFxbN5CjMLj58iG
+GFA2pOcNj6e/534ejQYNVbNX8o752uDnKLXsQ==</SignatureValue>
  <KeyInfo>
    <X509Data>
      <X509Certificate>MIIHpzCCBY+gAwIBAgIRAOaMOS7wawa8TPeJW5TMYRswDQYJKoZIhvcNAQENBQAwgYUxCzAJBgNVBAYTAlBZMQ0wCwYDVQQKEwRJQ1BQMTgwNgYDVQQLEy9QcmVzdGFkb3IgQ3VhbGlmaWNhZG8gZGUgU2VydmljaW9zIGRlIENvbmZpYW56YTEVMBMGA1UEAxMMQ09ERTEwMCBTLkEuMRYwFAYDVQQFEw1SVUM4MDA4MDYxMC03MB4XDTI2MDczMDE0MzYyM1oXDTI4MDczMDE0MzYyM1owgbgxCzAJBgNVBAYTAlBZMTYwNAYDVQQKDC1DRVJUSUZJQ0FETyBDVUFMSUZJQ0FETyBERSBGSVJNQSBFTEVDVFLDk05JQ0ExCzAJBgNVBAsTAkYyMRUwEwYDVQQEEwxSSU9TIFpBUkFDSE8xFTATBgNVBCoTDExVSkFOIE1BR0FMSTEiMCAGA1UEAxMZTFVKQU4gTUFHQUxJIFJJT1MgWkFSQUNITzESMBAGA1UEBRMJQ0k0Nzg5MzE5MIIBIjANBgkqhkiG9w0BAQEFAAOCAQ8AMIIBCgKCAQEA3b1/j8X50yxjZQCZ9ws/0syUM+a29aa27HuYFphpcuJe166FVsUU6Slj9t3gz4EMOzd01wpjBY52FY5Z9n87fJ2KQLkyYwlfdJgwWtuy82AhUC8T7ocsC1FitA0zryI1CqZcKgBxho3YVoRRvYRxR87ASPQ7ZQtJdrLqHTyEodfSNDSoagS8lKCwx+6Im/46EQCcoq0bwIxunf6uvreWE7IhcsBgSaKTKzvWg2fQpZFga0G8CRmrqBkU7KW4b6PzdcWk9pTkDqYqe6BLv3hbhbCzFLpwhPp+PKiTior1OP0sFQ6LMlgPoqzDbwT1X5SoXVMxwdlga1KRQ5ofhQtKZwIDAQABo4IC2zCCAtcwDAYDVR0TAQH/BAIwADAdBgNVHQ4EFgQUDmAR507UwF3py+/eag0NuvPNqjkwHwYDVR0jBBgwFoAUvjVUYmhg5ybTMcFfl7Hi9mTOB/UwDgYDVR0PAQH/BAQDAgXgMFIGA1UdEQRLMEmBGkxVLlJJT1NaQVJBQ0hPQEhPVE1BSUwuQ09NpCswKTEnMCUGA1UEDQweRklSTUEgRUxFQ1RSw5NOSUNBIENVQUxJRklDQURBMIH3BgNVHSAEge8wgewwgekGCysGAQQBg65wAQEEMIHZMEYGCCsGAQUFBwIBFjpodHRwczovL2NvZGUxMDAuY29tLnB5L3JlcG9zaXRvcmlvLWRlLWRvY3VtZW50b3MtcHVibGljb3MvMIGOBggrBgEFBQcCAjCBgQx/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wQWMBQGCCsGAQUFBwMCBggrBgEFBQcDBDCBiQYIKwYBBQUHAQEEfTB7MDkGCCsGAQUFBzABhi1odHRwOi8vb2NzcC5jb2RlMTAwLmNvbS5weS9vY3NwL2NhLWNvZGUxMDAtc2EwPgYIKwYBBQUHMAKGMmh0dHA6Ly9wY2ExLmNvZGUxMDAuY29tLnB5L2NlcnRzL2NhLWNvZGUxMDAtc2EuY2VyMA0GCSqGSIb3DQEBDQUAA4ICAQCOPOiMPu8uKoUKnBEZOR+Zw1VjuFyNErhAd9k0+jXVvSEXuD+Nyp34E0dHsDSD+yD5KDOg7LC7wbouEbdqNnXVswZIPi2+/y9Adb0XysBOaZgEmFAqUomHbzvUjcYpzhj4ZjhC+pY9ryU14bs5pXEJpIj2n8YFUF1757cUEDHSd2lV3OXx/ygB7pRMnrqzbjnXPV2dYK+XXox4HtaQLP1VqD6lem4ONC24BhKzt6ZiAsICDbquwHZQmYCRYTBq15JUL3HWBf40UWuD/Hq9yKfPdKKXe7/QYw23sezC/p8TmEAm1tEQHSM6b/3apdUfb8CsWn0yiF28aj75J5n0T/9BveIyiTYCteqgTEXlWn4K+GPHHW9SvcBY11ANuHoiIAglsCgM+Us2IaOQeDY2/UA+5PfsC2pRUItM2xcEB8NIjGbDsPfFy04y165cx+st/gj04plbrDkzl74+LPgz/2iZUblbSPhE5qgdLZUB6crXtts9zE7B8nbC1Cn9UnA1U6pMLzBXXnCmz8fqxfLpyl32oekzzEgiDHpKKjWxHFhVkW0SNy09zyyRIgMYok7Mt8CGmj/zOSLwGF5Kfd9v9U2zWByl2nPlt36KZvtGuWEbll5rKeItfjtXYVVuecv6pkViDziJiHD5aBH250YSUFkmAuroErioSv/2UV+1/Z5OY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9kSu7pztX8A364uCffOp+1CwldPv++J+UUSYvL0w+vRkTO/S2YBG35OUIgB3X4zV0PlPLgt0vhdRVflaQGYnoA==</DigestValue>
      </Reference>
      <Reference URI="/docMetadata/LabelInfo.xml?ContentType=application/vnd.ms-office.classificationlabels+xml">
        <DigestMethod Algorithm="http://www.w3.org/2001/04/xmlenc#sha512"/>
        <DigestValue>zgkyY6HSQK1BZB2kWWxoNv5MipmhTNVieG8sdJPI+9ncNzAnZD8LMrOTVBRs6s+ybpp1DxvqRgYGdROJhmbtIA==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Transform>
          <Transform Algorithm="http://www.w3.org/TR/2001/REC-xml-c14n-20010315"/>
        </Transforms>
        <DigestMethod Algorithm="http://www.w3.org/2001/04/xmlenc#sha512"/>
        <DigestValue>ludKKNtX5tnJpJ2rTMlsUNrggaepUlcBhrqNsUPg2NNtMbTuEeAFMjeY4P+TnJRxOTDlm/kwQIxQmPlJFKXiEQ==</DigestValue>
      </Reference>
      <Reference URI="/xl/calcChain.xml?ContentType=application/vnd.openxmlformats-officedocument.spreadsheetml.calcChain+xml">
        <DigestMethod Algorithm="http://www.w3.org/2001/04/xmlenc#sha512"/>
        <DigestValue>WojsXToDteF7+ZWPpDnkYgFxgeWjZrPEWlqusY2JYkLMGdcw2A+YBiyBd9wNPvrFpdeslBF41iWOjZ33wT+Dqw==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D9DXKQHdlxYfJ1hjO9CPNKCNQjIVyYebXT6Nhg+c9FPepyMBsjjxoRKbJsLe3jzqrW8xhCcJRgcfBkcUdhe2SQ==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S5wr5IMKvcWEnYMlKM7CUvUJd1upKTDF0xqh90p5lNg3w9BlaoOXUXE/3ceouv6w+pfkd+zy22/Oq6mEtOsfEg==</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szIPcT7Amlp5Mi6udC/yNfBr1EBwz8kR1C/bu9OHyrsNAf9hGpn30HkwwM51M/8gQ8KZ+aYKKZKMX4sD13zT6Q==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S5wr5IMKvcWEnYMlKM7CUvUJd1upKTDF0xqh90p5lNg3w9BlaoOXUXE/3ceouv6w+pfkd+zy22/Oq6mEtOsfEg==</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/vD+TMAesbVivJYLl6c3cA/KKAHBFjP5NGsE+yVfoX1MvvC5vxij4GfI8OJ9cu12E0m8H85itLIae9+N/ydXPg==</DigestValue>
      </Reference>
      <Reference URI="/xl/drawings/drawing1.xml?ContentType=application/vnd.openxmlformats-officedocument.drawing+xml">
        <DigestMethod Algorithm="http://www.w3.org/2001/04/xmlenc#sha512"/>
        <DigestValue>s8fgwTh33sUNHpJnKH+gtDhCL/XxgS4d7AtFDxcpKunPUJ25vABxFDXdJf+KomJj6V+3PtnA6fWN47fCXWd8Uw==</DigestValue>
      </Reference>
      <Reference URI="/xl/drawings/drawing2.xml?ContentType=application/vnd.openxmlformats-officedocument.drawing+xml">
        <DigestMethod Algorithm="http://www.w3.org/2001/04/xmlenc#sha512"/>
        <DigestValue>wCBhU5hY64AOXMkUNJBwPQypITgHwnzlhW6cVzhlQpfC96cf6NROcNMnMwZapr3VbiT+Xf2sknj4mNVA3Rj2Eg==</DigestValue>
      </Reference>
      <Reference URI="/xl/drawings/drawing3.xml?ContentType=application/vnd.openxmlformats-officedocument.drawing+xml">
        <DigestMethod Algorithm="http://www.w3.org/2001/04/xmlenc#sha512"/>
        <DigestValue>PJkQi4zRVVCs2V5SMmB7RlZNvhfvRFomB/rcUwgTgSMyvqSps+NzdHz7mBpBzXK5aFFccSR9lXwQ9Vz4z/47CA==</DigestValue>
      </Reference>
      <Reference URI="/xl/drawings/drawing4.xml?ContentType=application/vnd.openxmlformats-officedocument.drawing+xml">
        <DigestMethod Algorithm="http://www.w3.org/2001/04/xmlenc#sha512"/>
        <DigestValue>1fhhX3JvoYhIDinAoOnYV3YVOfLzRYiI7VTouoR5rRtABENlGFnXSw4BXIqaynwWT1lBZ1/7c4xEJnKQTUxhMA==</DigestValue>
      </Reference>
      <Reference URI="/xl/drawings/drawing5.xml?ContentType=application/vnd.openxmlformats-officedocument.drawing+xml">
        <DigestMethod Algorithm="http://www.w3.org/2001/04/xmlenc#sha512"/>
        <DigestValue>/8yVWtgywRqL4S1HaYAuukZMhVRaZbJkAhrW+7yf9zaENSUKr2YWoAHHIugJCV2HWaQESzM8pi2q17KV83GRlw==</DigestValue>
      </Reference>
      <Reference URI="/xl/drawings/drawing6.xml?ContentType=application/vnd.openxmlformats-officedocument.drawing+xml">
        <DigestMethod Algorithm="http://www.w3.org/2001/04/xmlenc#sha512"/>
        <DigestValue>88SBM5bzNK+LPMb7UZG05GRZ8Io3sSRpJw7TFXYf/w5tRd+oVZtultXhbGyQa5iZ7qi72gWs3zI0t9TgZpm9eQ==</DigestValue>
      </Reference>
      <Reference URI="/xl/drawings/drawing7.xml?ContentType=application/vnd.openxmlformats-officedocument.drawing+xml">
        <DigestMethod Algorithm="http://www.w3.org/2001/04/xmlenc#sha512"/>
        <DigestValue>qQWQx6gFE3KCWFy3HlSUMYo49ETAsflURudgWkXVA0CVfDUxCl/FXvW7zwjkTzU/yzd7PnSTQppZhw7ajydxNQ==</DigestValue>
      </Reference>
      <Reference URI="/xl/drawings/drawing8.xml?ContentType=application/vnd.openxmlformats-officedocument.drawing+xml">
        <DigestMethod Algorithm="http://www.w3.org/2001/04/xmlenc#sha512"/>
        <DigestValue>Tk5XCMyllastPidHWRYQhP7bRNxm2qK28gFpL20GxcviEwStH/kxe/Jy10nTWAbiBwOdDm/JPvHIRCmasN7DdQ==</DigestValue>
      </Reference>
      <Reference URI="/xl/drawings/vmlDrawing1.vml?ContentType=application/vnd.openxmlformats-officedocument.vmlDrawing">
        <DigestMethod Algorithm="http://www.w3.org/2001/04/xmlenc#sha512"/>
        <DigestValue>T52xBKPYDZiMk3sX1evxWyFQi8RsDCM2lWCwscSGt4QpaV8sgz0cEHpAyG16taEKPV7qaSzcfObcAnzg4XDXvA==</DigestValue>
      </Reference>
      <Reference URI="/xl/drawings/vmlDrawing2.vml?ContentType=application/vnd.openxmlformats-officedocument.vmlDrawing">
        <DigestMethod Algorithm="http://www.w3.org/2001/04/xmlenc#sha512"/>
        <DigestValue>Qh95fYYpQl1lsOx4lAxyhcQ0AROeN2g6MtmmLW/o1lPnOkxC0a69xtxjrFyKf/4el8mq8wBuEBEzmsGvVFeT+w==</DigestValue>
      </Reference>
      <Reference URI="/xl/drawings/vmlDrawing3.vml?ContentType=application/vnd.openxmlformats-officedocument.vmlDrawing">
        <DigestMethod Algorithm="http://www.w3.org/2001/04/xmlenc#sha512"/>
        <DigestValue>Q383J+kzBZNuDM8V6rnZuDrElzV2DCPmzS032eSVMsA9L5ALkWgACEzWxDW/U3fYVnmCJB3Vhb479+9P+KYCBA==</DigestValue>
      </Reference>
      <Reference URI="/xl/drawings/vmlDrawing4.vml?ContentType=application/vnd.openxmlformats-officedocument.vmlDrawing">
        <DigestMethod Algorithm="http://www.w3.org/2001/04/xmlenc#sha512"/>
        <DigestValue>0QSWDtLvhUCVW0rQ5D3s7tjlgVs6iIZINdGnG2xpPbTK7K9Wwaumw9v45leD4XYoSQBU2v19aOzrdeCC8u6dgg==</DigestValue>
      </Reference>
      <Reference URI="/xl/drawings/vmlDrawing5.vml?ContentType=application/vnd.openxmlformats-officedocument.vmlDrawing">
        <DigestMethod Algorithm="http://www.w3.org/2001/04/xmlenc#sha512"/>
        <DigestValue>gZ9XAG/nDhxizT9nlK7BuUspiqQGtdhuQZmpIbb9L4OPQ0FSz+9CA3xcqdh1VcU1p6IwAM7lF8+nXzJNhxyCAw==</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fY59D9sZgAJMfyyKPS0iuRM2ZcrGSFbsztCVHBJWjqnrb+SldDiyjVuG/G+nbgygvQvK4RwTqjgXv5MrmR8Hwg==</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MPcY1DRjW18Rxzx+VtyQ9FB8MyZ2y0wDOgwigQGxTH+IWkwsYxh5wbqL7p5AGIxxhpPuwqzIvwsFPF9COtfxIQ==</DigestValue>
      </Reference>
      <Reference URI="/xl/externalLinks/externalLink1.xml?ContentType=application/vnd.openxmlformats-officedocument.spreadsheetml.externalLink+xml">
        <DigestMethod Algorithm="http://www.w3.org/2001/04/xmlenc#sha512"/>
        <DigestValue>jhJZZ+ejyiL80rUJbzE8wzKCP94jt6CmMWM8ENV304ivUKg6QWeE8LihlvnSEu7szD1Lv+I9MyLU29NI2d/eOw==</DigestValue>
      </Reference>
      <Reference URI="/xl/externalLinks/externalLink2.xml?ContentType=application/vnd.openxmlformats-officedocument.spreadsheetml.externalLink+xml">
        <DigestMethod Algorithm="http://www.w3.org/2001/04/xmlenc#sha512"/>
        <DigestValue>2zTGn2TEU+BPq3zpp+jw/xHtNK0OzrXICizQG7KAp6h42/PqGQgm0nJb7r/tPHvfTnA8FgsDdAl+jzATwr1rgw==</DigestValue>
      </Reference>
      <Reference URI="/xl/media/image1.png?ContentType=image/png">
        <DigestMethod Algorithm="http://www.w3.org/2001/04/xmlenc#sha512"/>
        <DigestValue>0J/YeztM+DOtHM/9GR7617vrmSUpHmoP6GpBmOpfi4NfaeoG1BgncCzzJ/kvxNT1uvACFGwxR/7aswD2kQHh+Q==</DigestValue>
      </Reference>
      <Reference URI="/xl/media/image2.emf?ContentType=image/x-emf">
        <DigestMethod Algorithm="http://www.w3.org/2001/04/xmlenc#sha512"/>
        <DigestValue>7FZQb4osohmuPEotms6xVuXztB1vMW90M0n6ml7193IKs5+va2eqnh74ga1vymTgvqpB8G2Xg8gJN/BLpZqqJQ==</DigestValue>
      </Reference>
      <Reference URI="/xl/media/image3.emf?ContentType=image/x-emf">
        <DigestMethod Algorithm="http://www.w3.org/2001/04/xmlenc#sha512"/>
        <DigestValue>RA0XmfPGBU1PV4jrPtRsiEPvqopZfqw7PbklFwp2MmXvZ0OQFaIWBQQXHmkauzpStNhj4YlB9UzqEhv6DVUcnw==</DigestValue>
      </Reference>
      <Reference URI="/xl/media/image4.emf?ContentType=image/x-emf">
        <DigestMethod Algorithm="http://www.w3.org/2001/04/xmlenc#sha512"/>
        <DigestValue>Of4X7NmLzDjAEVrTY5C/jZvVtAjikrIfFLULHBDrGWt8tPYQTsCPqz3obJsfnm8fnVM3DKUS64vyCOPlHooeIQ==</DigestValue>
      </Reference>
      <Reference URI="/xl/media/image5.emf?ContentType=image/x-emf">
        <DigestMethod Algorithm="http://www.w3.org/2001/04/xmlenc#sha512"/>
        <DigestValue>Zsu6aCwEaSQ9WQDjs85/2Phnb5h1KsQjQDUGDwabbjU8OGUMP8EsDgzd6DXP0tOCnkvyyd0AWtcEZbhDLrlFxA==</DigestValue>
      </Reference>
      <Reference URI="/xl/media/image6.emf?ContentType=image/x-emf">
        <DigestMethod Algorithm="http://www.w3.org/2001/04/xmlenc#sha512"/>
        <DigestValue>ZJst3YkwU37ud9URqLgUGunTWmJRSO+2/hI8TKAUwpWA3a9dWAoI3vDrPfFDrPXNCHJ1gip5E+9sangdb9El0Q==</DigestValue>
      </Reference>
      <Reference URI="/xl/printerSettings/printerSettings1.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10.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11.bin?ContentType=application/vnd.openxmlformats-officedocument.spreadsheetml.printerSettings">
        <DigestMethod Algorithm="http://www.w3.org/2001/04/xmlenc#sha512"/>
        <DigestValue>xqgyM31j9yLEKRfv0Tcwq74LL0DUYF46B8AXWwG6JjMc+8D24P0K8YAVa+imHubDUIm+Ll81w0DxDnF7KTmj1Q==</DigestValue>
      </Reference>
      <Reference URI="/xl/printerSettings/printerSettings12.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3.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4.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15.bin?ContentType=application/vnd.openxmlformats-officedocument.spreadsheetml.printerSettings">
        <DigestMethod Algorithm="http://www.w3.org/2001/04/xmlenc#sha512"/>
        <DigestValue>vr7zRE1PDRQZk0O+jP6xgzrtwXfHr1aOB5dp3LuLEBBPzvjl0CuRfabRqfQMuHXt8xJWrOju1atF+JpeTeCTAA==</DigestValue>
      </Reference>
      <Reference URI="/xl/printerSettings/printerSettings16.bin?ContentType=application/vnd.openxmlformats-officedocument.spreadsheetml.printerSettings">
        <DigestMethod Algorithm="http://www.w3.org/2001/04/xmlenc#sha512"/>
        <DigestValue>i0UnTXlq4gNPeGJL0JJtMJMtsqFQIYHE9OwHWf7E0Ue+sDLuHcNWuSAAIntHyfTG6l1budm2piENd2QuvcZocA==</DigestValue>
      </Reference>
      <Reference URI="/xl/printerSettings/printerSettings17.bin?ContentType=application/vnd.openxmlformats-officedocument.spreadsheetml.printerSettings">
        <DigestMethod Algorithm="http://www.w3.org/2001/04/xmlenc#sha512"/>
        <DigestValue>e74gdx0vyejNdV5zVABWWrO2QdZyTJxk2wWuatU6JqtzxdtkIAfbaVDB6rF6F9dbM+GKJcnMFDDFdceMPs3GgQ==</DigestValue>
      </Reference>
      <Reference URI="/xl/printerSettings/printerSettings18.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19.bin?ContentType=application/vnd.openxmlformats-officedocument.spreadsheetml.printerSettings">
        <DigestMethod Algorithm="http://www.w3.org/2001/04/xmlenc#sha512"/>
        <DigestValue>CZ3LGFTwxey/pVnMFlEBJz4m6IKsmQluznP++CArTRlPH1DB4hB77EIzNZM+QKaC0W/HSkp6Ys/sOoh4KMhk4A==</DigestValue>
      </Reference>
      <Reference URI="/xl/printerSettings/printerSettings2.bin?ContentType=application/vnd.openxmlformats-officedocument.spreadsheetml.printerSettings">
        <DigestMethod Algorithm="http://www.w3.org/2001/04/xmlenc#sha512"/>
        <DigestValue>EFovoOni050gLn/cjPhV5//Fw/O68a4xPFBhq6EjZGvzUuXHjLAILLoDH6yeHxS/F554s2iYan/BmWz332Oq0g==</DigestValue>
      </Reference>
      <Reference URI="/xl/printerSettings/printerSettings20.bin?ContentType=application/vnd.openxmlformats-officedocument.spreadsheetml.printerSettings">
        <DigestMethod Algorithm="http://www.w3.org/2001/04/xmlenc#sha512"/>
        <DigestValue>dyaJOdXVPKC4zAfCRaEnpjPLVZRSFIuTEMcBCXuyynIwqPzYJ2XSV5f4tIYC8hDe9UHSOOBe4S3puVPCGSU4UQ==</DigestValue>
      </Reference>
      <Reference URI="/xl/printerSettings/printerSettings21.bin?ContentType=application/vnd.openxmlformats-officedocument.spreadsheetml.printerSettings">
        <DigestMethod Algorithm="http://www.w3.org/2001/04/xmlenc#sha512"/>
        <DigestValue>8v2+iGtMvCgr2KByy2fHPObwysfb7JtfVkBqjM2zn+JxjZVFr4SHZH7EEv5NW9+Zu47/KPQKGa01/BH1pquGPA==</DigestValue>
      </Reference>
      <Reference URI="/xl/printerSettings/printerSettings22.bin?ContentType=application/vnd.openxmlformats-officedocument.spreadsheetml.printerSettings">
        <DigestMethod Algorithm="http://www.w3.org/2001/04/xmlenc#sha512"/>
        <DigestValue>x8fsyKeU29XV4Vjxz2IBl3tNm7mETrTYXD1lAZQaW4LdoVxiE01ElAu9AbJzamW6iUbiSZEZIFL8tY6DvofucQ==</DigestValue>
      </Reference>
      <Reference URI="/xl/printerSettings/printerSettings23.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4.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5.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6.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7.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8.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29.bin?ContentType=application/vnd.openxmlformats-officedocument.spreadsheetml.printerSettings">
        <DigestMethod Algorithm="http://www.w3.org/2001/04/xmlenc#sha512"/>
        <DigestValue>WVA06fz+52XVfvgi1h5d/huCv52HV4wn2wxaZ2lIYaKIRHWbGM8R1KlWiLWW9VeCz8gECaNkk0f0Nos/05f78g==</DigestValue>
      </Reference>
      <Reference URI="/xl/printerSettings/printerSettings3.bin?ContentType=application/vnd.openxmlformats-officedocument.spreadsheetml.printerSettings">
        <DigestMethod Algorithm="http://www.w3.org/2001/04/xmlenc#sha512"/>
        <DigestValue>MSRDT+eWK2kx9/wzMCCgbpIolG4Jwwdaj/m/PGHfV9/Y+EW/LTqTd9lT43ep9L+nU56FxkvMq6d78cnVWysLjg==</DigestValue>
      </Reference>
      <Reference URI="/xl/printerSettings/printerSettings30.bin?ContentType=application/vnd.openxmlformats-officedocument.spreadsheetml.printerSettings">
        <DigestMethod Algorithm="http://www.w3.org/2001/04/xmlenc#sha512"/>
        <DigestValue>tdAJcCJTjVpYumktMHXo0ub3Kg5mp0h6hf2bjqRcgI+m03evncCrZKSoktt9AgHImCIK53ZTDCA/zLYJe7CfAg==</DigestValue>
      </Reference>
      <Reference URI="/xl/printerSettings/printerSettings4.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5.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6.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7.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8.bin?ContentType=application/vnd.openxmlformats-officedocument.spreadsheetml.printerSettings">
        <DigestMethod Algorithm="http://www.w3.org/2001/04/xmlenc#sha512"/>
        <DigestValue>cWyYRypeu/Csclb5lRrF42O4hv9o1I03LYU0Y3e9Xd0aT3eT8ujrNgWQxGzNYeo5ENW8cLwEwxgVTDzdv18WdA==</DigestValue>
      </Reference>
      <Reference URI="/xl/printerSettings/printerSettings9.bin?ContentType=application/vnd.openxmlformats-officedocument.spreadsheetml.printerSettings">
        <DigestMethod Algorithm="http://www.w3.org/2001/04/xmlenc#sha512"/>
        <DigestValue>cWyYRypeu/Csclb5lRrF42O4hv9o1I03LYU0Y3e9Xd0aT3eT8ujrNgWQxGzNYeo5ENW8cLwEwxgVTDzdv18WdA==</DigestValue>
      </Reference>
      <Reference URI="/xl/sharedStrings.xml?ContentType=application/vnd.openxmlformats-officedocument.spreadsheetml.sharedStrings+xml">
        <DigestMethod Algorithm="http://www.w3.org/2001/04/xmlenc#sha512"/>
        <DigestValue>Xk/EFpWPR+FLRnhNwC9p1myuaX16DV4rS8sccL0+8RqflACW6TDI4q5zopVw/o8NUY4j1oj/mCHBaeRZDtDGMw==</DigestValue>
      </Reference>
      <Reference URI="/xl/styles.xml?ContentType=application/vnd.openxmlformats-officedocument.spreadsheetml.styles+xml">
        <DigestMethod Algorithm="http://www.w3.org/2001/04/xmlenc#sha512"/>
        <DigestValue>f4Ye2fgV7NK9W1OdOslf/h0o3/crwNGphKbJXaZk4ptXkZ1gY1qykqPa52MXLkKhqXhTGgWkYk/NuU3MtIqEuw==</DigestValue>
      </Reference>
      <Reference URI="/xl/tables/table1.xml?ContentType=application/vnd.openxmlformats-officedocument.spreadsheetml.table+xml">
        <DigestMethod Algorithm="http://www.w3.org/2001/04/xmlenc#sha512"/>
        <DigestValue>+bK4qX/AyGirzqD6K8ZNGweDO2RP/uU/dn4WAMOM8rQ5dohJGAWXNSQQqV9XJc0fpTwbfSnL6Ag0IvIQHtTDOQ==</DigestValue>
      </Reference>
      <Reference URI="/xl/tables/table2.xml?ContentType=application/vnd.openxmlformats-officedocument.spreadsheetml.table+xml">
        <DigestMethod Algorithm="http://www.w3.org/2001/04/xmlenc#sha512"/>
        <DigestValue>sjEUyP8rFtjfPjDPxnUcAw+8xbhdFMpa4jr5Y5HpuqluJxW9IG+vwSB6MTQ1t2OoMR8QOf/5sswYlNhsRhkqlA==</DigestValue>
      </Reference>
      <Reference URI="/xl/theme/theme1.xml?ContentType=application/vnd.openxmlformats-officedocument.theme+xml">
        <DigestMethod Algorithm="http://www.w3.org/2001/04/xmlenc#sha512"/>
        <DigestValue>76eo5ECoom53GHPvzbWL8z6vGMM214UT/S4gHnzUTDN7wmv0Fl5Cveh+fFnsv9P62p0uMT0hNTVNf07CavwI4Q==</DigestValue>
      </Reference>
      <Reference URI="/xl/workbook.xml?ContentType=application/vnd.openxmlformats-officedocument.spreadsheetml.sheet.main+xml">
        <DigestMethod Algorithm="http://www.w3.org/2001/04/xmlenc#sha512"/>
        <DigestValue>Cg/+6fR8N6jsj+dNxFE6W2Loh8aM4aGdTUbp9GNljMH8d2yH9Yjbl/mFlR7C+HGUJ4FjFqFpcmeDM0b9i1sHCg==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xoXcPe1fboSSW3jC7V712yNxnIoMxn9134kCupKFdevFmuq9uKnYmiRxaZi6UUAs4VOi9PbWzGqSaIMWcVrCog==</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512"/>
        <DigestValue>wMS2NX2ojfnExEaQsYT92YmJwmFfuGpDM+Pj5YCzy47AJzdEcAGQv1bnVxUxaoXceMTIZwpAYY5bnbOWC6GQ4A==</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49C4rrwEV7jg52US4ipwbSLyRdnURaFWDZExfKSws1O7OW5TvGzzxQBOCLV5Umq4QqN9tN2ptdvryj2eC6wcLw==</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z1iTu2rR0pz3ey/BaJKkOcvbk+P8VMIjRd01V+giviSH1N9Pyr8IyJ5wFXKNifOO1mN0GvG6tr+SxHOXcEU5cA==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LrjrFM7rRdgqU5TsuByD2mCVS2U+a8Ym9bkYqdX/cJklGT1C1y1bOhHI0XdUzpSd+9TjRWIfQk0Ud8ESFZC9mg==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tc6H9EuogzsEm5lJ9VC75QRPhkhFQivtRxLTwbkuFrmZtOxtUtF8B8V5Q2JDml2lZ2csK0YnSE1RB4vB3UNQdw==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TDmPFHhhnL/5a5JpiW3DxnEQ91OB/s/SMVOP1EN+92dW/6dxIzKOWd+7oKcCLDdmN1/z1ucXSDZABFybqB11yQ==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512"/>
        <DigestValue>K1gh4KObKnP/b/vj39BnIFg+cJeH4cippsehCQHVEvnS3z4WaDaqrNF22vM3ZlKoJOIDZ13LA/q7TGyYeoFZXg==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512"/>
        <DigestValue>iAfxJQJ+J6s2ykSUMvFsIGhqxGB2savvSxwLD8HX7mh0cxXgLPkOHj3ayAvE4m32+aMD+oihR5OnnoFGQq4lkA==</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p4BAff026vWR4vxvk5JELRLvzg7Li6DIn8s8+Ekx8IDlh6NLRUCg6WZ5F8RzOFkfmeZbeRq+KLplbtN5cIkaVg==</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512"/>
        <DigestValue>CBMxoCuMe3IUn+BPdzLWlTQsRBGTCUkw2g0O4Zucea2daAFUB/cr9nUIC2k+L1OLlTxUSivvjlK9spj727DC5w==</DigestValue>
      </Reference>
      <Reference URI="/xl/worksheets/sheet1.xml?ContentType=application/vnd.openxmlformats-officedocument.spreadsheetml.worksheet+xml">
        <DigestMethod Algorithm="http://www.w3.org/2001/04/xmlenc#sha512"/>
        <DigestValue>xFaDMYSvR1eErz5+Eb00LMLdvqcaatCByIS/2qJxLx9FRK16qoDoXUV8/RzG9u+HiGjX6o0qGctpnK/IGhaWbw==</DigestValue>
      </Reference>
      <Reference URI="/xl/worksheets/sheet10.xml?ContentType=application/vnd.openxmlformats-officedocument.spreadsheetml.worksheet+xml">
        <DigestMethod Algorithm="http://www.w3.org/2001/04/xmlenc#sha512"/>
        <DigestValue>gdpW9VsfXkzSk1uMVwBRi2hwE3EKqqwvF8L4svcBEbQ5ebrZPrFeCTawnCfuHwV4q9+xoO1Ne3Dwrfa87n9O1g==</DigestValue>
      </Reference>
      <Reference URI="/xl/worksheets/sheet11.xml?ContentType=application/vnd.openxmlformats-officedocument.spreadsheetml.worksheet+xml">
        <DigestMethod Algorithm="http://www.w3.org/2001/04/xmlenc#sha512"/>
        <DigestValue>a8g/q9HiZIBV/kEb1ZNV/eKI+KahSbs+ahI3tX7yOTHIM3c81/Hdd2tS/vJDc13y+xwiRkXCziyyVCzjONoeuQ==</DigestValue>
      </Reference>
      <Reference URI="/xl/worksheets/sheet2.xml?ContentType=application/vnd.openxmlformats-officedocument.spreadsheetml.worksheet+xml">
        <DigestMethod Algorithm="http://www.w3.org/2001/04/xmlenc#sha512"/>
        <DigestValue>6BuV1lOQnaQgs7lof3KVpMXrQ7257KQlmv/nSonqkgEUkiKkBwf9rykF9sPs83x3QVyx9M19aAH42Z8fO0iLdg==</DigestValue>
      </Reference>
      <Reference URI="/xl/worksheets/sheet3.xml?ContentType=application/vnd.openxmlformats-officedocument.spreadsheetml.worksheet+xml">
        <DigestMethod Algorithm="http://www.w3.org/2001/04/xmlenc#sha512"/>
        <DigestValue>37jTbmhWLUF5QF/13+dQbOvmErEDACd6U6uh3HfRol6pok0hHDA2RXvxXpfnUq3riWZ1h8HO+oJI6RWZCgwEqA==</DigestValue>
      </Reference>
      <Reference URI="/xl/worksheets/sheet4.xml?ContentType=application/vnd.openxmlformats-officedocument.spreadsheetml.worksheet+xml">
        <DigestMethod Algorithm="http://www.w3.org/2001/04/xmlenc#sha512"/>
        <DigestValue>7YPTkUHok5FZMLt9+hLu3Vg6Xns0IhOY+3jfNcHsWXke9N/SWefTGxdnSjwgyVR43iVWKbTHxtEQCHGpk634Cg==</DigestValue>
      </Reference>
      <Reference URI="/xl/worksheets/sheet5.xml?ContentType=application/vnd.openxmlformats-officedocument.spreadsheetml.worksheet+xml">
        <DigestMethod Algorithm="http://www.w3.org/2001/04/xmlenc#sha512"/>
        <DigestValue>MxtlMJSkDp58fPOWyl555WaMWdYfsOg9rdelSfGaHWqTtemPcy89dA8iyVfby40pMkFCt+6QuRXqCeNzQLDR+g==</DigestValue>
      </Reference>
      <Reference URI="/xl/worksheets/sheet6.xml?ContentType=application/vnd.openxmlformats-officedocument.spreadsheetml.worksheet+xml">
        <DigestMethod Algorithm="http://www.w3.org/2001/04/xmlenc#sha512"/>
        <DigestValue>f8bk1kq/FXJ0K6mk2TNftN27sPNVgo0cvgEGLEyyPmzt2Gvl9J9hV4dmoJFnGk1/WVmrKjSE1urKAdBkHwOpIg==</DigestValue>
      </Reference>
      <Reference URI="/xl/worksheets/sheet7.xml?ContentType=application/vnd.openxmlformats-officedocument.spreadsheetml.worksheet+xml">
        <DigestMethod Algorithm="http://www.w3.org/2001/04/xmlenc#sha512"/>
        <DigestValue>g+vhybnL5QqOD5w9EwVvD+2/WRiKtPz4IOF/ObZq+B8unSz9nMRblp1nYcBkPEng1EFdL/m8NfOuBPL6a63tuQ==</DigestValue>
      </Reference>
      <Reference URI="/xl/worksheets/sheet8.xml?ContentType=application/vnd.openxmlformats-officedocument.spreadsheetml.worksheet+xml">
        <DigestMethod Algorithm="http://www.w3.org/2001/04/xmlenc#sha512"/>
        <DigestValue>JZO8zV3nNxmqin8jWCZlQTy3c149iokAfaRMUGSpjkWi39VambR0fhotUstp1ugUjnU1dbGmqclU+1tLymID6g==</DigestValue>
      </Reference>
      <Reference URI="/xl/worksheets/sheet9.xml?ContentType=application/vnd.openxmlformats-officedocument.spreadsheetml.worksheet+xml">
        <DigestMethod Algorithm="http://www.w3.org/2001/04/xmlenc#sha512"/>
        <DigestValue>KRj8tUXH9PXlKBoJH0t0kidGacFi6CFrEM/ZRhVg1pGp1sFvoTXbwQ50OlGwwtWMtwgXHZlM+Nd9KmUQRb2bgg==</DigestValue>
      </Reference>
    </Manifest>
    <SignatureProperties>
      <SignatureProperty Id="idSignatureTime" Target="#idPackageSignature">
        <mdssi:SignatureTime xmlns:mdssi="http://schemas.openxmlformats.org/package/2006/digital-signature">
          <mdssi:Format>YYYY-MM-DDThh:mm:ssTZD</mdssi:Format>
          <mdssi:Value>2026-08-13T15:05:43Z</mdssi:Value>
        </mdssi:SignatureTime>
      </SignatureProperty>
    </SignatureProperties>
  </Object>
  <Object Id="idOfficeObject">
    <SignatureProperties>
      <SignatureProperty Id="idOfficeV1Details" Target="#idPackageSignature">
        <SignatureInfoV1 xmlns="http://schemas.microsoft.com/office/2006/digsig">
          <SetupID>{5BA7EBEE-0149-482B-8474-AC096AF7C720}</SetupID>
          <SignatureText>Luján Ríos</SignatureText>
          <SignatureImage/>
          <SignatureComments/>
          <WindowsVersion>10.0</WindowsVersion>
          <OfficeVersion>16.0.20228/27</OfficeVersion>
          <ApplicationVersion>16.0.20228</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2026-08-13T15:05:43Z</xd:SigningTime>
          <xd:SigningCertificate>
            <xd:Cert>
              <xd:CertDigest>
                <DigestMethod Algorithm="http://www.w3.org/2001/04/xmlenc#sha512"/>
                <DigestValue>2tW8sSYp/86GUWkmCmCaLeawWrZ7bTHbA2OEBLHp7WrmRqZb75P2Fj5aRtrTVo4vv+x+LVBWpm7MGKSWMU8ZVw==</DigestValue>
              </xd:CertDigest>
              <xd:IssuerSerial>
                <X509IssuerName>SERIALNUMBER=RUC80080610-7, CN=CODE100 S.A., OU=Prestador Cualificado de Servicios de Confianza, O=ICPP, C=PY</X509IssuerName>
                <X509SerialNumber>306450520406974199664798005030384591131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MwsAACBFTUYAAAEAVBsAAKo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QAz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IkAAABWAAAAMAAAADsAAABa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IoAAABXAAAAJQAAAAwAAAAEAAAAVAAAAIgAAAAxAAAAOwAAAIgAAABWAAAAAQAAAFVVj0FVVY9BMQAAADsAAAAKAAAATAAAAAAAAAAAAAAAAAAAAP//////////YAAAAEwAdQBqAOEAbgAgAFIA7QBvAHMACQAAAAsAAAAFAAAACgAAAAsAAAAFAAAADAAAAAUAAAAMAAAACA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IAAAADwAAAGEAAABJAAAAcQAAAAEAAABVVY9BVVWPQQ8AAABhAAAACgAAAEwAAAAAAAAAAAAAAAAAAAD//////////2AAAABMAHUAagBhAG4AIABSAGkAbwBzAAYAAAAHAAAAAwAAAAcAAAAHAAAABAAAAAgAAAADAAAACA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VVWP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FQEAAJsAAAAOAAAAiwAAAAgBAAARAAAAIQDwAAAAAAAAAAAAAACAPwAAAAAAAAAAAACAPwAAAAAAAAAAAAAAAAAAAAAAAAAAAAAAAAAAAAAAAAAAJQAAAAwAAAAAAACAKAAAAAwAAAAFAAAAJQAAAAwAAAABAAAAGAAAAAwAAAAAAAAAEgAAAAwAAAABAAAAFgAAAAwAAAAAAAAAVAAAADABAAAPAAAAiwAAABQBAACbAAAAAQAAAFVVj0FVVY9BDwAAAIsAAAAmAAAATAAAAAQAAAAOAAAAiwAAABYBAACcAAAAmAAAAEYAaQByAG0AYQBkAG8AIABwAG8AcgA6ACAATABVAEoAQQBOACAATQBBAEcAQQBMAEkAIABSAEkATwBTACAAWgBBAFIAQQBDAEgATwAGAAAAAwAAAAUAAAALAAAABwAAAAgAAAAIAAAABAAAAAgAAAAIAAAABQAAAAMAAAAEAAAABgAAAAkAAAAFAAAACAAAAAoAAAAEAAAADAAAAAgAAAAJAAAACAAAAAYAAAADAAAABAAAAAgAAAADAAAACgAAAAcAAAAEAAAABwAAAAgAAAAIAAAACAAAAAgAAAAJAAAACgAAABYAAAAMAAAAAAAAACUAAAAMAAAAAgAAAA4AAAAUAAAAAAAAABAAAAAUAAAA</Object>
  <Object Id="idInvalidSigLnImg">AQAAAGwAAAAAAAAAAAAAAD8BAACfAAAAAAAAAAAAAABmFgAAMwsAACBFTUYAAAEA1CEAALEAAAAGAAAAAAAAAAAAAAAAAAAAgAcAALAEAABYAQAA1wAAAAAAAAAAAAAAAAAAAMA/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iQAAAFYAAAAwAAAAOwAAAFo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igAAAFcAAAAlAAAADAAAAAQAAABUAAAAiAAAADEAAAA7AAAAiAAAAFYAAAABAAAAVVWPQVVVj0ExAAAAOwAAAAoAAABMAAAAAAAAAAAAAAAAAAAA//////////9gAAAATAB1AGoA4QBuACAAUgDtAG8AcwAJAAAACwAAAAUAAAAKAAAACwAAAAUAAAAMAAAABQAAAAwAAAAI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IgAAAAPAAAAYQAAAEkAAABxAAAAAQAAAFVVj0FVVY9BDwAAAGEAAAAKAAAATAAAAAAAAAAAAAAAAAAAAP//////////YAAAAEwAdQBqAGEAbgAgAFIAaQBvAHMABgAAAAcAAAADAAAABwAAAAcAAAAEAAAACAAAAAMAAAAIAAAABg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EwAAACGAAAAAQAAAFVVj0FVVY9BDwAAAHYAAAAJAAAATAAAAAAAAAAAAAAAAAAAAP//////////YAAAAEMAbwBuAHQAYQBkAG8AcgBhAAAACAAAAAgAAAAHAAAABAAAAAcAAAAIAAAACAAAAAUAAAAHAAAASwAAAEAAAAAwAAAABQAAACAAAAABAAAAAQAAABAAAAAAAAAAAAAAAEABAACgAAAAAAAAAAAAAABAAQAAoAAAACUAAAAMAAAAAgAAACcAAAAYAAAABQAAAAAAAAD///8AAAAAACUAAAAMAAAABQAAAEwAAABkAAAADgAAAIsAAAAVAQAAmwAAAA4AAACLAAAACAEAABEAAAAhAPAAAAAAAAAAAAAAAIA/AAAAAAAAAAAAAIA/AAAAAAAAAAAAAAAAAAAAAAAAAAAAAAAAAAAAAAAAAAAlAAAADAAAAAAAAIAoAAAADAAAAAUAAAAlAAAADAAAAAEAAAAYAAAADAAAAAAAAAASAAAADAAAAAEAAAAWAAAADAAAAAAAAABUAAAAMAEAAA8AAACLAAAAFAEAAJsAAAABAAAAVVWPQVVVj0EPAAAAiwAAACYAAABMAAAABAAAAA4AAACLAAAAFgEAAJwAAACYAAAARgBpAHIAbQBhAGQAbwAgAHAAbwByADoAIABMAFUASgBBAE4AIABNAEEARwBBAEwASQAgAFIASQBPAFMAIABaAEEAUgBBAEMASABPAAYAAAADAAAABQAAAAsAAAAHAAAACAAAAAgAAAAEAAAACAAAAAgAAAAFAAAAAwAAAAQAAAAGAAAACQAAAAUAAAAIAAAACgAAAAQAAAAMAAAACAAAAAkAAAAIAAAABgAAAAMAAAAEAAAACAAAAAMAAAAKAAAABwAAAAQAAAAHAAAACAAAAAgAAAAIAAAACAAAAAkAAAAKAAAAFgAAAAwAAAAAAAAAJQAAAAwAAAACAAAADgAAABQAAAAAAAAAEAAAABQAAAA=</Object>
</Signature>
</file>

<file path=_xmlsignatures/sig6.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mCmCREQsZtUMSTd6d0WZ/fMhGkCwnt7Zi54XxPeVGkw=</DigestValue>
    </Reference>
    <Reference Type="http://www.w3.org/2000/09/xmldsig#Object" URI="#idOfficeObject">
      <DigestMethod Algorithm="http://www.w3.org/2001/04/xmlenc#sha256"/>
      <DigestValue>AOYWxzV6s04AbIhKDnoGqTrPT6R6CjoU8HXWujwR/3w=</DigestValue>
    </Reference>
    <Reference Type="http://uri.etsi.org/01903#SignedProperties" URI="#idSignedProperties">
      <Transforms>
        <Transform Algorithm="http://www.w3.org/TR/2001/REC-xml-c14n-20010315"/>
      </Transforms>
      <DigestMethod Algorithm="http://www.w3.org/2001/04/xmlenc#sha256"/>
      <DigestValue>iQ0AK5V5DNHizbVgiifjP6iQGkiRXkvwudY4GoKb+lU=</DigestValue>
    </Reference>
    <Reference Type="http://www.w3.org/2000/09/xmldsig#Object" URI="#idValidSigLnImg">
      <DigestMethod Algorithm="http://www.w3.org/2001/04/xmlenc#sha256"/>
      <DigestValue>Jh3tziakw2YFjmN8sr16Jqws4mpJT38tmYjrORDGvsg=</DigestValue>
    </Reference>
    <Reference Type="http://www.w3.org/2000/09/xmldsig#Object" URI="#idInvalidSigLnImg">
      <DigestMethod Algorithm="http://www.w3.org/2001/04/xmlenc#sha256"/>
      <DigestValue>6lX5xGz+09Ws28hoP4VVfof4t/oj8SVKAngYRvfLqoA=</DigestValue>
    </Reference>
  </SignedInfo>
  <SignatureValue>o7kdt1zlkX9888ruXhAJ6MVtDG2S6SQLDun+sXrWA0koqrGCIHtMJt9RhwQT9KjA2DLjtZChkSQa
EbqMidCY8MADtUIPbuFEhiDcP7Kt5oi2NaaTvDWQuUwgWOgUEKuL/ZMIo3YA5XPcsQ5qIbgopky/
bO0g6Ohb8UmPVcQ3HPbhgN4m1Luucaw7yUYfHu9dsENf26NxQJYIHAOFIlhPi3/m8S2JcAdcLWPu
Kh2YKzPeB9MK+VkFv8OIFL4OiH96g8q4kRupEDNWFRI/JSyzrd7IdV/n4ee8EQ0hnjIjKXtCvAwV
ORJiLZKFTFKWdC9bzJfsiEDef26yKdV1Gyx5eg==</SignatureValue>
  <KeyInfo>
    <X509Data>
      <X509Certificate>MIIKrzCCCJegAwIBAgIIKZstGKtzpxMwDQYJKoZIhvcNAQELBQAwgYcxFjAUBgNVBAMMDUNPTkZJUk1BIFMuQS4xFzAVBgNVBAUTDlJVQyA4MDExMzgyMy0wMTgwNgYDVQQLDC9QcmVzdGFkb3IgQ3VhbGlmaWNhZG8gZGUgU2VydmljaW9zIGRlIENvbmZpYW56YTENMAsGA1UECgwESUNQUDELMAkGA1UEBhMCUFkwHhcNMjUwNDMwMTUyMjAwWhcNMjcwNDMwMTUyMjAwWjCBwjELMAkGA1UEBhMCUFkxNTAzBgNVBAoMLENFUlRJRklDQURPIENVQUxJRklDQURPIERFIEZJUk1BIEVMRUNUUk9OSUNBMQswCQYDVQQLDAJGMzEXMBUGA1UEBAwOR0FVVE8gTUFSSU9UVEkxGDAWBgNVBCoMD1JPRE9MRk8gSUdOQUNJTzETMBEGA1UEBRMKQ0kgMzUwODg4MzEnMCUGA1UEAwweUk9ET0xGTyBJR05BQ0lPIEdBVVRPIE1BUklPVFRJMIIBIjANBgkqhkiG9w0BAQEFAAOCAQ8AMIIBCgKCAQEA4qox2Vcm1SmO9VlrimtylnWX4KlkUUmaNgKzOsL40K1BfO4JORvF0hSUqaIJdwyRnZPyYKVwrj9vp6/AuFYG+LkiX32CDCZWc3gHFf3kfQGizCh98OVUhMxwWNJm0UzKo3KlOSV8hAVxEVFKJTt3Vkbpn8zZvoDvPcFHsDX7AZOS8sFb6HYzAyRnZfc1VJvgqZ2VyMrZsF7uI4XpOkiEgUocq7FjjjOdY5gUbru1BZYs6CGIcijJgCg6TZm4laRtP0XMLmq7UN/3+y8qe71pb85rDTOYnnNv482mAfVURznQ131ik0nLfSysK0vPzCuvPCqQMHVhMr48/PpOakiXPwIDAQABo4IF4DCCBdwwDAYDVR0TAQH/BAIwADAfBgNVHSMEGDAWgBQ4+rOXixqGZtjAyIef9GANeLY4SjCBvwYIKwYBBQUHAQEEgbIwga8wPQYIKwYBBQUHMAKGMWh0dHBzOi8vd3d3LmNvbmZpcm1hLmNvbS5weS9yZXBvc2l0b3Jpby1jb25maXJtYS8wNgYIKwYBBQUHMAGGKmh0dHA6Ly9vY3NwMS51YW5hdGFjYS5jb20vcHVibGljL3BraS9vY3NwLzA2BggrBgEFBQcwAYYqaHR0cDovL29jc3AyLnVhbmF0YWNhLmNvbS9wdWJsaWMvcGtpL29jc3AvMHAGA1UdEQRpMGeBGEdBVVRPTUFSSU9UVElS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TG0mAvbpe1nxzWD+u0wQTZr2NqezAOBgNVHQ8BAf8EBAMCBeAwDQYJKoZIhvcNAQELBQADggIBAGAqsp9KxakZSZgKvgGv8IKQxiNcbHIXYAfPB/QofhrEs+IujRWQKc5+F6nWyfopdgO5lwoTRuB+iRteoroOjqdoBN6tmhrzUzjUndVkV7R7wzPk7vkSjCt+8cMfeCVoBfuSL0CFoOItDqzk52yUpnRMxuhjTry6GH4xoQlBqMq6qzH5O+vQ8FMLGAiZDRuHOMUjk/8fUKCe6XzDV2BDvlJYkjSmNbYQUxLhCdiddjNDMFNKvD/EOkGVoe2iPegUYtgFHOJfC436cDYCKWAmLAYIc1M9CMsedcqSppVvdCaldg90jZaZ+SPjDiKLfyC8Mln9epOBsbDqfR/NIMs0ma1D4C5VcCL+Sk1dQRXq7CiY3Jxwf+o+VfmJHCsJjcN8Kz17XrKv/l2cYOuzgqimu9WGKoR8d+3jvgYE3I1yCfkaFi1ZmEGoIUhpDnTkYTed63QTx7YdATU5ebLYGv0aOniyVSd1Sov6ZUnAUClCGbtXeaNDyjlHIL5K5vCQcZjQ8wG1mGPiP+VtTh5AioG5k4PkK0qNQGa33Sh0Ej8OsGpcWh3q2/woUtw6iHtg08Dmqd0x9ncEV/YcSm1X0ZkgEvOl60EyGxWt7qErOIhoxDUc9LiZ/5Xnj+l3WuUweI5pokKyLeKM1zRRIWfSUQD3k+gjoS0K8HYwkDi3wIvzYVR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256"/>
        <DigestValue>/Ck4NrQeZAHF831xLBB7K7yeBD4HVDqFdSeGjxFIugk=</DigestValue>
      </Reference>
      <Reference URI="/xl/calcChain.xml?ContentType=application/vnd.openxmlformats-officedocument.spreadsheetml.calcChain+xml">
        <DigestMethod Algorithm="http://www.w3.org/2001/04/xmlenc#sha256"/>
        <DigestValue>+NyeNyIHrQv7x/d7NUuWQqqgB6nR5SiUKZdjjhHZnLU=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ucrTLbStQr/H2WHX3yG6MmDb0NXX+PwHVU4uUbcl8jY=</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gJN++dn2wxx/Cd6pFFOPi1CJuYShB1qNyNFMqnAERYg=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ucrTLbStQr/H2WHX3yG6MmDb0NXX+PwHVU4uUbcl8jY=</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7YsyKqJFttyEEYgq8OCabNHbiPUxlADESpJUKW5fCBk=</DigestValue>
      </Reference>
      <Reference URI="/xl/drawings/drawing1.xml?ContentType=application/vnd.openxmlformats-officedocument.drawing+xml">
        <DigestMethod Algorithm="http://www.w3.org/2001/04/xmlenc#sha256"/>
        <DigestValue>ub074ZLH8w4xlalqairs0BhLike/ijp43YfbOrzi420=</DigestValue>
      </Reference>
      <Reference URI="/xl/drawings/drawing2.xml?ContentType=application/vnd.openxmlformats-officedocument.drawing+xml">
        <DigestMethod Algorithm="http://www.w3.org/2001/04/xmlenc#sha256"/>
        <DigestValue>jSEA7QF2epsqpRqyAn5pGlelL7JhshD38KzThNyanj4=</DigestValue>
      </Reference>
      <Reference URI="/xl/drawings/drawing3.xml?ContentType=application/vnd.openxmlformats-officedocument.drawing+xml">
        <DigestMethod Algorithm="http://www.w3.org/2001/04/xmlenc#sha256"/>
        <DigestValue>w1km3rn21G8nhqvfeQQCJPmdK8nSug1i56T6Su0Ay7A=</DigestValue>
      </Reference>
      <Reference URI="/xl/drawings/drawing4.xml?ContentType=application/vnd.openxmlformats-officedocument.drawing+xml">
        <DigestMethod Algorithm="http://www.w3.org/2001/04/xmlenc#sha256"/>
        <DigestValue>Inzha6baeAKE0WuKvq0NbHcSeKHit1HfjuHs2WT/AC8=</DigestValue>
      </Reference>
      <Reference URI="/xl/drawings/drawing5.xml?ContentType=application/vnd.openxmlformats-officedocument.drawing+xml">
        <DigestMethod Algorithm="http://www.w3.org/2001/04/xmlenc#sha256"/>
        <DigestValue>Tpe4YJTEcZHjnkuwCRyvhPu/MIzXAWLSeBBMA18aXRI=</DigestValue>
      </Reference>
      <Reference URI="/xl/drawings/drawing6.xml?ContentType=application/vnd.openxmlformats-officedocument.drawing+xml">
        <DigestMethod Algorithm="http://www.w3.org/2001/04/xmlenc#sha256"/>
        <DigestValue>t0IiKkrStl/PiA8NVpK6Yzzs0p7cTjDqmZEHG31Qyng=</DigestValue>
      </Reference>
      <Reference URI="/xl/drawings/drawing7.xml?ContentType=application/vnd.openxmlformats-officedocument.drawing+xml">
        <DigestMethod Algorithm="http://www.w3.org/2001/04/xmlenc#sha256"/>
        <DigestValue>virplHJot2IoRHIXdPVnprgNPvJSCFYXhwmEbMvdtaE=</DigestValue>
      </Reference>
      <Reference URI="/xl/drawings/drawing8.xml?ContentType=application/vnd.openxmlformats-officedocument.drawing+xml">
        <DigestMethod Algorithm="http://www.w3.org/2001/04/xmlenc#sha256"/>
        <DigestValue>1BVrvUMHBLQW/qes4fhJwFjL6MIO+dw9dzaEu6di9KE=</DigestValue>
      </Reference>
      <Reference URI="/xl/drawings/vmlDrawing1.vml?ContentType=application/vnd.openxmlformats-officedocument.vmlDrawing">
        <DigestMethod Algorithm="http://www.w3.org/2001/04/xmlenc#sha256"/>
        <DigestValue>ExUTJEbNBuk1CckpWwd+8plgcmJe8qoGbB2TUFKe+kA=</DigestValue>
      </Reference>
      <Reference URI="/xl/drawings/vmlDrawing2.vml?ContentType=application/vnd.openxmlformats-officedocument.vmlDrawing">
        <DigestMethod Algorithm="http://www.w3.org/2001/04/xmlenc#sha256"/>
        <DigestValue>h2FOx/Jlq4UYa4Cpos0p40QGXDtAcRKPPYKd8I7NjvY=</DigestValue>
      </Reference>
      <Reference URI="/xl/drawings/vmlDrawing3.vml?ContentType=application/vnd.openxmlformats-officedocument.vmlDrawing">
        <DigestMethod Algorithm="http://www.w3.org/2001/04/xmlenc#sha256"/>
        <DigestValue>AA278wmMGW/Y9QsgFZqd+7Z8mopkpG53UQ93BDbx4WE=</DigestValue>
      </Reference>
      <Reference URI="/xl/drawings/vmlDrawing4.vml?ContentType=application/vnd.openxmlformats-officedocument.vmlDrawing">
        <DigestMethod Algorithm="http://www.w3.org/2001/04/xmlenc#sha256"/>
        <DigestValue>ArJYfFm9RCQzoEjHp9F2NIgGy/rbhUv/OzAFzV+JEV4=</DigestValue>
      </Reference>
      <Reference URI="/xl/drawings/vmlDrawing5.vml?ContentType=application/vnd.openxmlformats-officedocument.vmlDrawing">
        <DigestMethod Algorithm="http://www.w3.org/2001/04/xmlenc#sha256"/>
        <DigestValue>6u8vsyy6r4PKsRHLrr6eKcYZlGcnaa5JNs92G7m0x50=</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77SVdrsY4G7JRFikg775s6ndkn/5KeYu/l1XKd699gw=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XmN+S1Rb9DQwXeJhiPMr1ywuylQu67StAn77KPQ/9M4=</DigestValue>
      </Reference>
      <Reference URI="/xl/externalLinks/externalLink1.xml?ContentType=application/vnd.openxmlformats-officedocument.spreadsheetml.externalLink+xml">
        <DigestMethod Algorithm="http://www.w3.org/2001/04/xmlenc#sha256"/>
        <DigestValue>Asaf0dJqvI2CGiR4mDOs5Bz0dA7uFptOxkq8VP6/Axg=</DigestValue>
      </Reference>
      <Reference URI="/xl/externalLinks/externalLink2.xml?ContentType=application/vnd.openxmlformats-officedocument.spreadsheetml.externalLink+xml">
        <DigestMethod Algorithm="http://www.w3.org/2001/04/xmlenc#sha256"/>
        <DigestValue>MAymwNHVD9MjrQzp8QSFTGHiEzTtpA6htR4Lpqs3neg=</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henAiMKyQumysm/rmsKObYIquv2sss0Xb+LHqi1agew=</DigestValue>
      </Reference>
      <Reference URI="/xl/media/image3.emf?ContentType=image/x-emf">
        <DigestMethod Algorithm="http://www.w3.org/2001/04/xmlenc#sha256"/>
        <DigestValue>YVtsuH8bDXjJV2Dy/6lemD+B/MEJUFMlT3OBultaYYw=</DigestValue>
      </Reference>
      <Reference URI="/xl/media/image4.emf?ContentType=image/x-emf">
        <DigestMethod Algorithm="http://www.w3.org/2001/04/xmlenc#sha256"/>
        <DigestValue>aFnNK946hBo3dFBQ1iTrTWLYet31AXs15w+XcScy08U=</DigestValue>
      </Reference>
      <Reference URI="/xl/media/image5.emf?ContentType=image/x-emf">
        <DigestMethod Algorithm="http://www.w3.org/2001/04/xmlenc#sha256"/>
        <DigestValue>SGUAmXtIKfISNtJWaJhypXvQVrvZhFb92d4E5f7ZI/o=</DigestValue>
      </Reference>
      <Reference URI="/xl/media/image6.emf?ContentType=image/x-emf">
        <DigestMethod Algorithm="http://www.w3.org/2001/04/xmlenc#sha256"/>
        <DigestValue>GRQ8cc4rAjEFr9roH+f7cutoGCMFBXoxc1fwnubaFII=</DigestValue>
      </Reference>
      <Reference URI="/xl/printerSettings/printerSettings1.bin?ContentType=application/vnd.openxmlformats-officedocument.spreadsheetml.printerSettings">
        <DigestMethod Algorithm="http://www.w3.org/2001/04/xmlenc#sha256"/>
        <DigestValue>OGD3iF2+l78gTInlDCWFPycZVuHBpUE02raJ/Wr5XCI=</DigestValue>
      </Reference>
      <Reference URI="/xl/printerSettings/printerSettings10.bin?ContentType=application/vnd.openxmlformats-officedocument.spreadsheetml.printerSettings">
        <DigestMethod Algorithm="http://www.w3.org/2001/04/xmlenc#sha256"/>
        <DigestValue>8ULINyTSns7e3+F/twyhXb2p4OEI5M6paxloUp/0tKM=</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aKO8XWThzgvGlTVSu23kX37OoqtKGS6PBUkmhsicI1Y=</DigestValue>
      </Reference>
      <Reference URI="/xl/printerSettings/printerSettings14.bin?ContentType=application/vnd.openxmlformats-officedocument.spreadsheetml.printerSettings">
        <DigestMethod Algorithm="http://www.w3.org/2001/04/xmlenc#sha256"/>
        <DigestValue>aKO8XWThzgvGlTVSu23kX37OoqtKGS6PBUkmhsicI1Y=</DigestValue>
      </Reference>
      <Reference URI="/xl/printerSettings/printerSettings15.bin?ContentType=application/vnd.openxmlformats-officedocument.spreadsheetml.printerSettings">
        <DigestMethod Algorithm="http://www.w3.org/2001/04/xmlenc#sha256"/>
        <DigestValue>dw1o09s0o0lRppdgih3gsQGBOYtYP6TDvnCBQSPWvnk=</DigestValue>
      </Reference>
      <Reference URI="/xl/printerSettings/printerSettings16.bin?ContentType=application/vnd.openxmlformats-officedocument.spreadsheetml.printerSettings">
        <DigestMethod Algorithm="http://www.w3.org/2001/04/xmlenc#sha256"/>
        <DigestValue>+CD8yXTcV7R0UPktSQ1iysCJtCvCSVF2j80e6m46HpQ=</DigestValue>
      </Reference>
      <Reference URI="/xl/printerSettings/printerSettings17.bin?ContentType=application/vnd.openxmlformats-officedocument.spreadsheetml.printerSettings">
        <DigestMethod Algorithm="http://www.w3.org/2001/04/xmlenc#sha256"/>
        <DigestValue>hqnMLvZ6XBY2fH1KhK00vJXWuxlSZRWkoKrdKDrIF2Q=</DigestValue>
      </Reference>
      <Reference URI="/xl/printerSettings/printerSettings18.bin?ContentType=application/vnd.openxmlformats-officedocument.spreadsheetml.printerSettings">
        <DigestMethod Algorithm="http://www.w3.org/2001/04/xmlenc#sha256"/>
        <DigestValue>TRrCOIAvgyay9+dOHANtMRhI4Mlj24DaFIyKQoKcdPw=</DigestValue>
      </Reference>
      <Reference URI="/xl/printerSettings/printerSettings19.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tK77ymY2j+63o2PazHk01j2EtE8ZSKwdI1Ei+LUjmS0=</DigestValue>
      </Reference>
      <Reference URI="/xl/printerSettings/printerSettings20.bin?ContentType=application/vnd.openxmlformats-officedocument.spreadsheetml.printerSettings">
        <DigestMethod Algorithm="http://www.w3.org/2001/04/xmlenc#sha256"/>
        <DigestValue>TRrCOIAvgyay9+dOHANtMRhI4Mlj24DaFIyKQoKcdPw=</DigestValue>
      </Reference>
      <Reference URI="/xl/printerSettings/printerSettings21.bin?ContentType=application/vnd.openxmlformats-officedocument.spreadsheetml.printerSettings">
        <DigestMethod Algorithm="http://www.w3.org/2001/04/xmlenc#sha256"/>
        <DigestValue>OGD3iF2+l78gTInlDCWFPycZVuHBpUE02raJ/Wr5XCI=</DigestValue>
      </Reference>
      <Reference URI="/xl/printerSettings/printerSettings22.bin?ContentType=application/vnd.openxmlformats-officedocument.spreadsheetml.printerSettings">
        <DigestMethod Algorithm="http://www.w3.org/2001/04/xmlenc#sha256"/>
        <DigestValue>GyyR84UYFfbFvVrs+ip9vPggIMAXC0nxkmeUVNsGxCc=</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ZVxXhJn6XmjT/m1Dw2UhwYZPVXYMSYE+DUFTlsgHV4s=</DigestValue>
      </Reference>
      <Reference URI="/xl/printerSettings/printerSettings25.bin?ContentType=application/vnd.openxmlformats-officedocument.spreadsheetml.printerSettings">
        <DigestMethod Algorithm="http://www.w3.org/2001/04/xmlenc#sha256"/>
        <DigestValue>ZVxXhJn6XmjT/m1Dw2UhwYZPVXYMSYE+DUFTlsgHV4s=</DigestValue>
      </Reference>
      <Reference URI="/xl/printerSettings/printerSettings26.bin?ContentType=application/vnd.openxmlformats-officedocument.spreadsheetml.printerSettings">
        <DigestMethod Algorithm="http://www.w3.org/2001/04/xmlenc#sha256"/>
        <DigestValue>ZVxXhJn6XmjT/m1Dw2UhwYZPVXYMSYE+DUFTlsgHV4s=</DigestValue>
      </Reference>
      <Reference URI="/xl/printerSettings/printerSettings27.bin?ContentType=application/vnd.openxmlformats-officedocument.spreadsheetml.printerSettings">
        <DigestMethod Algorithm="http://www.w3.org/2001/04/xmlenc#sha256"/>
        <DigestValue>ZVxXhJn6XmjT/m1Dw2UhwYZPVXYMSYE+DUFTlsgHV4s=</DigestValue>
      </Reference>
      <Reference URI="/xl/printerSettings/printerSettings28.bin?ContentType=application/vnd.openxmlformats-officedocument.spreadsheetml.printerSettings">
        <DigestMethod Algorithm="http://www.w3.org/2001/04/xmlenc#sha256"/>
        <DigestValue>ZVxXhJn6XmjT/m1Dw2UhwYZPVXYMSYE+DUFTlsgHV4s=</DigestValue>
      </Reference>
      <Reference URI="/xl/printerSettings/printerSettings29.bin?ContentType=application/vnd.openxmlformats-officedocument.spreadsheetml.printerSettings">
        <DigestMethod Algorithm="http://www.w3.org/2001/04/xmlenc#sha256"/>
        <DigestValue>ZVxXhJn6XmjT/m1Dw2UhwYZPVXYMSYE+DUFTlsgHV4s=</DigestValue>
      </Reference>
      <Reference URI="/xl/printerSettings/printerSettings3.bin?ContentType=application/vnd.openxmlformats-officedocument.spreadsheetml.printerSettings">
        <DigestMethod Algorithm="http://www.w3.org/2001/04/xmlenc#sha256"/>
        <DigestValue>etcbSocZ+fnLsUbJz0LkI2IH94+TEQQYef5apUBQ778=</DigestValue>
      </Reference>
      <Reference URI="/xl/printerSettings/printerSettings30.bin?ContentType=application/vnd.openxmlformats-officedocument.spreadsheetml.printerSettings">
        <DigestMethod Algorithm="http://www.w3.org/2001/04/xmlenc#sha256"/>
        <DigestValue>QYEL4KgfVDON32G6gR2kYQY44f245JdSxX29nAOa8qU=</DigestValue>
      </Reference>
      <Reference URI="/xl/printerSettings/printerSettings4.bin?ContentType=application/vnd.openxmlformats-officedocument.spreadsheetml.printerSettings">
        <DigestMethod Algorithm="http://www.w3.org/2001/04/xmlenc#sha256"/>
        <DigestValue>8ULINyTSns7e3+F/twyhXb2p4OEI5M6paxloUp/0tKM=</DigestValue>
      </Reference>
      <Reference URI="/xl/printerSettings/printerSettings5.bin?ContentType=application/vnd.openxmlformats-officedocument.spreadsheetml.printerSettings">
        <DigestMethod Algorithm="http://www.w3.org/2001/04/xmlenc#sha256"/>
        <DigestValue>8ULINyTSns7e3+F/twyhXb2p4OEI5M6paxloUp/0tKM=</DigestValue>
      </Reference>
      <Reference URI="/xl/printerSettings/printerSettings6.bin?ContentType=application/vnd.openxmlformats-officedocument.spreadsheetml.printerSettings">
        <DigestMethod Algorithm="http://www.w3.org/2001/04/xmlenc#sha256"/>
        <DigestValue>8ULINyTSns7e3+F/twyhXb2p4OEI5M6paxloUp/0tKM=</DigestValue>
      </Reference>
      <Reference URI="/xl/printerSettings/printerSettings7.bin?ContentType=application/vnd.openxmlformats-officedocument.spreadsheetml.printerSettings">
        <DigestMethod Algorithm="http://www.w3.org/2001/04/xmlenc#sha256"/>
        <DigestValue>8ULINyTSns7e3+F/twyhXb2p4OEI5M6paxloUp/0tKM=</DigestValue>
      </Reference>
      <Reference URI="/xl/printerSettings/printerSettings8.bin?ContentType=application/vnd.openxmlformats-officedocument.spreadsheetml.printerSettings">
        <DigestMethod Algorithm="http://www.w3.org/2001/04/xmlenc#sha256"/>
        <DigestValue>8ULINyTSns7e3+F/twyhXb2p4OEI5M6paxloUp/0tKM=</DigestValue>
      </Reference>
      <Reference URI="/xl/printerSettings/printerSettings9.bin?ContentType=application/vnd.openxmlformats-officedocument.spreadsheetml.printerSettings">
        <DigestMethod Algorithm="http://www.w3.org/2001/04/xmlenc#sha256"/>
        <DigestValue>8ULINyTSns7e3+F/twyhXb2p4OEI5M6paxloUp/0tKM=</DigestValue>
      </Reference>
      <Reference URI="/xl/sharedStrings.xml?ContentType=application/vnd.openxmlformats-officedocument.spreadsheetml.sharedStrings+xml">
        <DigestMethod Algorithm="http://www.w3.org/2001/04/xmlenc#sha256"/>
        <DigestValue>V/w+UFDuoKCaMO9SSgiqgdegozZgbqeeTZ78vhxZs4Y=</DigestValue>
      </Reference>
      <Reference URI="/xl/styles.xml?ContentType=application/vnd.openxmlformats-officedocument.spreadsheetml.styles+xml">
        <DigestMethod Algorithm="http://www.w3.org/2001/04/xmlenc#sha256"/>
        <DigestValue>z/eeshVk+brcI+H+/v+xG/3T6WFPSRAeaKjEIgLbkPc=</DigestValue>
      </Reference>
      <Reference URI="/xl/tables/table1.xml?ContentType=application/vnd.openxmlformats-officedocument.spreadsheetml.table+xml">
        <DigestMethod Algorithm="http://www.w3.org/2001/04/xmlenc#sha256"/>
        <DigestValue>QTRSFVlS4HnbP6Y2+j++lvSrT1G6wMfxJrt66Q3MxtU=</DigestValue>
      </Reference>
      <Reference URI="/xl/tables/table2.xml?ContentType=application/vnd.openxmlformats-officedocument.spreadsheetml.table+xml">
        <DigestMethod Algorithm="http://www.w3.org/2001/04/xmlenc#sha256"/>
        <DigestValue>IKN1IhsRr9HunQR58XkrS2sj34eYQN7uwQ3Oy8wQ0eI=</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Iod+Xl9RCPODBPIpko8c6sQtIg/QuqibY8/4p+Z/JNc=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jDc0sWYJkR/CBrRak8ingqluwJ7oQsCcOInX+LVxKvE=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pZw3bSadmKfHZZmptVaCzS0QUOVcJ//YwG7scJq0pf8=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Mnq392zy7n/68NDdV/yytQb7iuJvY10PdgkI8Mb+g6k=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ucQ64hiB/nP1Fi8WKz3Th1kdZisK8aGhJEPJfohLxM8=</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Tli28rN8igOjzPasqezpYxpfwxhNMdfjzhfnghEdtVc=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iCVOH+dXPW5Yow03OFzE3KFxd7gLMdb90NF1eBlmABk=</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zgur8m8h3dHGUIjwiYWUwhCf0M5q1vRr8/fpz0BeqjQ=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7K0RfRaSjDP6tX2AJJpMSRjcmHBmC4suCih810VKQKE=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YJfbdRjw9jzDIHxg9lF8IV5su7pXZUZ3BubXlm6sSbI=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N8qijj8WXJ10YGO5eKPxvirB/H7N/Cb0D2n1Mzyaryo=</DigestValue>
      </Reference>
      <Reference URI="/xl/worksheets/sheet1.xml?ContentType=application/vnd.openxmlformats-officedocument.spreadsheetml.worksheet+xml">
        <DigestMethod Algorithm="http://www.w3.org/2001/04/xmlenc#sha256"/>
        <DigestValue>RQrBSlri31PMwZlIl5U8oN6J/gyebqTN0C1tnBaPr1M=</DigestValue>
      </Reference>
      <Reference URI="/xl/worksheets/sheet10.xml?ContentType=application/vnd.openxmlformats-officedocument.spreadsheetml.worksheet+xml">
        <DigestMethod Algorithm="http://www.w3.org/2001/04/xmlenc#sha256"/>
        <DigestValue>VdSSMhq7PPyGTGDw8th3UTvOa3U89Ih1rcKsbGp6WEc=</DigestValue>
      </Reference>
      <Reference URI="/xl/worksheets/sheet11.xml?ContentType=application/vnd.openxmlformats-officedocument.spreadsheetml.worksheet+xml">
        <DigestMethod Algorithm="http://www.w3.org/2001/04/xmlenc#sha256"/>
        <DigestValue>tvzKKq8EPOADTa94CUdCYmoZ4T6lnIZpEmf/8HsdSIo=</DigestValue>
      </Reference>
      <Reference URI="/xl/worksheets/sheet2.xml?ContentType=application/vnd.openxmlformats-officedocument.spreadsheetml.worksheet+xml">
        <DigestMethod Algorithm="http://www.w3.org/2001/04/xmlenc#sha256"/>
        <DigestValue>R7gGbROsq8wtNMf9wb9NhnoX7CbE0LKzExehQybw3Z8=</DigestValue>
      </Reference>
      <Reference URI="/xl/worksheets/sheet3.xml?ContentType=application/vnd.openxmlformats-officedocument.spreadsheetml.worksheet+xml">
        <DigestMethod Algorithm="http://www.w3.org/2001/04/xmlenc#sha256"/>
        <DigestValue>t7XEAo8Uy0vjd/DJ2C4BITc81JYXlBr/JkVguL11LaQ=</DigestValue>
      </Reference>
      <Reference URI="/xl/worksheets/sheet4.xml?ContentType=application/vnd.openxmlformats-officedocument.spreadsheetml.worksheet+xml">
        <DigestMethod Algorithm="http://www.w3.org/2001/04/xmlenc#sha256"/>
        <DigestValue>cEnOJfsnp/NBRY+3I/VQDmCO7RMEqgGuf8UEqrDuCIU=</DigestValue>
      </Reference>
      <Reference URI="/xl/worksheets/sheet5.xml?ContentType=application/vnd.openxmlformats-officedocument.spreadsheetml.worksheet+xml">
        <DigestMethod Algorithm="http://www.w3.org/2001/04/xmlenc#sha256"/>
        <DigestValue>EswEMBCM4zdmW1cMOh7rkhk8swYW2MNO2WQBh8M1rRc=</DigestValue>
      </Reference>
      <Reference URI="/xl/worksheets/sheet6.xml?ContentType=application/vnd.openxmlformats-officedocument.spreadsheetml.worksheet+xml">
        <DigestMethod Algorithm="http://www.w3.org/2001/04/xmlenc#sha256"/>
        <DigestValue>D58Ad9xw9rLp8vtfuoXZKREoJCKBX5r+HJLMNlecAok=</DigestValue>
      </Reference>
      <Reference URI="/xl/worksheets/sheet7.xml?ContentType=application/vnd.openxmlformats-officedocument.spreadsheetml.worksheet+xml">
        <DigestMethod Algorithm="http://www.w3.org/2001/04/xmlenc#sha256"/>
        <DigestValue>gSn74GrP21z2K652QtORivHMqG62kbL+N6pM0KMuNoM=</DigestValue>
      </Reference>
      <Reference URI="/xl/worksheets/sheet8.xml?ContentType=application/vnd.openxmlformats-officedocument.spreadsheetml.worksheet+xml">
        <DigestMethod Algorithm="http://www.w3.org/2001/04/xmlenc#sha256"/>
        <DigestValue>RHD7ig3kB2XIS94P7M7laThHUC2ZEnlItLh4CQ8e2cA=</DigestValue>
      </Reference>
      <Reference URI="/xl/worksheets/sheet9.xml?ContentType=application/vnd.openxmlformats-officedocument.spreadsheetml.worksheet+xml">
        <DigestMethod Algorithm="http://www.w3.org/2001/04/xmlenc#sha256"/>
        <DigestValue>NbdLLWXsZdwhOiIfvFm/hDyLJl0+E1xl/cjBrRt6I8I=</DigestValue>
      </Reference>
    </Manifest>
    <SignatureProperties>
      <SignatureProperty Id="idSignatureTime" Target="#idPackageSignature">
        <mdssi:SignatureTime xmlns:mdssi="http://schemas.openxmlformats.org/package/2006/digital-signature">
          <mdssi:Format>YYYY-MM-DDThh:mm:ssTZD</mdssi:Format>
          <mdssi:Value>2026-08-13T17:44:27Z</mdssi:Value>
        </mdssi:SignatureTime>
      </SignatureProperty>
    </SignatureProperties>
  </Object>
  <Object Id="idOfficeObject">
    <SignatureProperties>
      <SignatureProperty Id="idOfficeV1Details" Target="#idPackageSignature">
        <SignatureInfoV1 xmlns="http://schemas.microsoft.com/office/2006/digsig">
          <SetupID>{7A614BE2-FDAF-4F9B-99B2-DBED17D3DF61}</SetupID>
          <SignatureText>Rodolfo Gauto</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2026-08-13T17:44:27Z</xd:SigningTime>
          <xd:SigningCertificate>
            <xd:Cert>
              <xd:CertDigest>
                <DigestMethod Algorithm="http://www.w3.org/2001/04/xmlenc#sha256"/>
                <DigestValue>WfscYALnhvg2pBPqkXRM09ecBSYUcWCJWQ3KvWp2wzE=</DigestValue>
              </xd:CertDigest>
              <xd:IssuerSerial>
                <X509IssuerName>C=PY, O=ICPP, OU=Prestador Cualificado de Servicios de Confianza, SERIALNUMBER=RUC 80113823-0, CN=CONFIRMA S.A.</X509IssuerName>
                <X509SerialNumber>2998039560924145427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uzCCBaOgAwIBAgIQR0iwnd34CQJkdMw24JuyvzANBgkqhkiG9w0BAQsFADBvMQswCQYDVQQGEwJQWTErMCkGA1UECgwiTWluaXN0ZXJpbyBkZSBJbmR1c3RyaWEgeSBDb21lcmNpbzEzMDEGA1UEAwwqQXV0b3JpZGFkIENlcnRpZmljYWRvcmEgUmHDrXogZGVsIFBhcmFndWF5MB4XDTIzMDUyOTE2MDA1M1oXDTMyMDUyOTE2MDA1M1owgYcxFjAUBgNVBAMMDUNPTkZJUk1BIFMuQS4xFzAVBgNVBAUTDlJVQyA4MDExMzgyMy0wMTgwNgYDVQQLDC9QcmVzdGFkb3IgQ3VhbGlmaWNhZG8gZGUgU2VydmljaW9zIGRlIENvbmZpYW56YTENMAsGA1UECgwESUNQUDELMAkGA1UEBhMCUFkwggIiMA0GCSqGSIb3DQEBAQUAA4ICDwAwggIKAoICAQC0bqndckSA1NBd4+H1LL1QQ+/Hte8E8GIc+Cl2IWx8XVCIbH4D8r9ZZNB/GD7Sa0JVTyFxeXXn6+qLhbFsE5yrHM5y9+U7rri0xSx/iuudjmrSePO3cEQrQe0amoCtieY+nEjMxJ6RJzQRacE6Smyoa9VRsAo8R/kiIwUq9YJ1sIA7CKByQnxxxhmOriNx/ke52RI3s7HM4Bp0t03dwnAC0f/efuXeyEevLe1wpAuznk2AU6+RtXtZ8Y+l2pIY8GVl1e4Jqf4/5OlZtakorZlJSwpUm1bkkeqEKPESds6XEw0h7N/mn1irpen2FH86E0lZNfqWNTNv58cQnTkTzNprAPSc6tmIz8OikMKjxwtO3Q9cgykfEdSBM23SWnlPav4WmXB7ADPSSrhmC0r51BDLigTHAiz/dbByBWmAnFKXcxil9fqAlzPE89VXnvETfcyJsK9cdLviVuDSztXVQnh0UoUeMwEICDcU0/HuSgV6FP1gl7TU1UZofBwQeilFtx0prQ5xTzP4fax84YoYPxg6QBJvzmA5vtKVUiQgA0x1dRC0nocV/venOlGho6CI9Fddu/kz6/VcHVjTuA/6Ammc9fyGydqchjWrUYOEbQxA6BGCzJu8j4c2yr6QIqG4mEtw415YSx4Az0oX+jrguZNaZyCEkbCvNopq2iXxmHjJZwIDAQABo4ICODCCAjQwEgYDVR0TAQH/BAgwBgEB/wIBADAOBgNVHQ8BAf8EBAMCAQYwHQYDVR0OBBYEFDj6s5eLGoZm2MDIh5/0YA14tjhKMB8GA1UdIwQYMBaAFMLEEfIqaEQMACjsTNYp25L7Xr3WMIG/BggrBgEFBQcBAQSBsjCBrzA/BggrBgEFBQcwAoYzaHR0cHM6Ly93d3cuYWNyYWl6Lmdvdi5weS9jcnQvYWNfcmFpel9weV9zaGEyNTYuY3J0MDUGCCsGAQUFBzABhilodHRwOi8vb2NzcDEudWFuYXRhY2EuY29tL3B1YmxpYy9wa2kvb2NzcDA1BggrBgEFBQcwAYYpaHR0cDovL29jc3AyLnVhbmF0YWNhLmNvbS9wdWJsaWMvcGtpL29jc3Awgc0GA1UdIASBxTCBwjCBvwYDVR0gMIG3MDkGCCsGAQUFBwIBFi1odHRwczovL3d3dy5hY3JhaXouZ292LnB5L2RwYy9ET0MtSUNQUC0wMS5wZGYwegYIKwYBBQUHAgIwbhpsU3VqZXRvIGEgbGFzIGNvbmRpY2lvbmVzIGRlIHVzbyBleHB1ZXN0YXMgZW4gbGEgRGVjbGFyYWNp824gZGUgUHLhY3RpY2FzIGRlIENlcnRpZmljYWNp824gZGUgbGEgQUMgUmHteiAtIFB5MDwGA1UdHwQ1MDMwMaAvoC2GK2h0dHA6Ly93d3cuYWNyYWl6Lmdvdi5weS9hcmwvYWNfcmFpel9weS5jcmwwDQYJKoZIhvcNAQELBQADggIBAA07dHHEcpym5vkGd32nxzPS89zx8Xa8SEDflnGlw4tskpQoZeRUDMG4GxVDEyrG8KARysYyOZ6lQ1r0BkDhsiB1rsZZAiLBhmFNyd8+8IELQGgHk3uC2YzCT95pw+mkp02Lah9ObIcsRh4tYd6ZBiVzFC3FcwPktSK3ZecQrRxqJm17dx+k5a5xM5HQDjXcy5YteFGiaDDZV0FYCNNIWxzyaFd4bYwXbolAOOkbz0rRZghR3Ya5OpF0rCwtdF7+8c4nfvV0N/4iZ2BM9YVTuz8kEMzG8ee4q8zlhuS6DKkxmhIinEtVfX9H/XVc4n4Q7qimA2sQS0Y6Ra+zz6ojCJuKVDHsYUgxJU6MkkhKmDewGIWnlCPxJxv5MCsOfwU9pUCAZG8SqjzXIgKa15oKKuXHgVUkEg+/ItTlVL13y4QOgdJlG0t91UjiQ3AUzG98Hi5hotHQHDb1poRJj8rRUTXw+9kkuKVitNZgJE2lfmCyO4yTkhT/QgWVAFIm+Kfd3qZ3z7NYDhrfXjRlGsHj2fTy4Swbt6xuaA1LIMPXD22t0mK+LTazNudJgwygtBQTOA3129nUBLnhpoarU6gmquGKjjbNtVObJbFbwVHgM4EcaIVOaIs/KrtBwrUG9ShTQM9BSbB+xq3bKUIlCKwtaltCjsPV+oKq/WYXEGKTQj7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JYBAAC/AAAAAAAAAAAAAAACGQAA0AsAACBFTUYAAAEAoBsAAKo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QAAfEEfAQAABgAAAAkAAABMAAAAAAAAAAAAAAAAAAAA//////////9gAAAAMQAzAC8AOAAvADIAMAAyADYAAAAJAAAACQAAAAYAAAAJAAAABgAAAAkAAAAJAAAACQAAAAk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Object Id="idInvalidSigLnImg">AQAAAGwAAAAAAAAAAAAAAJYBAAC/AAAAAAAAAAAAAAACGQAA0AsAACBFTUYAAAEAoCQAALE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QAAfEFDAAAABgAAAA8AAABMAAAAAAAAAAAAAAAAAAAA//////////9sAAAARgBpAHIAbQBhACAAbgBvACAAdgDhAGwAaQBkAGEAAAAIAAAABAAAAAYAAAAOAAAACAAAAAQAAAAJAAAACQAAAAQAAAAIAAAACAAAAAQAAAAEAAAACQAAAAg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Signature>
</file>

<file path=_xmlsignatures/sig7.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w2Ie35gr+PtzenjOG9nEjFoQxtK7r3C9cbifVbtevRk=</DigestValue>
    </Reference>
    <Reference Type="http://www.w3.org/2000/09/xmldsig#Object" URI="#idOfficeObject">
      <DigestMethod Algorithm="http://www.w3.org/2001/04/xmlenc#sha256"/>
      <DigestValue>aGiQFew2lJz6I0f1eq7pS274e42fu4FziwEI4FiREuc=</DigestValue>
    </Reference>
    <Reference Type="http://uri.etsi.org/01903#SignedProperties" URI="#idSignedProperties">
      <Transforms>
        <Transform Algorithm="http://www.w3.org/TR/2001/REC-xml-c14n-20010315"/>
      </Transforms>
      <DigestMethod Algorithm="http://www.w3.org/2001/04/xmlenc#sha256"/>
      <DigestValue>Y2JznJROFgM8dlK5WOAIIEhRiXNdU/xAap0U1uTz5Vk=</DigestValue>
    </Reference>
    <Reference Type="http://www.w3.org/2000/09/xmldsig#Object" URI="#idValidSigLnImg">
      <DigestMethod Algorithm="http://www.w3.org/2001/04/xmlenc#sha256"/>
      <DigestValue>Jh3tziakw2YFjmN8sr16Jqws4mpJT38tmYjrORDGvsg=</DigestValue>
    </Reference>
    <Reference Type="http://www.w3.org/2000/09/xmldsig#Object" URI="#idInvalidSigLnImg">
      <DigestMethod Algorithm="http://www.w3.org/2001/04/xmlenc#sha256"/>
      <DigestValue>6lX5xGz+09Ws28hoP4VVfof4t/oj8SVKAngYRvfLqoA=</DigestValue>
    </Reference>
  </SignedInfo>
  <SignatureValue>zxqqj8QE9mVVqjlzDKDR4NX5bwXv2T6EpejLZ9BXrpX0lZ9ZTHvPCITFwD/5XdKWVmK/VNbxm2ON
6RB2+Jdc19j53DkRvRXT/9MKOd+n3rQLwEwVQTKV/XnMKDjMuahQGpEssf1c0gWqnhtz7uoxlWIP
6M7JJPuphWXt9g1BREUuG27YP/8rxQvhUzZ3fPlysOvvMEhDNv0NH5TiQjC5K7a2aXwrP4dY5F1h
ijRh3qB9jVzy3IFLR/tPa09YdbJc99lv6B1FK2VtPlR5q9Jn/4p0Vy1DvCQ1qdJw1Ci7cbCpla+S
rMuoLVfheS9ydcUWi6sA4HfqAzAqSROZSMag2Q==</SignatureValue>
  <KeyInfo>
    <X509Data>
      <X509Certificate>MIIKrzCCCJegAwIBAgIIKZstGKtzpxMwDQYJKoZIhvcNAQELBQAwgYcxFjAUBgNVBAMMDUNPTkZJUk1BIFMuQS4xFzAVBgNVBAUTDlJVQyA4MDExMzgyMy0wMTgwNgYDVQQLDC9QcmVzdGFkb3IgQ3VhbGlmaWNhZG8gZGUgU2VydmljaW9zIGRlIENvbmZpYW56YTENMAsGA1UECgwESUNQUDELMAkGA1UEBhMCUFkwHhcNMjUwNDMwMTUyMjAwWhcNMjcwNDMwMTUyMjAwWjCBwjELMAkGA1UEBhMCUFkxNTAzBgNVBAoMLENFUlRJRklDQURPIENVQUxJRklDQURPIERFIEZJUk1BIEVMRUNUUk9OSUNBMQswCQYDVQQLDAJGMzEXMBUGA1UEBAwOR0FVVE8gTUFSSU9UVEkxGDAWBgNVBCoMD1JPRE9MRk8gSUdOQUNJTzETMBEGA1UEBRMKQ0kgMzUwODg4MzEnMCUGA1UEAwweUk9ET0xGTyBJR05BQ0lPIEdBVVRPIE1BUklPVFRJMIIBIjANBgkqhkiG9w0BAQEFAAOCAQ8AMIIBCgKCAQEA4qox2Vcm1SmO9VlrimtylnWX4KlkUUmaNgKzOsL40K1BfO4JORvF0hSUqaIJdwyRnZPyYKVwrj9vp6/AuFYG+LkiX32CDCZWc3gHFf3kfQGizCh98OVUhMxwWNJm0UzKo3KlOSV8hAVxEVFKJTt3Vkbpn8zZvoDvPcFHsDX7AZOS8sFb6HYzAyRnZfc1VJvgqZ2VyMrZsF7uI4XpOkiEgUocq7FjjjOdY5gUbru1BZYs6CGIcijJgCg6TZm4laRtP0XMLmq7UN/3+y8qe71pb85rDTOYnnNv482mAfVURznQ131ik0nLfSysK0vPzCuvPCqQMHVhMr48/PpOakiXPwIDAQABo4IF4DCCBdwwDAYDVR0TAQH/BAIwADAfBgNVHSMEGDAWgBQ4+rOXixqGZtjAyIef9GANeLY4SjCBvwYIKwYBBQUHAQEEgbIwga8wPQYIKwYBBQUHMAKGMWh0dHBzOi8vd3d3LmNvbmZpcm1hLmNvbS5weS9yZXBvc2l0b3Jpby1jb25maXJtYS8wNgYIKwYBBQUHMAGGKmh0dHA6Ly9vY3NwMS51YW5hdGFjYS5jb20vcHVibGljL3BraS9vY3NwLzA2BggrBgEFBQcwAYYqaHR0cDovL29jc3AyLnVhbmF0YWNhLmNvbS9wdWJsaWMvcGtpL29jc3AvMHAGA1UdEQRpMGeBGEdBVVRPTUFSSU9UVElS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TG0mAvbpe1nxzWD+u0wQTZr2NqezAOBgNVHQ8BAf8EBAMCBeAwDQYJKoZIhvcNAQELBQADggIBAGAqsp9KxakZSZgKvgGv8IKQxiNcbHIXYAfPB/QofhrEs+IujRWQKc5+F6nWyfopdgO5lwoTRuB+iRteoroOjqdoBN6tmhrzUzjUndVkV7R7wzPk7vkSjCt+8cMfeCVoBfuSL0CFoOItDqzk52yUpnRMxuhjTry6GH4xoQlBqMq6qzH5O+vQ8FMLGAiZDRuHOMUjk/8fUKCe6XzDV2BDvlJYkjSmNbYQUxLhCdiddjNDMFNKvD/EOkGVoe2iPegUYtgFHOJfC436cDYCKWAmLAYIc1M9CMsedcqSppVvdCaldg90jZaZ+SPjDiKLfyC8Mln9epOBsbDqfR/NIMs0ma1D4C5VcCL+Sk1dQRXq7CiY3Jxwf+o+VfmJHCsJjcN8Kz17XrKv/l2cYOuzgqimu9WGKoR8d+3jvgYE3I1yCfkaFi1ZmEGoIUhpDnTkYTed63QTx7YdATU5ebLYGv0aOniyVSd1Sov6ZUnAUClCGbtXeaNDyjlHIL5K5vCQcZjQ8wG1mGPiP+VtTh5AioG5k4PkK0qNQGa33Sh0Ej8OsGpcWh3q2/woUtw6iHtg08Dmqd0x9ncEV/YcSm1X0ZkgEvOl60EyGxWt7qErOIhoxDUc9LiZ/5Xnj+l3WuUweI5pokKyLeKM1zRRIWfSUQD3k+gjoS0K8HYwkDi3wIvzYVR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Transform>
          <Transform Algorithm="http://www.w3.org/TR/2001/REC-xml-c14n-20010315"/>
        </Transforms>
        <DigestMethod Algorithm="http://www.w3.org/2001/04/xmlenc#sha256"/>
        <DigestValue>/Ck4NrQeZAHF831xLBB7K7yeBD4HVDqFdSeGjxFIugk=</DigestValue>
      </Reference>
      <Reference URI="/xl/calcChain.xml?ContentType=application/vnd.openxmlformats-officedocument.spreadsheetml.calcChain+xml">
        <DigestMethod Algorithm="http://www.w3.org/2001/04/xmlenc#sha256"/>
        <DigestValue>+NyeNyIHrQv7x/d7NUuWQqqgB6nR5SiUKZdjjhHZnLU=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ucrTLbStQr/H2WHX3yG6MmDb0NXX+PwHVU4uUbcl8jY=</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gJN++dn2wxx/Cd6pFFOPi1CJuYShB1qNyNFMqnAERYg=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ucrTLbStQr/H2WHX3yG6MmDb0NXX+PwHVU4uUbcl8jY=</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7YsyKqJFttyEEYgq8OCabNHbiPUxlADESpJUKW5fCBk=</DigestValue>
      </Reference>
      <Reference URI="/xl/drawings/drawing1.xml?ContentType=application/vnd.openxmlformats-officedocument.drawing+xml">
        <DigestMethod Algorithm="http://www.w3.org/2001/04/xmlenc#sha256"/>
        <DigestValue>ub074ZLH8w4xlalqairs0BhLike/ijp43YfbOrzi420=</DigestValue>
      </Reference>
      <Reference URI="/xl/drawings/drawing2.xml?ContentType=application/vnd.openxmlformats-officedocument.drawing+xml">
        <DigestMethod Algorithm="http://www.w3.org/2001/04/xmlenc#sha256"/>
        <DigestValue>jSEA7QF2epsqpRqyAn5pGlelL7JhshD38KzThNyanj4=</DigestValue>
      </Reference>
      <Reference URI="/xl/drawings/drawing3.xml?ContentType=application/vnd.openxmlformats-officedocument.drawing+xml">
        <DigestMethod Algorithm="http://www.w3.org/2001/04/xmlenc#sha256"/>
        <DigestValue>w1km3rn21G8nhqvfeQQCJPmdK8nSug1i56T6Su0Ay7A=</DigestValue>
      </Reference>
      <Reference URI="/xl/drawings/drawing4.xml?ContentType=application/vnd.openxmlformats-officedocument.drawing+xml">
        <DigestMethod Algorithm="http://www.w3.org/2001/04/xmlenc#sha256"/>
        <DigestValue>Inzha6baeAKE0WuKvq0NbHcSeKHit1HfjuHs2WT/AC8=</DigestValue>
      </Reference>
      <Reference URI="/xl/drawings/drawing5.xml?ContentType=application/vnd.openxmlformats-officedocument.drawing+xml">
        <DigestMethod Algorithm="http://www.w3.org/2001/04/xmlenc#sha256"/>
        <DigestValue>Tpe4YJTEcZHjnkuwCRyvhPu/MIzXAWLSeBBMA18aXRI=</DigestValue>
      </Reference>
      <Reference URI="/xl/drawings/drawing6.xml?ContentType=application/vnd.openxmlformats-officedocument.drawing+xml">
        <DigestMethod Algorithm="http://www.w3.org/2001/04/xmlenc#sha256"/>
        <DigestValue>t0IiKkrStl/PiA8NVpK6Yzzs0p7cTjDqmZEHG31Qyng=</DigestValue>
      </Reference>
      <Reference URI="/xl/drawings/drawing7.xml?ContentType=application/vnd.openxmlformats-officedocument.drawing+xml">
        <DigestMethod Algorithm="http://www.w3.org/2001/04/xmlenc#sha256"/>
        <DigestValue>virplHJot2IoRHIXdPVnprgNPvJSCFYXhwmEbMvdtaE=</DigestValue>
      </Reference>
      <Reference URI="/xl/drawings/drawing8.xml?ContentType=application/vnd.openxmlformats-officedocument.drawing+xml">
        <DigestMethod Algorithm="http://www.w3.org/2001/04/xmlenc#sha256"/>
        <DigestValue>1BVrvUMHBLQW/qes4fhJwFjL6MIO+dw9dzaEu6di9KE=</DigestValue>
      </Reference>
      <Reference URI="/xl/drawings/vmlDrawing1.vml?ContentType=application/vnd.openxmlformats-officedocument.vmlDrawing">
        <DigestMethod Algorithm="http://www.w3.org/2001/04/xmlenc#sha256"/>
        <DigestValue>ExUTJEbNBuk1CckpWwd+8plgcmJe8qoGbB2TUFKe+kA=</DigestValue>
      </Reference>
      <Reference URI="/xl/drawings/vmlDrawing2.vml?ContentType=application/vnd.openxmlformats-officedocument.vmlDrawing">
        <DigestMethod Algorithm="http://www.w3.org/2001/04/xmlenc#sha256"/>
        <DigestValue>h2FOx/Jlq4UYa4Cpos0p40QGXDtAcRKPPYKd8I7NjvY=</DigestValue>
      </Reference>
      <Reference URI="/xl/drawings/vmlDrawing3.vml?ContentType=application/vnd.openxmlformats-officedocument.vmlDrawing">
        <DigestMethod Algorithm="http://www.w3.org/2001/04/xmlenc#sha256"/>
        <DigestValue>AA278wmMGW/Y9QsgFZqd+7Z8mopkpG53UQ93BDbx4WE=</DigestValue>
      </Reference>
      <Reference URI="/xl/drawings/vmlDrawing4.vml?ContentType=application/vnd.openxmlformats-officedocument.vmlDrawing">
        <DigestMethod Algorithm="http://www.w3.org/2001/04/xmlenc#sha256"/>
        <DigestValue>ArJYfFm9RCQzoEjHp9F2NIgGy/rbhUv/OzAFzV+JEV4=</DigestValue>
      </Reference>
      <Reference URI="/xl/drawings/vmlDrawing5.vml?ContentType=application/vnd.openxmlformats-officedocument.vmlDrawing">
        <DigestMethod Algorithm="http://www.w3.org/2001/04/xmlenc#sha256"/>
        <DigestValue>6u8vsyy6r4PKsRHLrr6eKcYZlGcnaa5JNs92G7m0x50=</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77SVdrsY4G7JRFikg775s6ndkn/5KeYu/l1XKd699gw=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XmN+S1Rb9DQwXeJhiPMr1ywuylQu67StAn77KPQ/9M4=</DigestValue>
      </Reference>
      <Reference URI="/xl/externalLinks/externalLink1.xml?ContentType=application/vnd.openxmlformats-officedocument.spreadsheetml.externalLink+xml">
        <DigestMethod Algorithm="http://www.w3.org/2001/04/xmlenc#sha256"/>
        <DigestValue>Asaf0dJqvI2CGiR4mDOs5Bz0dA7uFptOxkq8VP6/Axg=</DigestValue>
      </Reference>
      <Reference URI="/xl/externalLinks/externalLink2.xml?ContentType=application/vnd.openxmlformats-officedocument.spreadsheetml.externalLink+xml">
        <DigestMethod Algorithm="http://www.w3.org/2001/04/xmlenc#sha256"/>
        <DigestValue>MAymwNHVD9MjrQzp8QSFTGHiEzTtpA6htR4Lpqs3neg=</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henAiMKyQumysm/rmsKObYIquv2sss0Xb+LHqi1agew=</DigestValue>
      </Reference>
      <Reference URI="/xl/media/image3.emf?ContentType=image/x-emf">
        <DigestMethod Algorithm="http://www.w3.org/2001/04/xmlenc#sha256"/>
        <DigestValue>YVtsuH8bDXjJV2Dy/6lemD+B/MEJUFMlT3OBultaYYw=</DigestValue>
      </Reference>
      <Reference URI="/xl/media/image4.emf?ContentType=image/x-emf">
        <DigestMethod Algorithm="http://www.w3.org/2001/04/xmlenc#sha256"/>
        <DigestValue>aFnNK946hBo3dFBQ1iTrTWLYet31AXs15w+XcScy08U=</DigestValue>
      </Reference>
      <Reference URI="/xl/media/image5.emf?ContentType=image/x-emf">
        <DigestMethod Algorithm="http://www.w3.org/2001/04/xmlenc#sha256"/>
        <DigestValue>SGUAmXtIKfISNtJWaJhypXvQVrvZhFb92d4E5f7ZI/o=</DigestValue>
      </Reference>
      <Reference URI="/xl/media/image6.emf?ContentType=image/x-emf">
        <DigestMethod Algorithm="http://www.w3.org/2001/04/xmlenc#sha256"/>
        <DigestValue>GRQ8cc4rAjEFr9roH+f7cutoGCMFBXoxc1fwnubaFII=</DigestValue>
      </Reference>
      <Reference URI="/xl/printerSettings/printerSettings1.bin?ContentType=application/vnd.openxmlformats-officedocument.spreadsheetml.printerSettings">
        <DigestMethod Algorithm="http://www.w3.org/2001/04/xmlenc#sha256"/>
        <DigestValue>OGD3iF2+l78gTInlDCWFPycZVuHBpUE02raJ/Wr5XCI=</DigestValue>
      </Reference>
      <Reference URI="/xl/printerSettings/printerSettings10.bin?ContentType=application/vnd.openxmlformats-officedocument.spreadsheetml.printerSettings">
        <DigestMethod Algorithm="http://www.w3.org/2001/04/xmlenc#sha256"/>
        <DigestValue>8ULINyTSns7e3+F/twyhXb2p4OEI5M6paxloUp/0tKM=</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aKO8XWThzgvGlTVSu23kX37OoqtKGS6PBUkmhsicI1Y=</DigestValue>
      </Reference>
      <Reference URI="/xl/printerSettings/printerSettings14.bin?ContentType=application/vnd.openxmlformats-officedocument.spreadsheetml.printerSettings">
        <DigestMethod Algorithm="http://www.w3.org/2001/04/xmlenc#sha256"/>
        <DigestValue>aKO8XWThzgvGlTVSu23kX37OoqtKGS6PBUkmhsicI1Y=</DigestValue>
      </Reference>
      <Reference URI="/xl/printerSettings/printerSettings15.bin?ContentType=application/vnd.openxmlformats-officedocument.spreadsheetml.printerSettings">
        <DigestMethod Algorithm="http://www.w3.org/2001/04/xmlenc#sha256"/>
        <DigestValue>dw1o09s0o0lRppdgih3gsQGBOYtYP6TDvnCBQSPWvnk=</DigestValue>
      </Reference>
      <Reference URI="/xl/printerSettings/printerSettings16.bin?ContentType=application/vnd.openxmlformats-officedocument.spreadsheetml.printerSettings">
        <DigestMethod Algorithm="http://www.w3.org/2001/04/xmlenc#sha256"/>
        <DigestValue>+CD8yXTcV7R0UPktSQ1iysCJtCvCSVF2j80e6m46HpQ=</DigestValue>
      </Reference>
      <Reference URI="/xl/printerSettings/printerSettings17.bin?ContentType=application/vnd.openxmlformats-officedocument.spreadsheetml.printerSettings">
        <DigestMethod Algorithm="http://www.w3.org/2001/04/xmlenc#sha256"/>
        <DigestValue>hqnMLvZ6XBY2fH1KhK00vJXWuxlSZRWkoKrdKDrIF2Q=</DigestValue>
      </Reference>
      <Reference URI="/xl/printerSettings/printerSettings18.bin?ContentType=application/vnd.openxmlformats-officedocument.spreadsheetml.printerSettings">
        <DigestMethod Algorithm="http://www.w3.org/2001/04/xmlenc#sha256"/>
        <DigestValue>TRrCOIAvgyay9+dOHANtMRhI4Mlj24DaFIyKQoKcdPw=</DigestValue>
      </Reference>
      <Reference URI="/xl/printerSettings/printerSettings19.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tK77ymY2j+63o2PazHk01j2EtE8ZSKwdI1Ei+LUjmS0=</DigestValue>
      </Reference>
      <Reference URI="/xl/printerSettings/printerSettings20.bin?ContentType=application/vnd.openxmlformats-officedocument.spreadsheetml.printerSettings">
        <DigestMethod Algorithm="http://www.w3.org/2001/04/xmlenc#sha256"/>
        <DigestValue>TRrCOIAvgyay9+dOHANtMRhI4Mlj24DaFIyKQoKcdPw=</DigestValue>
      </Reference>
      <Reference URI="/xl/printerSettings/printerSettings21.bin?ContentType=application/vnd.openxmlformats-officedocument.spreadsheetml.printerSettings">
        <DigestMethod Algorithm="http://www.w3.org/2001/04/xmlenc#sha256"/>
        <DigestValue>OGD3iF2+l78gTInlDCWFPycZVuHBpUE02raJ/Wr5XCI=</DigestValue>
      </Reference>
      <Reference URI="/xl/printerSettings/printerSettings22.bin?ContentType=application/vnd.openxmlformats-officedocument.spreadsheetml.printerSettings">
        <DigestMethod Algorithm="http://www.w3.org/2001/04/xmlenc#sha256"/>
        <DigestValue>GyyR84UYFfbFvVrs+ip9vPggIMAXC0nxkmeUVNsGxCc=</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ZVxXhJn6XmjT/m1Dw2UhwYZPVXYMSYE+DUFTlsgHV4s=</DigestValue>
      </Reference>
      <Reference URI="/xl/printerSettings/printerSettings25.bin?ContentType=application/vnd.openxmlformats-officedocument.spreadsheetml.printerSettings">
        <DigestMethod Algorithm="http://www.w3.org/2001/04/xmlenc#sha256"/>
        <DigestValue>ZVxXhJn6XmjT/m1Dw2UhwYZPVXYMSYE+DUFTlsgHV4s=</DigestValue>
      </Reference>
      <Reference URI="/xl/printerSettings/printerSettings26.bin?ContentType=application/vnd.openxmlformats-officedocument.spreadsheetml.printerSettings">
        <DigestMethod Algorithm="http://www.w3.org/2001/04/xmlenc#sha256"/>
        <DigestValue>ZVxXhJn6XmjT/m1Dw2UhwYZPVXYMSYE+DUFTlsgHV4s=</DigestValue>
      </Reference>
      <Reference URI="/xl/printerSettings/printerSettings27.bin?ContentType=application/vnd.openxmlformats-officedocument.spreadsheetml.printerSettings">
        <DigestMethod Algorithm="http://www.w3.org/2001/04/xmlenc#sha256"/>
        <DigestValue>ZVxXhJn6XmjT/m1Dw2UhwYZPVXYMSYE+DUFTlsgHV4s=</DigestValue>
      </Reference>
      <Reference URI="/xl/printerSettings/printerSettings28.bin?ContentType=application/vnd.openxmlformats-officedocument.spreadsheetml.printerSettings">
        <DigestMethod Algorithm="http://www.w3.org/2001/04/xmlenc#sha256"/>
        <DigestValue>ZVxXhJn6XmjT/m1Dw2UhwYZPVXYMSYE+DUFTlsgHV4s=</DigestValue>
      </Reference>
      <Reference URI="/xl/printerSettings/printerSettings29.bin?ContentType=application/vnd.openxmlformats-officedocument.spreadsheetml.printerSettings">
        <DigestMethod Algorithm="http://www.w3.org/2001/04/xmlenc#sha256"/>
        <DigestValue>ZVxXhJn6XmjT/m1Dw2UhwYZPVXYMSYE+DUFTlsgHV4s=</DigestValue>
      </Reference>
      <Reference URI="/xl/printerSettings/printerSettings3.bin?ContentType=application/vnd.openxmlformats-officedocument.spreadsheetml.printerSettings">
        <DigestMethod Algorithm="http://www.w3.org/2001/04/xmlenc#sha256"/>
        <DigestValue>etcbSocZ+fnLsUbJz0LkI2IH94+TEQQYef5apUBQ778=</DigestValue>
      </Reference>
      <Reference URI="/xl/printerSettings/printerSettings30.bin?ContentType=application/vnd.openxmlformats-officedocument.spreadsheetml.printerSettings">
        <DigestMethod Algorithm="http://www.w3.org/2001/04/xmlenc#sha256"/>
        <DigestValue>QYEL4KgfVDON32G6gR2kYQY44f245JdSxX29nAOa8qU=</DigestValue>
      </Reference>
      <Reference URI="/xl/printerSettings/printerSettings4.bin?ContentType=application/vnd.openxmlformats-officedocument.spreadsheetml.printerSettings">
        <DigestMethod Algorithm="http://www.w3.org/2001/04/xmlenc#sha256"/>
        <DigestValue>8ULINyTSns7e3+F/twyhXb2p4OEI5M6paxloUp/0tKM=</DigestValue>
      </Reference>
      <Reference URI="/xl/printerSettings/printerSettings5.bin?ContentType=application/vnd.openxmlformats-officedocument.spreadsheetml.printerSettings">
        <DigestMethod Algorithm="http://www.w3.org/2001/04/xmlenc#sha256"/>
        <DigestValue>8ULINyTSns7e3+F/twyhXb2p4OEI5M6paxloUp/0tKM=</DigestValue>
      </Reference>
      <Reference URI="/xl/printerSettings/printerSettings6.bin?ContentType=application/vnd.openxmlformats-officedocument.spreadsheetml.printerSettings">
        <DigestMethod Algorithm="http://www.w3.org/2001/04/xmlenc#sha256"/>
        <DigestValue>8ULINyTSns7e3+F/twyhXb2p4OEI5M6paxloUp/0tKM=</DigestValue>
      </Reference>
      <Reference URI="/xl/printerSettings/printerSettings7.bin?ContentType=application/vnd.openxmlformats-officedocument.spreadsheetml.printerSettings">
        <DigestMethod Algorithm="http://www.w3.org/2001/04/xmlenc#sha256"/>
        <DigestValue>8ULINyTSns7e3+F/twyhXb2p4OEI5M6paxloUp/0tKM=</DigestValue>
      </Reference>
      <Reference URI="/xl/printerSettings/printerSettings8.bin?ContentType=application/vnd.openxmlformats-officedocument.spreadsheetml.printerSettings">
        <DigestMethod Algorithm="http://www.w3.org/2001/04/xmlenc#sha256"/>
        <DigestValue>8ULINyTSns7e3+F/twyhXb2p4OEI5M6paxloUp/0tKM=</DigestValue>
      </Reference>
      <Reference URI="/xl/printerSettings/printerSettings9.bin?ContentType=application/vnd.openxmlformats-officedocument.spreadsheetml.printerSettings">
        <DigestMethod Algorithm="http://www.w3.org/2001/04/xmlenc#sha256"/>
        <DigestValue>8ULINyTSns7e3+F/twyhXb2p4OEI5M6paxloUp/0tKM=</DigestValue>
      </Reference>
      <Reference URI="/xl/sharedStrings.xml?ContentType=application/vnd.openxmlformats-officedocument.spreadsheetml.sharedStrings+xml">
        <DigestMethod Algorithm="http://www.w3.org/2001/04/xmlenc#sha256"/>
        <DigestValue>V/w+UFDuoKCaMO9SSgiqgdegozZgbqeeTZ78vhxZs4Y=</DigestValue>
      </Reference>
      <Reference URI="/xl/styles.xml?ContentType=application/vnd.openxmlformats-officedocument.spreadsheetml.styles+xml">
        <DigestMethod Algorithm="http://www.w3.org/2001/04/xmlenc#sha256"/>
        <DigestValue>z/eeshVk+brcI+H+/v+xG/3T6WFPSRAeaKjEIgLbkPc=</DigestValue>
      </Reference>
      <Reference URI="/xl/tables/table1.xml?ContentType=application/vnd.openxmlformats-officedocument.spreadsheetml.table+xml">
        <DigestMethod Algorithm="http://www.w3.org/2001/04/xmlenc#sha256"/>
        <DigestValue>QTRSFVlS4HnbP6Y2+j++lvSrT1G6wMfxJrt66Q3MxtU=</DigestValue>
      </Reference>
      <Reference URI="/xl/tables/table2.xml?ContentType=application/vnd.openxmlformats-officedocument.spreadsheetml.table+xml">
        <DigestMethod Algorithm="http://www.w3.org/2001/04/xmlenc#sha256"/>
        <DigestValue>IKN1IhsRr9HunQR58XkrS2sj34eYQN7uwQ3Oy8wQ0eI=</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Iod+Xl9RCPODBPIpko8c6sQtIg/QuqibY8/4p+Z/JNc=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jDc0sWYJkR/CBrRak8ingqluwJ7oQsCcOInX+LVxKvE=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pZw3bSadmKfHZZmptVaCzS0QUOVcJ//YwG7scJq0pf8=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Mnq392zy7n/68NDdV/yytQb7iuJvY10PdgkI8Mb+g6k=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ucQ64hiB/nP1Fi8WKz3Th1kdZisK8aGhJEPJfohLxM8=</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Tli28rN8igOjzPasqezpYxpfwxhNMdfjzhfnghEdtVc=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iCVOH+dXPW5Yow03OFzE3KFxd7gLMdb90NF1eBlmABk=</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zgur8m8h3dHGUIjwiYWUwhCf0M5q1vRr8/fpz0BeqjQ=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7K0RfRaSjDP6tX2AJJpMSRjcmHBmC4suCih810VKQKE=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YJfbdRjw9jzDIHxg9lF8IV5su7pXZUZ3BubXlm6sSbI=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N8qijj8WXJ10YGO5eKPxvirB/H7N/Cb0D2n1Mzyaryo=</DigestValue>
      </Reference>
      <Reference URI="/xl/worksheets/sheet1.xml?ContentType=application/vnd.openxmlformats-officedocument.spreadsheetml.worksheet+xml">
        <DigestMethod Algorithm="http://www.w3.org/2001/04/xmlenc#sha256"/>
        <DigestValue>RQrBSlri31PMwZlIl5U8oN6J/gyebqTN0C1tnBaPr1M=</DigestValue>
      </Reference>
      <Reference URI="/xl/worksheets/sheet10.xml?ContentType=application/vnd.openxmlformats-officedocument.spreadsheetml.worksheet+xml">
        <DigestMethod Algorithm="http://www.w3.org/2001/04/xmlenc#sha256"/>
        <DigestValue>VdSSMhq7PPyGTGDw8th3UTvOa3U89Ih1rcKsbGp6WEc=</DigestValue>
      </Reference>
      <Reference URI="/xl/worksheets/sheet11.xml?ContentType=application/vnd.openxmlformats-officedocument.spreadsheetml.worksheet+xml">
        <DigestMethod Algorithm="http://www.w3.org/2001/04/xmlenc#sha256"/>
        <DigestValue>tvzKKq8EPOADTa94CUdCYmoZ4T6lnIZpEmf/8HsdSIo=</DigestValue>
      </Reference>
      <Reference URI="/xl/worksheets/sheet2.xml?ContentType=application/vnd.openxmlformats-officedocument.spreadsheetml.worksheet+xml">
        <DigestMethod Algorithm="http://www.w3.org/2001/04/xmlenc#sha256"/>
        <DigestValue>R7gGbROsq8wtNMf9wb9NhnoX7CbE0LKzExehQybw3Z8=</DigestValue>
      </Reference>
      <Reference URI="/xl/worksheets/sheet3.xml?ContentType=application/vnd.openxmlformats-officedocument.spreadsheetml.worksheet+xml">
        <DigestMethod Algorithm="http://www.w3.org/2001/04/xmlenc#sha256"/>
        <DigestValue>t7XEAo8Uy0vjd/DJ2C4BITc81JYXlBr/JkVguL11LaQ=</DigestValue>
      </Reference>
      <Reference URI="/xl/worksheets/sheet4.xml?ContentType=application/vnd.openxmlformats-officedocument.spreadsheetml.worksheet+xml">
        <DigestMethod Algorithm="http://www.w3.org/2001/04/xmlenc#sha256"/>
        <DigestValue>cEnOJfsnp/NBRY+3I/VQDmCO7RMEqgGuf8UEqrDuCIU=</DigestValue>
      </Reference>
      <Reference URI="/xl/worksheets/sheet5.xml?ContentType=application/vnd.openxmlformats-officedocument.spreadsheetml.worksheet+xml">
        <DigestMethod Algorithm="http://www.w3.org/2001/04/xmlenc#sha256"/>
        <DigestValue>EswEMBCM4zdmW1cMOh7rkhk8swYW2MNO2WQBh8M1rRc=</DigestValue>
      </Reference>
      <Reference URI="/xl/worksheets/sheet6.xml?ContentType=application/vnd.openxmlformats-officedocument.spreadsheetml.worksheet+xml">
        <DigestMethod Algorithm="http://www.w3.org/2001/04/xmlenc#sha256"/>
        <DigestValue>D58Ad9xw9rLp8vtfuoXZKREoJCKBX5r+HJLMNlecAok=</DigestValue>
      </Reference>
      <Reference URI="/xl/worksheets/sheet7.xml?ContentType=application/vnd.openxmlformats-officedocument.spreadsheetml.worksheet+xml">
        <DigestMethod Algorithm="http://www.w3.org/2001/04/xmlenc#sha256"/>
        <DigestValue>gSn74GrP21z2K652QtORivHMqG62kbL+N6pM0KMuNoM=</DigestValue>
      </Reference>
      <Reference URI="/xl/worksheets/sheet8.xml?ContentType=application/vnd.openxmlformats-officedocument.spreadsheetml.worksheet+xml">
        <DigestMethod Algorithm="http://www.w3.org/2001/04/xmlenc#sha256"/>
        <DigestValue>RHD7ig3kB2XIS94P7M7laThHUC2ZEnlItLh4CQ8e2cA=</DigestValue>
      </Reference>
      <Reference URI="/xl/worksheets/sheet9.xml?ContentType=application/vnd.openxmlformats-officedocument.spreadsheetml.worksheet+xml">
        <DigestMethod Algorithm="http://www.w3.org/2001/04/xmlenc#sha256"/>
        <DigestValue>NbdLLWXsZdwhOiIfvFm/hDyLJl0+E1xl/cjBrRt6I8I=</DigestValue>
      </Reference>
    </Manifest>
    <SignatureProperties>
      <SignatureProperty Id="idSignatureTime" Target="#idPackageSignature">
        <mdssi:SignatureTime xmlns:mdssi="http://schemas.openxmlformats.org/package/2006/digital-signature">
          <mdssi:Format>YYYY-MM-DDThh:mm:ssTZD</mdssi:Format>
          <mdssi:Value>2026-08-13T17:44:42Z</mdssi:Value>
        </mdssi:SignatureTime>
      </SignatureProperty>
    </SignatureProperties>
  </Object>
  <Object Id="idOfficeObject">
    <SignatureProperties>
      <SignatureProperty Id="idOfficeV1Details" Target="#idPackageSignature">
        <SignatureInfoV1 xmlns="http://schemas.microsoft.com/office/2006/digsig">
          <SetupID>{25E4D83A-BBC1-46C4-9DC6-70DD14979E58}</SetupID>
          <SignatureText>Rodolfo Gauto</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2026-08-13T17:44:42Z</xd:SigningTime>
          <xd:SigningCertificate>
            <xd:Cert>
              <xd:CertDigest>
                <DigestMethod Algorithm="http://www.w3.org/2001/04/xmlenc#sha256"/>
                <DigestValue>WfscYALnhvg2pBPqkXRM09ecBSYUcWCJWQ3KvWp2wzE=</DigestValue>
              </xd:CertDigest>
              <xd:IssuerSerial>
                <X509IssuerName>C=PY, O=ICPP, OU=Prestador Cualificado de Servicios de Confianza, SERIALNUMBER=RUC 80113823-0, CN=CONFIRMA S.A.</X509IssuerName>
                <X509SerialNumber>2998039560924145427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uzCCBaOgAwIBAgIQR0iwnd34CQJkdMw24JuyvzANBgkqhkiG9w0BAQsFADBvMQswCQYDVQQGEwJQWTErMCkGA1UECgwiTWluaXN0ZXJpbyBkZSBJbmR1c3RyaWEgeSBDb21lcmNpbzEzMDEGA1UEAwwqQXV0b3JpZGFkIENlcnRpZmljYWRvcmEgUmHDrXogZGVsIFBhcmFndWF5MB4XDTIzMDUyOTE2MDA1M1oXDTMyMDUyOTE2MDA1M1owgYcxFjAUBgNVBAMMDUNPTkZJUk1BIFMuQS4xFzAVBgNVBAUTDlJVQyA4MDExMzgyMy0wMTgwNgYDVQQLDC9QcmVzdGFkb3IgQ3VhbGlmaWNhZG8gZGUgU2VydmljaW9zIGRlIENvbmZpYW56YTENMAsGA1UECgwESUNQUDELMAkGA1UEBhMCUFkwggIiMA0GCSqGSIb3DQEBAQUAA4ICDwAwggIKAoICAQC0bqndckSA1NBd4+H1LL1QQ+/Hte8E8GIc+Cl2IWx8XVCIbH4D8r9ZZNB/GD7Sa0JVTyFxeXXn6+qLhbFsE5yrHM5y9+U7rri0xSx/iuudjmrSePO3cEQrQe0amoCtieY+nEjMxJ6RJzQRacE6Smyoa9VRsAo8R/kiIwUq9YJ1sIA7CKByQnxxxhmOriNx/ke52RI3s7HM4Bp0t03dwnAC0f/efuXeyEevLe1wpAuznk2AU6+RtXtZ8Y+l2pIY8GVl1e4Jqf4/5OlZtakorZlJSwpUm1bkkeqEKPESds6XEw0h7N/mn1irpen2FH86E0lZNfqWNTNv58cQnTkTzNprAPSc6tmIz8OikMKjxwtO3Q9cgykfEdSBM23SWnlPav4WmXB7ADPSSrhmC0r51BDLigTHAiz/dbByBWmAnFKXcxil9fqAlzPE89VXnvETfcyJsK9cdLviVuDSztXVQnh0UoUeMwEICDcU0/HuSgV6FP1gl7TU1UZofBwQeilFtx0prQ5xTzP4fax84YoYPxg6QBJvzmA5vtKVUiQgA0x1dRC0nocV/venOlGho6CI9Fddu/kz6/VcHVjTuA/6Ammc9fyGydqchjWrUYOEbQxA6BGCzJu8j4c2yr6QIqG4mEtw415YSx4Az0oX+jrguZNaZyCEkbCvNopq2iXxmHjJZwIDAQABo4ICODCCAjQwEgYDVR0TAQH/BAgwBgEB/wIBADAOBgNVHQ8BAf8EBAMCAQYwHQYDVR0OBBYEFDj6s5eLGoZm2MDIh5/0YA14tjhKMB8GA1UdIwQYMBaAFMLEEfIqaEQMACjsTNYp25L7Xr3WMIG/BggrBgEFBQcBAQSBsjCBrzA/BggrBgEFBQcwAoYzaHR0cHM6Ly93d3cuYWNyYWl6Lmdvdi5weS9jcnQvYWNfcmFpel9weV9zaGEyNTYuY3J0MDUGCCsGAQUFBzABhilodHRwOi8vb2NzcDEudWFuYXRhY2EuY29tL3B1YmxpYy9wa2kvb2NzcDA1BggrBgEFBQcwAYYpaHR0cDovL29jc3AyLnVhbmF0YWNhLmNvbS9wdWJsaWMvcGtpL29jc3Awgc0GA1UdIASBxTCBwjCBvwYDVR0gMIG3MDkGCCsGAQUFBwIBFi1odHRwczovL3d3dy5hY3JhaXouZ292LnB5L2RwYy9ET0MtSUNQUC0wMS5wZGYwegYIKwYBBQUHAgIwbhpsU3VqZXRvIGEgbGFzIGNvbmRpY2lvbmVzIGRlIHVzbyBleHB1ZXN0YXMgZW4gbGEgRGVjbGFyYWNp824gZGUgUHLhY3RpY2FzIGRlIENlcnRpZmljYWNp824gZGUgbGEgQUMgUmHteiAtIFB5MDwGA1UdHwQ1MDMwMaAvoC2GK2h0dHA6Ly93d3cuYWNyYWl6Lmdvdi5weS9hcmwvYWNfcmFpel9weS5jcmwwDQYJKoZIhvcNAQELBQADggIBAA07dHHEcpym5vkGd32nxzPS89zx8Xa8SEDflnGlw4tskpQoZeRUDMG4GxVDEyrG8KARysYyOZ6lQ1r0BkDhsiB1rsZZAiLBhmFNyd8+8IELQGgHk3uC2YzCT95pw+mkp02Lah9ObIcsRh4tYd6ZBiVzFC3FcwPktSK3ZecQrRxqJm17dx+k5a5xM5HQDjXcy5YteFGiaDDZV0FYCNNIWxzyaFd4bYwXbolAOOkbz0rRZghR3Ya5OpF0rCwtdF7+8c4nfvV0N/4iZ2BM9YVTuz8kEMzG8ee4q8zlhuS6DKkxmhIinEtVfX9H/XVc4n4Q7qimA2sQS0Y6Ra+zz6ojCJuKVDHsYUgxJU6MkkhKmDewGIWnlCPxJxv5MCsOfwU9pUCAZG8SqjzXIgKa15oKKuXHgVUkEg+/ItTlVL13y4QOgdJlG0t91UjiQ3AUzG98Hi5hotHQHDb1poRJj8rRUTXw+9kkuKVitNZgJE2lfmCyO4yTkhT/QgWVAFIm+Kfd3qZ3z7NYDhrfXjRlGsHj2fTy4Swbt6xuaA1LIMPXD22t0mK+LTazNudJgwygtBQTOA3129nUBLnhpoarU6gmquGKjjbNtVObJbFbwVHgM4EcaIVOaIs/KrtBwrUG9ShTQM9BSbB+xq3bKUIlCKwtaltCjsPV+oKq/WYXEGKTQj7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JYBAAC/AAAAAAAAAAAAAAACGQAA0AsAACBFTUYAAAEAoBsAAKo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QAAfEEfAQAABgAAAAkAAABMAAAAAAAAAAAAAAAAAAAA//////////9gAAAAMQAzAC8AOAAvADIAMAAyADYAAAAJAAAACQAAAAYAAAAJAAAABgAAAAkAAAAJAAAACQAAAAk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Object Id="idInvalidSigLnImg">AQAAAGwAAAAAAAAAAAAAAJYBAAC/AAAAAAAAAAAAAAACGQAA0AsAACBFTUYAAAEAoCQAALE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QAAfEFDAAAABgAAAA8AAABMAAAAAAAAAAAAAAAAAAAA//////////9sAAAARgBpAHIAbQBhACAAbgBvACAAdgDhAGwAaQBkAGEAAAAIAAAABAAAAAYAAAAOAAAACAAAAAQAAAAJAAAACQAAAAQAAAAIAAAACAAAAAQAAAAEAAAACQAAAAg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Signature>
</file>

<file path=_xmlsignatures/sig8.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wtAwc3JtMdsduPqNyx31EMZoJ5p36JKCAqE2u0RHIUY=</DigestValue>
    </Reference>
    <Reference Type="http://www.w3.org/2000/09/xmldsig#Object" URI="#idOfficeObject">
      <DigestMethod Algorithm="http://www.w3.org/2001/04/xmlenc#sha256"/>
      <DigestValue>fP44Q0LEOJUG/wAx3ZjmVOcCMnQ1xbr8dQPuYEGopE0=</DigestValue>
    </Reference>
    <Reference Type="http://uri.etsi.org/01903#SignedProperties" URI="#idSignedProperties">
      <Transforms>
        <Transform Algorithm="http://www.w3.org/TR/2001/REC-xml-c14n-20010315"/>
      </Transforms>
      <DigestMethod Algorithm="http://www.w3.org/2001/04/xmlenc#sha256"/>
      <DigestValue>PeS8szRg4WFJWm1JkYMzy9wGrkDufhgfJTj+AEtxe58=</DigestValue>
    </Reference>
    <Reference Type="http://www.w3.org/2000/09/xmldsig#Object" URI="#idValidSigLnImg">
      <DigestMethod Algorithm="http://www.w3.org/2001/04/xmlenc#sha256"/>
      <DigestValue>Jh3tziakw2YFjmN8sr16Jqws4mpJT38tmYjrORDGvsg=</DigestValue>
    </Reference>
    <Reference Type="http://www.w3.org/2000/09/xmldsig#Object" URI="#idInvalidSigLnImg">
      <DigestMethod Algorithm="http://www.w3.org/2001/04/xmlenc#sha256"/>
      <DigestValue>6lX5xGz+09Ws28hoP4VVfof4t/oj8SVKAngYRvfLqoA=</DigestValue>
    </Reference>
  </SignedInfo>
  <SignatureValue>zz7QKN1pMV0CsEjmPLuRsB9GGyvVX9Rmht8M16wuCbfKzKDhxoqn0Dl8IpN6nQl//QT5cuDsc2u/
WP+ti+u+a22DbZj1qlUJFOTuZZH99bN9WJtoePlnSraJfxWDtn7IAcLwnUTFGp/NQWd5+0WwUYON
Hptd+Oce3G/yx+/cCuQlkfL2eSDFh1ZLxTaBkiKIBfWwSFgFvZVhfMxLQIqLLg95C3bmjf9wFyFH
Lov6V9X8t4bqXcKPhSfDXpUv1HsX2OSTBw+pcYkVNr8uo3HuI0KmKme+c3+ibVNBvmQlw3F14u+O
SfcBZikiFuqqv7aPL9EDfLpx9cEj3GIO1qR+Rw==</SignatureValue>
  <KeyInfo>
    <X509Data>
      <X509Certificate>MIIKrzCCCJegAwIBAgIIKZstGKtzpxMwDQYJKoZIhvcNAQELBQAwgYcxFjAUBgNVBAMMDUNPTkZJUk1BIFMuQS4xFzAVBgNVBAUTDlJVQyA4MDExMzgyMy0wMTgwNgYDVQQLDC9QcmVzdGFkb3IgQ3VhbGlmaWNhZG8gZGUgU2VydmljaW9zIGRlIENvbmZpYW56YTENMAsGA1UECgwESUNQUDELMAkGA1UEBhMCUFkwHhcNMjUwNDMwMTUyMjAwWhcNMjcwNDMwMTUyMjAwWjCBwjELMAkGA1UEBhMCUFkxNTAzBgNVBAoMLENFUlRJRklDQURPIENVQUxJRklDQURPIERFIEZJUk1BIEVMRUNUUk9OSUNBMQswCQYDVQQLDAJGMzEXMBUGA1UEBAwOR0FVVE8gTUFSSU9UVEkxGDAWBgNVBCoMD1JPRE9MRk8gSUdOQUNJTzETMBEGA1UEBRMKQ0kgMzUwODg4MzEnMCUGA1UEAwweUk9ET0xGTyBJR05BQ0lPIEdBVVRPIE1BUklPVFRJMIIBIjANBgkqhkiG9w0BAQEFAAOCAQ8AMIIBCgKCAQEA4qox2Vcm1SmO9VlrimtylnWX4KlkUUmaNgKzOsL40K1BfO4JORvF0hSUqaIJdwyRnZPyYKVwrj9vp6/AuFYG+LkiX32CDCZWc3gHFf3kfQGizCh98OVUhMxwWNJm0UzKo3KlOSV8hAVxEVFKJTt3Vkbpn8zZvoDvPcFHsDX7AZOS8sFb6HYzAyRnZfc1VJvgqZ2VyMrZsF7uI4XpOkiEgUocq7FjjjOdY5gUbru1BZYs6CGIcijJgCg6TZm4laRtP0XMLmq7UN/3+y8qe71pb85rDTOYnnNv482mAfVURznQ131ik0nLfSysK0vPzCuvPCqQMHVhMr48/PpOakiXPwIDAQABo4IF4DCCBdwwDAYDVR0TAQH/BAIwADAfBgNVHSMEGDAWgBQ4+rOXixqGZtjAyIef9GANeLY4SjCBvwYIKwYBBQUHAQEEgbIwga8wPQYIKwYBBQUHMAKGMWh0dHBzOi8vd3d3LmNvbmZpcm1hLmNvbS5weS9yZXBvc2l0b3Jpby1jb25maXJtYS8wNgYIKwYBBQUHMAGGKmh0dHA6Ly9vY3NwMS51YW5hdGFjYS5jb20vcHVibGljL3BraS9vY3NwLzA2BggrBgEFBQcwAYYqaHR0cDovL29jc3AyLnVhbmF0YWNhLmNvbS9wdWJsaWMvcGtpL29jc3AvMHAGA1UdEQRpMGeBGEdBVVRPTUFSSU9UVElS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TG0mAvbpe1nxzWD+u0wQTZr2NqezAOBgNVHQ8BAf8EBAMCBeAwDQYJKoZIhvcNAQELBQADggIBAGAqsp9KxakZSZgKvgGv8IKQxiNcbHIXYAfPB/QofhrEs+IujRWQKc5+F6nWyfopdgO5lwoTRuB+iRteoroOjqdoBN6tmhrzUzjUndVkV7R7wzPk7vkSjCt+8cMfeCVoBfuSL0CFoOItDqzk52yUpnRMxuhjTry6GH4xoQlBqMq6qzH5O+vQ8FMLGAiZDRuHOMUjk/8fUKCe6XzDV2BDvlJYkjSmNbYQUxLhCdiddjNDMFNKvD/EOkGVoe2iPegUYtgFHOJfC436cDYCKWAmLAYIc1M9CMsedcqSppVvdCaldg90jZaZ+SPjDiKLfyC8Mln9epOBsbDqfR/NIMs0ma1D4C5VcCL+Sk1dQRXq7CiY3Jxwf+o+VfmJHCsJjcN8Kz17XrKv/l2cYOuzgqimu9WGKoR8d+3jvgYE3I1yCfkaFi1ZmEGoIUhpDnTkYTed63QTx7YdATU5ebLYGv0aOniyVSd1Sov6ZUnAUClCGbtXeaNDyjlHIL5K5vCQcZjQ8wG1mGPiP+VtTh5AioG5k4PkK0qNQGa33Sh0Ej8OsGpcWh3q2/woUtw6iHtg08Dmqd0x9ncEV/YcSm1X0ZkgEvOl60EyGxWt7qErOIhoxDUc9LiZ/5Xnj+l3WuUweI5pokKyLeKM1zRRIWfSUQD3k+gjoS0K8HYwkDi3wIvzYVR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Transform>
          <Transform Algorithm="http://www.w3.org/TR/2001/REC-xml-c14n-20010315"/>
        </Transforms>
        <DigestMethod Algorithm="http://www.w3.org/2001/04/xmlenc#sha256"/>
        <DigestValue>/Ck4NrQeZAHF831xLBB7K7yeBD4HVDqFdSeGjxFIugk=</DigestValue>
      </Reference>
      <Reference URI="/xl/calcChain.xml?ContentType=application/vnd.openxmlformats-officedocument.spreadsheetml.calcChain+xml">
        <DigestMethod Algorithm="http://www.w3.org/2001/04/xmlenc#sha256"/>
        <DigestValue>+NyeNyIHrQv7x/d7NUuWQqqgB6nR5SiUKZdjjhHZnLU=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ucrTLbStQr/H2WHX3yG6MmDb0NXX+PwHVU4uUbcl8jY=</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gJN++dn2wxx/Cd6pFFOPi1CJuYShB1qNyNFMqnAERYg=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ucrTLbStQr/H2WHX3yG6MmDb0NXX+PwHVU4uUbcl8jY=</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7YsyKqJFttyEEYgq8OCabNHbiPUxlADESpJUKW5fCBk=</DigestValue>
      </Reference>
      <Reference URI="/xl/drawings/drawing1.xml?ContentType=application/vnd.openxmlformats-officedocument.drawing+xml">
        <DigestMethod Algorithm="http://www.w3.org/2001/04/xmlenc#sha256"/>
        <DigestValue>ub074ZLH8w4xlalqairs0BhLike/ijp43YfbOrzi420=</DigestValue>
      </Reference>
      <Reference URI="/xl/drawings/drawing2.xml?ContentType=application/vnd.openxmlformats-officedocument.drawing+xml">
        <DigestMethod Algorithm="http://www.w3.org/2001/04/xmlenc#sha256"/>
        <DigestValue>jSEA7QF2epsqpRqyAn5pGlelL7JhshD38KzThNyanj4=</DigestValue>
      </Reference>
      <Reference URI="/xl/drawings/drawing3.xml?ContentType=application/vnd.openxmlformats-officedocument.drawing+xml">
        <DigestMethod Algorithm="http://www.w3.org/2001/04/xmlenc#sha256"/>
        <DigestValue>w1km3rn21G8nhqvfeQQCJPmdK8nSug1i56T6Su0Ay7A=</DigestValue>
      </Reference>
      <Reference URI="/xl/drawings/drawing4.xml?ContentType=application/vnd.openxmlformats-officedocument.drawing+xml">
        <DigestMethod Algorithm="http://www.w3.org/2001/04/xmlenc#sha256"/>
        <DigestValue>Inzha6baeAKE0WuKvq0NbHcSeKHit1HfjuHs2WT/AC8=</DigestValue>
      </Reference>
      <Reference URI="/xl/drawings/drawing5.xml?ContentType=application/vnd.openxmlformats-officedocument.drawing+xml">
        <DigestMethod Algorithm="http://www.w3.org/2001/04/xmlenc#sha256"/>
        <DigestValue>Tpe4YJTEcZHjnkuwCRyvhPu/MIzXAWLSeBBMA18aXRI=</DigestValue>
      </Reference>
      <Reference URI="/xl/drawings/drawing6.xml?ContentType=application/vnd.openxmlformats-officedocument.drawing+xml">
        <DigestMethod Algorithm="http://www.w3.org/2001/04/xmlenc#sha256"/>
        <DigestValue>t0IiKkrStl/PiA8NVpK6Yzzs0p7cTjDqmZEHG31Qyng=</DigestValue>
      </Reference>
      <Reference URI="/xl/drawings/drawing7.xml?ContentType=application/vnd.openxmlformats-officedocument.drawing+xml">
        <DigestMethod Algorithm="http://www.w3.org/2001/04/xmlenc#sha256"/>
        <DigestValue>virplHJot2IoRHIXdPVnprgNPvJSCFYXhwmEbMvdtaE=</DigestValue>
      </Reference>
      <Reference URI="/xl/drawings/drawing8.xml?ContentType=application/vnd.openxmlformats-officedocument.drawing+xml">
        <DigestMethod Algorithm="http://www.w3.org/2001/04/xmlenc#sha256"/>
        <DigestValue>1BVrvUMHBLQW/qes4fhJwFjL6MIO+dw9dzaEu6di9KE=</DigestValue>
      </Reference>
      <Reference URI="/xl/drawings/vmlDrawing1.vml?ContentType=application/vnd.openxmlformats-officedocument.vmlDrawing">
        <DigestMethod Algorithm="http://www.w3.org/2001/04/xmlenc#sha256"/>
        <DigestValue>ExUTJEbNBuk1CckpWwd+8plgcmJe8qoGbB2TUFKe+kA=</DigestValue>
      </Reference>
      <Reference URI="/xl/drawings/vmlDrawing2.vml?ContentType=application/vnd.openxmlformats-officedocument.vmlDrawing">
        <DigestMethod Algorithm="http://www.w3.org/2001/04/xmlenc#sha256"/>
        <DigestValue>h2FOx/Jlq4UYa4Cpos0p40QGXDtAcRKPPYKd8I7NjvY=</DigestValue>
      </Reference>
      <Reference URI="/xl/drawings/vmlDrawing3.vml?ContentType=application/vnd.openxmlformats-officedocument.vmlDrawing">
        <DigestMethod Algorithm="http://www.w3.org/2001/04/xmlenc#sha256"/>
        <DigestValue>AA278wmMGW/Y9QsgFZqd+7Z8mopkpG53UQ93BDbx4WE=</DigestValue>
      </Reference>
      <Reference URI="/xl/drawings/vmlDrawing4.vml?ContentType=application/vnd.openxmlformats-officedocument.vmlDrawing">
        <DigestMethod Algorithm="http://www.w3.org/2001/04/xmlenc#sha256"/>
        <DigestValue>ArJYfFm9RCQzoEjHp9F2NIgGy/rbhUv/OzAFzV+JEV4=</DigestValue>
      </Reference>
      <Reference URI="/xl/drawings/vmlDrawing5.vml?ContentType=application/vnd.openxmlformats-officedocument.vmlDrawing">
        <DigestMethod Algorithm="http://www.w3.org/2001/04/xmlenc#sha256"/>
        <DigestValue>6u8vsyy6r4PKsRHLrr6eKcYZlGcnaa5JNs92G7m0x50=</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77SVdrsY4G7JRFikg775s6ndkn/5KeYu/l1XKd699gw=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XmN+S1Rb9DQwXeJhiPMr1ywuylQu67StAn77KPQ/9M4=</DigestValue>
      </Reference>
      <Reference URI="/xl/externalLinks/externalLink1.xml?ContentType=application/vnd.openxmlformats-officedocument.spreadsheetml.externalLink+xml">
        <DigestMethod Algorithm="http://www.w3.org/2001/04/xmlenc#sha256"/>
        <DigestValue>Asaf0dJqvI2CGiR4mDOs5Bz0dA7uFptOxkq8VP6/Axg=</DigestValue>
      </Reference>
      <Reference URI="/xl/externalLinks/externalLink2.xml?ContentType=application/vnd.openxmlformats-officedocument.spreadsheetml.externalLink+xml">
        <DigestMethod Algorithm="http://www.w3.org/2001/04/xmlenc#sha256"/>
        <DigestValue>MAymwNHVD9MjrQzp8QSFTGHiEzTtpA6htR4Lpqs3neg=</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henAiMKyQumysm/rmsKObYIquv2sss0Xb+LHqi1agew=</DigestValue>
      </Reference>
      <Reference URI="/xl/media/image3.emf?ContentType=image/x-emf">
        <DigestMethod Algorithm="http://www.w3.org/2001/04/xmlenc#sha256"/>
        <DigestValue>YVtsuH8bDXjJV2Dy/6lemD+B/MEJUFMlT3OBultaYYw=</DigestValue>
      </Reference>
      <Reference URI="/xl/media/image4.emf?ContentType=image/x-emf">
        <DigestMethod Algorithm="http://www.w3.org/2001/04/xmlenc#sha256"/>
        <DigestValue>aFnNK946hBo3dFBQ1iTrTWLYet31AXs15w+XcScy08U=</DigestValue>
      </Reference>
      <Reference URI="/xl/media/image5.emf?ContentType=image/x-emf">
        <DigestMethod Algorithm="http://www.w3.org/2001/04/xmlenc#sha256"/>
        <DigestValue>SGUAmXtIKfISNtJWaJhypXvQVrvZhFb92d4E5f7ZI/o=</DigestValue>
      </Reference>
      <Reference URI="/xl/media/image6.emf?ContentType=image/x-emf">
        <DigestMethod Algorithm="http://www.w3.org/2001/04/xmlenc#sha256"/>
        <DigestValue>GRQ8cc4rAjEFr9roH+f7cutoGCMFBXoxc1fwnubaFII=</DigestValue>
      </Reference>
      <Reference URI="/xl/printerSettings/printerSettings1.bin?ContentType=application/vnd.openxmlformats-officedocument.spreadsheetml.printerSettings">
        <DigestMethod Algorithm="http://www.w3.org/2001/04/xmlenc#sha256"/>
        <DigestValue>OGD3iF2+l78gTInlDCWFPycZVuHBpUE02raJ/Wr5XCI=</DigestValue>
      </Reference>
      <Reference URI="/xl/printerSettings/printerSettings10.bin?ContentType=application/vnd.openxmlformats-officedocument.spreadsheetml.printerSettings">
        <DigestMethod Algorithm="http://www.w3.org/2001/04/xmlenc#sha256"/>
        <DigestValue>8ULINyTSns7e3+F/twyhXb2p4OEI5M6paxloUp/0tKM=</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aKO8XWThzgvGlTVSu23kX37OoqtKGS6PBUkmhsicI1Y=</DigestValue>
      </Reference>
      <Reference URI="/xl/printerSettings/printerSettings14.bin?ContentType=application/vnd.openxmlformats-officedocument.spreadsheetml.printerSettings">
        <DigestMethod Algorithm="http://www.w3.org/2001/04/xmlenc#sha256"/>
        <DigestValue>aKO8XWThzgvGlTVSu23kX37OoqtKGS6PBUkmhsicI1Y=</DigestValue>
      </Reference>
      <Reference URI="/xl/printerSettings/printerSettings15.bin?ContentType=application/vnd.openxmlformats-officedocument.spreadsheetml.printerSettings">
        <DigestMethod Algorithm="http://www.w3.org/2001/04/xmlenc#sha256"/>
        <DigestValue>dw1o09s0o0lRppdgih3gsQGBOYtYP6TDvnCBQSPWvnk=</DigestValue>
      </Reference>
      <Reference URI="/xl/printerSettings/printerSettings16.bin?ContentType=application/vnd.openxmlformats-officedocument.spreadsheetml.printerSettings">
        <DigestMethod Algorithm="http://www.w3.org/2001/04/xmlenc#sha256"/>
        <DigestValue>+CD8yXTcV7R0UPktSQ1iysCJtCvCSVF2j80e6m46HpQ=</DigestValue>
      </Reference>
      <Reference URI="/xl/printerSettings/printerSettings17.bin?ContentType=application/vnd.openxmlformats-officedocument.spreadsheetml.printerSettings">
        <DigestMethod Algorithm="http://www.w3.org/2001/04/xmlenc#sha256"/>
        <DigestValue>hqnMLvZ6XBY2fH1KhK00vJXWuxlSZRWkoKrdKDrIF2Q=</DigestValue>
      </Reference>
      <Reference URI="/xl/printerSettings/printerSettings18.bin?ContentType=application/vnd.openxmlformats-officedocument.spreadsheetml.printerSettings">
        <DigestMethod Algorithm="http://www.w3.org/2001/04/xmlenc#sha256"/>
        <DigestValue>TRrCOIAvgyay9+dOHANtMRhI4Mlj24DaFIyKQoKcdPw=</DigestValue>
      </Reference>
      <Reference URI="/xl/printerSettings/printerSettings19.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tK77ymY2j+63o2PazHk01j2EtE8ZSKwdI1Ei+LUjmS0=</DigestValue>
      </Reference>
      <Reference URI="/xl/printerSettings/printerSettings20.bin?ContentType=application/vnd.openxmlformats-officedocument.spreadsheetml.printerSettings">
        <DigestMethod Algorithm="http://www.w3.org/2001/04/xmlenc#sha256"/>
        <DigestValue>TRrCOIAvgyay9+dOHANtMRhI4Mlj24DaFIyKQoKcdPw=</DigestValue>
      </Reference>
      <Reference URI="/xl/printerSettings/printerSettings21.bin?ContentType=application/vnd.openxmlformats-officedocument.spreadsheetml.printerSettings">
        <DigestMethod Algorithm="http://www.w3.org/2001/04/xmlenc#sha256"/>
        <DigestValue>OGD3iF2+l78gTInlDCWFPycZVuHBpUE02raJ/Wr5XCI=</DigestValue>
      </Reference>
      <Reference URI="/xl/printerSettings/printerSettings22.bin?ContentType=application/vnd.openxmlformats-officedocument.spreadsheetml.printerSettings">
        <DigestMethod Algorithm="http://www.w3.org/2001/04/xmlenc#sha256"/>
        <DigestValue>GyyR84UYFfbFvVrs+ip9vPggIMAXC0nxkmeUVNsGxCc=</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ZVxXhJn6XmjT/m1Dw2UhwYZPVXYMSYE+DUFTlsgHV4s=</DigestValue>
      </Reference>
      <Reference URI="/xl/printerSettings/printerSettings25.bin?ContentType=application/vnd.openxmlformats-officedocument.spreadsheetml.printerSettings">
        <DigestMethod Algorithm="http://www.w3.org/2001/04/xmlenc#sha256"/>
        <DigestValue>ZVxXhJn6XmjT/m1Dw2UhwYZPVXYMSYE+DUFTlsgHV4s=</DigestValue>
      </Reference>
      <Reference URI="/xl/printerSettings/printerSettings26.bin?ContentType=application/vnd.openxmlformats-officedocument.spreadsheetml.printerSettings">
        <DigestMethod Algorithm="http://www.w3.org/2001/04/xmlenc#sha256"/>
        <DigestValue>ZVxXhJn6XmjT/m1Dw2UhwYZPVXYMSYE+DUFTlsgHV4s=</DigestValue>
      </Reference>
      <Reference URI="/xl/printerSettings/printerSettings27.bin?ContentType=application/vnd.openxmlformats-officedocument.spreadsheetml.printerSettings">
        <DigestMethod Algorithm="http://www.w3.org/2001/04/xmlenc#sha256"/>
        <DigestValue>ZVxXhJn6XmjT/m1Dw2UhwYZPVXYMSYE+DUFTlsgHV4s=</DigestValue>
      </Reference>
      <Reference URI="/xl/printerSettings/printerSettings28.bin?ContentType=application/vnd.openxmlformats-officedocument.spreadsheetml.printerSettings">
        <DigestMethod Algorithm="http://www.w3.org/2001/04/xmlenc#sha256"/>
        <DigestValue>ZVxXhJn6XmjT/m1Dw2UhwYZPVXYMSYE+DUFTlsgHV4s=</DigestValue>
      </Reference>
      <Reference URI="/xl/printerSettings/printerSettings29.bin?ContentType=application/vnd.openxmlformats-officedocument.spreadsheetml.printerSettings">
        <DigestMethod Algorithm="http://www.w3.org/2001/04/xmlenc#sha256"/>
        <DigestValue>ZVxXhJn6XmjT/m1Dw2UhwYZPVXYMSYE+DUFTlsgHV4s=</DigestValue>
      </Reference>
      <Reference URI="/xl/printerSettings/printerSettings3.bin?ContentType=application/vnd.openxmlformats-officedocument.spreadsheetml.printerSettings">
        <DigestMethod Algorithm="http://www.w3.org/2001/04/xmlenc#sha256"/>
        <DigestValue>etcbSocZ+fnLsUbJz0LkI2IH94+TEQQYef5apUBQ778=</DigestValue>
      </Reference>
      <Reference URI="/xl/printerSettings/printerSettings30.bin?ContentType=application/vnd.openxmlformats-officedocument.spreadsheetml.printerSettings">
        <DigestMethod Algorithm="http://www.w3.org/2001/04/xmlenc#sha256"/>
        <DigestValue>QYEL4KgfVDON32G6gR2kYQY44f245JdSxX29nAOa8qU=</DigestValue>
      </Reference>
      <Reference URI="/xl/printerSettings/printerSettings4.bin?ContentType=application/vnd.openxmlformats-officedocument.spreadsheetml.printerSettings">
        <DigestMethod Algorithm="http://www.w3.org/2001/04/xmlenc#sha256"/>
        <DigestValue>8ULINyTSns7e3+F/twyhXb2p4OEI5M6paxloUp/0tKM=</DigestValue>
      </Reference>
      <Reference URI="/xl/printerSettings/printerSettings5.bin?ContentType=application/vnd.openxmlformats-officedocument.spreadsheetml.printerSettings">
        <DigestMethod Algorithm="http://www.w3.org/2001/04/xmlenc#sha256"/>
        <DigestValue>8ULINyTSns7e3+F/twyhXb2p4OEI5M6paxloUp/0tKM=</DigestValue>
      </Reference>
      <Reference URI="/xl/printerSettings/printerSettings6.bin?ContentType=application/vnd.openxmlformats-officedocument.spreadsheetml.printerSettings">
        <DigestMethod Algorithm="http://www.w3.org/2001/04/xmlenc#sha256"/>
        <DigestValue>8ULINyTSns7e3+F/twyhXb2p4OEI5M6paxloUp/0tKM=</DigestValue>
      </Reference>
      <Reference URI="/xl/printerSettings/printerSettings7.bin?ContentType=application/vnd.openxmlformats-officedocument.spreadsheetml.printerSettings">
        <DigestMethod Algorithm="http://www.w3.org/2001/04/xmlenc#sha256"/>
        <DigestValue>8ULINyTSns7e3+F/twyhXb2p4OEI5M6paxloUp/0tKM=</DigestValue>
      </Reference>
      <Reference URI="/xl/printerSettings/printerSettings8.bin?ContentType=application/vnd.openxmlformats-officedocument.spreadsheetml.printerSettings">
        <DigestMethod Algorithm="http://www.w3.org/2001/04/xmlenc#sha256"/>
        <DigestValue>8ULINyTSns7e3+F/twyhXb2p4OEI5M6paxloUp/0tKM=</DigestValue>
      </Reference>
      <Reference URI="/xl/printerSettings/printerSettings9.bin?ContentType=application/vnd.openxmlformats-officedocument.spreadsheetml.printerSettings">
        <DigestMethod Algorithm="http://www.w3.org/2001/04/xmlenc#sha256"/>
        <DigestValue>8ULINyTSns7e3+F/twyhXb2p4OEI5M6paxloUp/0tKM=</DigestValue>
      </Reference>
      <Reference URI="/xl/sharedStrings.xml?ContentType=application/vnd.openxmlformats-officedocument.spreadsheetml.sharedStrings+xml">
        <DigestMethod Algorithm="http://www.w3.org/2001/04/xmlenc#sha256"/>
        <DigestValue>V/w+UFDuoKCaMO9SSgiqgdegozZgbqeeTZ78vhxZs4Y=</DigestValue>
      </Reference>
      <Reference URI="/xl/styles.xml?ContentType=application/vnd.openxmlformats-officedocument.spreadsheetml.styles+xml">
        <DigestMethod Algorithm="http://www.w3.org/2001/04/xmlenc#sha256"/>
        <DigestValue>z/eeshVk+brcI+H+/v+xG/3T6WFPSRAeaKjEIgLbkPc=</DigestValue>
      </Reference>
      <Reference URI="/xl/tables/table1.xml?ContentType=application/vnd.openxmlformats-officedocument.spreadsheetml.table+xml">
        <DigestMethod Algorithm="http://www.w3.org/2001/04/xmlenc#sha256"/>
        <DigestValue>QTRSFVlS4HnbP6Y2+j++lvSrT1G6wMfxJrt66Q3MxtU=</DigestValue>
      </Reference>
      <Reference URI="/xl/tables/table2.xml?ContentType=application/vnd.openxmlformats-officedocument.spreadsheetml.table+xml">
        <DigestMethod Algorithm="http://www.w3.org/2001/04/xmlenc#sha256"/>
        <DigestValue>IKN1IhsRr9HunQR58XkrS2sj34eYQN7uwQ3Oy8wQ0eI=</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Iod+Xl9RCPODBPIpko8c6sQtIg/QuqibY8/4p+Z/JNc=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jDc0sWYJkR/CBrRak8ingqluwJ7oQsCcOInX+LVxKvE=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pZw3bSadmKfHZZmptVaCzS0QUOVcJ//YwG7scJq0pf8=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Mnq392zy7n/68NDdV/yytQb7iuJvY10PdgkI8Mb+g6k=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ucQ64hiB/nP1Fi8WKz3Th1kdZisK8aGhJEPJfohLxM8=</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Tli28rN8igOjzPasqezpYxpfwxhNMdfjzhfnghEdtVc=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iCVOH+dXPW5Yow03OFzE3KFxd7gLMdb90NF1eBlmABk=</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zgur8m8h3dHGUIjwiYWUwhCf0M5q1vRr8/fpz0BeqjQ=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7K0RfRaSjDP6tX2AJJpMSRjcmHBmC4suCih810VKQKE=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YJfbdRjw9jzDIHxg9lF8IV5su7pXZUZ3BubXlm6sSbI=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N8qijj8WXJ10YGO5eKPxvirB/H7N/Cb0D2n1Mzyaryo=</DigestValue>
      </Reference>
      <Reference URI="/xl/worksheets/sheet1.xml?ContentType=application/vnd.openxmlformats-officedocument.spreadsheetml.worksheet+xml">
        <DigestMethod Algorithm="http://www.w3.org/2001/04/xmlenc#sha256"/>
        <DigestValue>RQrBSlri31PMwZlIl5U8oN6J/gyebqTN0C1tnBaPr1M=</DigestValue>
      </Reference>
      <Reference URI="/xl/worksheets/sheet10.xml?ContentType=application/vnd.openxmlformats-officedocument.spreadsheetml.worksheet+xml">
        <DigestMethod Algorithm="http://www.w3.org/2001/04/xmlenc#sha256"/>
        <DigestValue>VdSSMhq7PPyGTGDw8th3UTvOa3U89Ih1rcKsbGp6WEc=</DigestValue>
      </Reference>
      <Reference URI="/xl/worksheets/sheet11.xml?ContentType=application/vnd.openxmlformats-officedocument.spreadsheetml.worksheet+xml">
        <DigestMethod Algorithm="http://www.w3.org/2001/04/xmlenc#sha256"/>
        <DigestValue>tvzKKq8EPOADTa94CUdCYmoZ4T6lnIZpEmf/8HsdSIo=</DigestValue>
      </Reference>
      <Reference URI="/xl/worksheets/sheet2.xml?ContentType=application/vnd.openxmlformats-officedocument.spreadsheetml.worksheet+xml">
        <DigestMethod Algorithm="http://www.w3.org/2001/04/xmlenc#sha256"/>
        <DigestValue>R7gGbROsq8wtNMf9wb9NhnoX7CbE0LKzExehQybw3Z8=</DigestValue>
      </Reference>
      <Reference URI="/xl/worksheets/sheet3.xml?ContentType=application/vnd.openxmlformats-officedocument.spreadsheetml.worksheet+xml">
        <DigestMethod Algorithm="http://www.w3.org/2001/04/xmlenc#sha256"/>
        <DigestValue>t7XEAo8Uy0vjd/DJ2C4BITc81JYXlBr/JkVguL11LaQ=</DigestValue>
      </Reference>
      <Reference URI="/xl/worksheets/sheet4.xml?ContentType=application/vnd.openxmlformats-officedocument.spreadsheetml.worksheet+xml">
        <DigestMethod Algorithm="http://www.w3.org/2001/04/xmlenc#sha256"/>
        <DigestValue>cEnOJfsnp/NBRY+3I/VQDmCO7RMEqgGuf8UEqrDuCIU=</DigestValue>
      </Reference>
      <Reference URI="/xl/worksheets/sheet5.xml?ContentType=application/vnd.openxmlformats-officedocument.spreadsheetml.worksheet+xml">
        <DigestMethod Algorithm="http://www.w3.org/2001/04/xmlenc#sha256"/>
        <DigestValue>EswEMBCM4zdmW1cMOh7rkhk8swYW2MNO2WQBh8M1rRc=</DigestValue>
      </Reference>
      <Reference URI="/xl/worksheets/sheet6.xml?ContentType=application/vnd.openxmlformats-officedocument.spreadsheetml.worksheet+xml">
        <DigestMethod Algorithm="http://www.w3.org/2001/04/xmlenc#sha256"/>
        <DigestValue>D58Ad9xw9rLp8vtfuoXZKREoJCKBX5r+HJLMNlecAok=</DigestValue>
      </Reference>
      <Reference URI="/xl/worksheets/sheet7.xml?ContentType=application/vnd.openxmlformats-officedocument.spreadsheetml.worksheet+xml">
        <DigestMethod Algorithm="http://www.w3.org/2001/04/xmlenc#sha256"/>
        <DigestValue>gSn74GrP21z2K652QtORivHMqG62kbL+N6pM0KMuNoM=</DigestValue>
      </Reference>
      <Reference URI="/xl/worksheets/sheet8.xml?ContentType=application/vnd.openxmlformats-officedocument.spreadsheetml.worksheet+xml">
        <DigestMethod Algorithm="http://www.w3.org/2001/04/xmlenc#sha256"/>
        <DigestValue>RHD7ig3kB2XIS94P7M7laThHUC2ZEnlItLh4CQ8e2cA=</DigestValue>
      </Reference>
      <Reference URI="/xl/worksheets/sheet9.xml?ContentType=application/vnd.openxmlformats-officedocument.spreadsheetml.worksheet+xml">
        <DigestMethod Algorithm="http://www.w3.org/2001/04/xmlenc#sha256"/>
        <DigestValue>NbdLLWXsZdwhOiIfvFm/hDyLJl0+E1xl/cjBrRt6I8I=</DigestValue>
      </Reference>
    </Manifest>
    <SignatureProperties>
      <SignatureProperty Id="idSignatureTime" Target="#idPackageSignature">
        <mdssi:SignatureTime xmlns:mdssi="http://schemas.openxmlformats.org/package/2006/digital-signature">
          <mdssi:Format>YYYY-MM-DDThh:mm:ssTZD</mdssi:Format>
          <mdssi:Value>2026-08-13T17:44:56Z</mdssi:Value>
        </mdssi:SignatureTime>
      </SignatureProperty>
    </SignatureProperties>
  </Object>
  <Object Id="idOfficeObject">
    <SignatureProperties>
      <SignatureProperty Id="idOfficeV1Details" Target="#idPackageSignature">
        <SignatureInfoV1 xmlns="http://schemas.microsoft.com/office/2006/digsig">
          <SetupID>{0CDEF3E5-AFEF-4869-99D4-738D40D6EB32}</SetupID>
          <SignatureText>Rodolfo Gauto</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2026-08-13T17:44:56Z</xd:SigningTime>
          <xd:SigningCertificate>
            <xd:Cert>
              <xd:CertDigest>
                <DigestMethod Algorithm="http://www.w3.org/2001/04/xmlenc#sha256"/>
                <DigestValue>WfscYALnhvg2pBPqkXRM09ecBSYUcWCJWQ3KvWp2wzE=</DigestValue>
              </xd:CertDigest>
              <xd:IssuerSerial>
                <X509IssuerName>C=PY, O=ICPP, OU=Prestador Cualificado de Servicios de Confianza, SERIALNUMBER=RUC 80113823-0, CN=CONFIRMA S.A.</X509IssuerName>
                <X509SerialNumber>2998039560924145427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uzCCBaOgAwIBAgIQR0iwnd34CQJkdMw24JuyvzANBgkqhkiG9w0BAQsFADBvMQswCQYDVQQGEwJQWTErMCkGA1UECgwiTWluaXN0ZXJpbyBkZSBJbmR1c3RyaWEgeSBDb21lcmNpbzEzMDEGA1UEAwwqQXV0b3JpZGFkIENlcnRpZmljYWRvcmEgUmHDrXogZGVsIFBhcmFndWF5MB4XDTIzMDUyOTE2MDA1M1oXDTMyMDUyOTE2MDA1M1owgYcxFjAUBgNVBAMMDUNPTkZJUk1BIFMuQS4xFzAVBgNVBAUTDlJVQyA4MDExMzgyMy0wMTgwNgYDVQQLDC9QcmVzdGFkb3IgQ3VhbGlmaWNhZG8gZGUgU2VydmljaW9zIGRlIENvbmZpYW56YTENMAsGA1UECgwESUNQUDELMAkGA1UEBhMCUFkwggIiMA0GCSqGSIb3DQEBAQUAA4ICDwAwggIKAoICAQC0bqndckSA1NBd4+H1LL1QQ+/Hte8E8GIc+Cl2IWx8XVCIbH4D8r9ZZNB/GD7Sa0JVTyFxeXXn6+qLhbFsE5yrHM5y9+U7rri0xSx/iuudjmrSePO3cEQrQe0amoCtieY+nEjMxJ6RJzQRacE6Smyoa9VRsAo8R/kiIwUq9YJ1sIA7CKByQnxxxhmOriNx/ke52RI3s7HM4Bp0t03dwnAC0f/efuXeyEevLe1wpAuznk2AU6+RtXtZ8Y+l2pIY8GVl1e4Jqf4/5OlZtakorZlJSwpUm1bkkeqEKPESds6XEw0h7N/mn1irpen2FH86E0lZNfqWNTNv58cQnTkTzNprAPSc6tmIz8OikMKjxwtO3Q9cgykfEdSBM23SWnlPav4WmXB7ADPSSrhmC0r51BDLigTHAiz/dbByBWmAnFKXcxil9fqAlzPE89VXnvETfcyJsK9cdLviVuDSztXVQnh0UoUeMwEICDcU0/HuSgV6FP1gl7TU1UZofBwQeilFtx0prQ5xTzP4fax84YoYPxg6QBJvzmA5vtKVUiQgA0x1dRC0nocV/venOlGho6CI9Fddu/kz6/VcHVjTuA/6Ammc9fyGydqchjWrUYOEbQxA6BGCzJu8j4c2yr6QIqG4mEtw415YSx4Az0oX+jrguZNaZyCEkbCvNopq2iXxmHjJZwIDAQABo4ICODCCAjQwEgYDVR0TAQH/BAgwBgEB/wIBADAOBgNVHQ8BAf8EBAMCAQYwHQYDVR0OBBYEFDj6s5eLGoZm2MDIh5/0YA14tjhKMB8GA1UdIwQYMBaAFMLEEfIqaEQMACjsTNYp25L7Xr3WMIG/BggrBgEFBQcBAQSBsjCBrzA/BggrBgEFBQcwAoYzaHR0cHM6Ly93d3cuYWNyYWl6Lmdvdi5weS9jcnQvYWNfcmFpel9weV9zaGEyNTYuY3J0MDUGCCsGAQUFBzABhilodHRwOi8vb2NzcDEudWFuYXRhY2EuY29tL3B1YmxpYy9wa2kvb2NzcDA1BggrBgEFBQcwAYYpaHR0cDovL29jc3AyLnVhbmF0YWNhLmNvbS9wdWJsaWMvcGtpL29jc3Awgc0GA1UdIASBxTCBwjCBvwYDVR0gMIG3MDkGCCsGAQUFBwIBFi1odHRwczovL3d3dy5hY3JhaXouZ292LnB5L2RwYy9ET0MtSUNQUC0wMS5wZGYwegYIKwYBBQUHAgIwbhpsU3VqZXRvIGEgbGFzIGNvbmRpY2lvbmVzIGRlIHVzbyBleHB1ZXN0YXMgZW4gbGEgRGVjbGFyYWNp824gZGUgUHLhY3RpY2FzIGRlIENlcnRpZmljYWNp824gZGUgbGEgQUMgUmHteiAtIFB5MDwGA1UdHwQ1MDMwMaAvoC2GK2h0dHA6Ly93d3cuYWNyYWl6Lmdvdi5weS9hcmwvYWNfcmFpel9weS5jcmwwDQYJKoZIhvcNAQELBQADggIBAA07dHHEcpym5vkGd32nxzPS89zx8Xa8SEDflnGlw4tskpQoZeRUDMG4GxVDEyrG8KARysYyOZ6lQ1r0BkDhsiB1rsZZAiLBhmFNyd8+8IELQGgHk3uC2YzCT95pw+mkp02Lah9ObIcsRh4tYd6ZBiVzFC3FcwPktSK3ZecQrRxqJm17dx+k5a5xM5HQDjXcy5YteFGiaDDZV0FYCNNIWxzyaFd4bYwXbolAOOkbz0rRZghR3Ya5OpF0rCwtdF7+8c4nfvV0N/4iZ2BM9YVTuz8kEMzG8ee4q8zlhuS6DKkxmhIinEtVfX9H/XVc4n4Q7qimA2sQS0Y6Ra+zz6ojCJuKVDHsYUgxJU6MkkhKmDewGIWnlCPxJxv5MCsOfwU9pUCAZG8SqjzXIgKa15oKKuXHgVUkEg+/ItTlVL13y4QOgdJlG0t91UjiQ3AUzG98Hi5hotHQHDb1poRJj8rRUTXw+9kkuKVitNZgJE2lfmCyO4yTkhT/QgWVAFIm+Kfd3qZ3z7NYDhrfXjRlGsHj2fTy4Swbt6xuaA1LIMPXD22t0mK+LTazNudJgwygtBQTOA3129nUBLnhpoarU6gmquGKjjbNtVObJbFbwVHgM4EcaIVOaIs/KrtBwrUG9ShTQM9BSbB+xq3bKUIlCKwtaltCjsPV+oKq/WYXEGKTQj7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JYBAAC/AAAAAAAAAAAAAAACGQAA0AsAACBFTUYAAAEAoBsAAKo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QAAfEEfAQAABgAAAAkAAABMAAAAAAAAAAAAAAAAAAAA//////////9gAAAAMQAzAC8AOAAvADIAMAAyADYAAAAJAAAACQAAAAYAAAAJAAAABgAAAAkAAAAJAAAACQAAAAk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Object Id="idInvalidSigLnImg">AQAAAGwAAAAAAAAAAAAAAJYBAAC/AAAAAAAAAAAAAAACGQAA0AsAACBFTUYAAAEAoCQAALE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QAAfEFDAAAABgAAAA8AAABMAAAAAAAAAAAAAAAAAAAA//////////9sAAAARgBpAHIAbQBhACAAbgBvACAAdgDhAGwAaQBkAGEAAAAIAAAABAAAAAYAAAAOAAAACAAAAAQAAAAJAAAACQAAAAQAAAAIAAAACAAAAAQAAAAEAAAACQAAAAg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Signature>
</file>

<file path=_xmlsignatures/sig9.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MaIFdZjG7biABTct9YOH8sUcs1oKCpa41BlfOue6X20=</DigestValue>
    </Reference>
    <Reference Type="http://www.w3.org/2000/09/xmldsig#Object" URI="#idOfficeObject">
      <DigestMethod Algorithm="http://www.w3.org/2001/04/xmlenc#sha256"/>
      <DigestValue>oPb5e/vMQo7DeE20ZB8omaNIXRuvUIwgNgYoYHdvCcY=</DigestValue>
    </Reference>
    <Reference Type="http://uri.etsi.org/01903#SignedProperties" URI="#idSignedProperties">
      <Transforms>
        <Transform Algorithm="http://www.w3.org/TR/2001/REC-xml-c14n-20010315"/>
      </Transforms>
      <DigestMethod Algorithm="http://www.w3.org/2001/04/xmlenc#sha256"/>
      <DigestValue>HskrcV3hjJu+/hmLiMOxM5AfXuhIF1HFfJAOGJb3hkE=</DigestValue>
    </Reference>
    <Reference Type="http://www.w3.org/2000/09/xmldsig#Object" URI="#idValidSigLnImg">
      <DigestMethod Algorithm="http://www.w3.org/2001/04/xmlenc#sha256"/>
      <DigestValue>Jh3tziakw2YFjmN8sr16Jqws4mpJT38tmYjrORDGvsg=</DigestValue>
    </Reference>
    <Reference Type="http://www.w3.org/2000/09/xmldsig#Object" URI="#idInvalidSigLnImg">
      <DigestMethod Algorithm="http://www.w3.org/2001/04/xmlenc#sha256"/>
      <DigestValue>6lX5xGz+09Ws28hoP4VVfof4t/oj8SVKAngYRvfLqoA=</DigestValue>
    </Reference>
  </SignedInfo>
  <SignatureValue>U5Aj6xXne9XjLfNLzCEZGazajfK790GaJqw+bdM4ViwcErn9eb4Yj6dP4PwC6vI1t/3BOMyb+vji
Fz5tmlhPAdINkU+edPrJkwzjNkPX449PU/HXjdIcS3Fsr59F+PWk1/Y+Y8r/CYwDNWZIy2nYzk36
4EsivlcFp5lo2N4zCcahWs9wjeBCtGhvFjEbgnSkCWUnZKlhpLbAXTkCVbmHzdvCsl/wyK8yAXYH
lqDosUKQLr7T8kbnH/1sLnWddKqvk93U5/gZmsHVgnZM73g0BDZwmvIj0TXiy81rls0MXycDpQhB
dtd9CzYOvtLLTD0n7zqvMuf8EMKDt73HCIkJZA==</SignatureValue>
  <KeyInfo>
    <X509Data>
      <X509Certificate>MIIKrzCCCJegAwIBAgIIKZstGKtzpxMwDQYJKoZIhvcNAQELBQAwgYcxFjAUBgNVBAMMDUNPTkZJUk1BIFMuQS4xFzAVBgNVBAUTDlJVQyA4MDExMzgyMy0wMTgwNgYDVQQLDC9QcmVzdGFkb3IgQ3VhbGlmaWNhZG8gZGUgU2VydmljaW9zIGRlIENvbmZpYW56YTENMAsGA1UECgwESUNQUDELMAkGA1UEBhMCUFkwHhcNMjUwNDMwMTUyMjAwWhcNMjcwNDMwMTUyMjAwWjCBwjELMAkGA1UEBhMCUFkxNTAzBgNVBAoMLENFUlRJRklDQURPIENVQUxJRklDQURPIERFIEZJUk1BIEVMRUNUUk9OSUNBMQswCQYDVQQLDAJGMzEXMBUGA1UEBAwOR0FVVE8gTUFSSU9UVEkxGDAWBgNVBCoMD1JPRE9MRk8gSUdOQUNJTzETMBEGA1UEBRMKQ0kgMzUwODg4MzEnMCUGA1UEAwweUk9ET0xGTyBJR05BQ0lPIEdBVVRPIE1BUklPVFRJMIIBIjANBgkqhkiG9w0BAQEFAAOCAQ8AMIIBCgKCAQEA4qox2Vcm1SmO9VlrimtylnWX4KlkUUmaNgKzOsL40K1BfO4JORvF0hSUqaIJdwyRnZPyYKVwrj9vp6/AuFYG+LkiX32CDCZWc3gHFf3kfQGizCh98OVUhMxwWNJm0UzKo3KlOSV8hAVxEVFKJTt3Vkbpn8zZvoDvPcFHsDX7AZOS8sFb6HYzAyRnZfc1VJvgqZ2VyMrZsF7uI4XpOkiEgUocq7FjjjOdY5gUbru1BZYs6CGIcijJgCg6TZm4laRtP0XMLmq7UN/3+y8qe71pb85rDTOYnnNv482mAfVURznQ131ik0nLfSysK0vPzCuvPCqQMHVhMr48/PpOakiXPwIDAQABo4IF4DCCBdwwDAYDVR0TAQH/BAIwADAfBgNVHSMEGDAWgBQ4+rOXixqGZtjAyIef9GANeLY4SjCBvwYIKwYBBQUHAQEEgbIwga8wPQYIKwYBBQUHMAKGMWh0dHBzOi8vd3d3LmNvbmZpcm1hLmNvbS5weS9yZXBvc2l0b3Jpby1jb25maXJtYS8wNgYIKwYBBQUHMAGGKmh0dHA6Ly9vY3NwMS51YW5hdGFjYS5jb20vcHVibGljL3BraS9vY3NwLzA2BggrBgEFBQcwAYYqaHR0cDovL29jc3AyLnVhbmF0YWNhLmNvbS9wdWJsaWMvcGtpL29jc3AvMHAGA1UdEQRpMGeBGEdBVVRPTUFSSU9UVElS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TG0mAvbpe1nxzWD+u0wQTZr2NqezAOBgNVHQ8BAf8EBAMCBeAwDQYJKoZIhvcNAQELBQADggIBAGAqsp9KxakZSZgKvgGv8IKQxiNcbHIXYAfPB/QofhrEs+IujRWQKc5+F6nWyfopdgO5lwoTRuB+iRteoroOjqdoBN6tmhrzUzjUndVkV7R7wzPk7vkSjCt+8cMfeCVoBfuSL0CFoOItDqzk52yUpnRMxuhjTry6GH4xoQlBqMq6qzH5O+vQ8FMLGAiZDRuHOMUjk/8fUKCe6XzDV2BDvlJYkjSmNbYQUxLhCdiddjNDMFNKvD/EOkGVoe2iPegUYtgFHOJfC436cDYCKWAmLAYIc1M9CMsedcqSppVvdCaldg90jZaZ+SPjDiKLfyC8Mln9epOBsbDqfR/NIMs0ma1D4C5VcCL+Sk1dQRXq7CiY3Jxwf+o+VfmJHCsJjcN8Kz17XrKv/l2cYOuzgqimu9WGKoR8d+3jvgYE3I1yCfkaFi1ZmEGoIUhpDnTkYTed63QTx7YdATU5ebLYGv0aOniyVSd1Sov6ZUnAUClCGbtXeaNDyjlHIL5K5vCQcZjQ8wG1mGPiP+VtTh5AioG5k4PkK0qNQGa33Sh0Ej8OsGpcWh3q2/woUtw6iHtg08Dmqd0x9ncEV/YcSm1X0ZkgEvOl60EyGxWt7qErOIhoxDUc9LiZ/5Xnj+l3WuUweI5pokKyLeKM1zRRIWfSUQD3k+gjoS0K8HYwkDi3wIvzYVR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Transform>
          <Transform Algorithm="http://www.w3.org/TR/2001/REC-xml-c14n-20010315"/>
        </Transforms>
        <DigestMethod Algorithm="http://www.w3.org/2001/04/xmlenc#sha256"/>
        <DigestValue>/Ck4NrQeZAHF831xLBB7K7yeBD4HVDqFdSeGjxFIugk=</DigestValue>
      </Reference>
      <Reference URI="/xl/calcChain.xml?ContentType=application/vnd.openxmlformats-officedocument.spreadsheetml.calcChain+xml">
        <DigestMethod Algorithm="http://www.w3.org/2001/04/xmlenc#sha256"/>
        <DigestValue>+NyeNyIHrQv7x/d7NUuWQqqgB6nR5SiUKZdjjhHZnLU=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ucrTLbStQr/H2WHX3yG6MmDb0NXX+PwHVU4uUbcl8jY=</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gJN++dn2wxx/Cd6pFFOPi1CJuYShB1qNyNFMqnAERYg=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ucrTLbStQr/H2WHX3yG6MmDb0NXX+PwHVU4uUbcl8jY=</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7YsyKqJFttyEEYgq8OCabNHbiPUxlADESpJUKW5fCBk=</DigestValue>
      </Reference>
      <Reference URI="/xl/drawings/drawing1.xml?ContentType=application/vnd.openxmlformats-officedocument.drawing+xml">
        <DigestMethod Algorithm="http://www.w3.org/2001/04/xmlenc#sha256"/>
        <DigestValue>ub074ZLH8w4xlalqairs0BhLike/ijp43YfbOrzi420=</DigestValue>
      </Reference>
      <Reference URI="/xl/drawings/drawing2.xml?ContentType=application/vnd.openxmlformats-officedocument.drawing+xml">
        <DigestMethod Algorithm="http://www.w3.org/2001/04/xmlenc#sha256"/>
        <DigestValue>jSEA7QF2epsqpRqyAn5pGlelL7JhshD38KzThNyanj4=</DigestValue>
      </Reference>
      <Reference URI="/xl/drawings/drawing3.xml?ContentType=application/vnd.openxmlformats-officedocument.drawing+xml">
        <DigestMethod Algorithm="http://www.w3.org/2001/04/xmlenc#sha256"/>
        <DigestValue>w1km3rn21G8nhqvfeQQCJPmdK8nSug1i56T6Su0Ay7A=</DigestValue>
      </Reference>
      <Reference URI="/xl/drawings/drawing4.xml?ContentType=application/vnd.openxmlformats-officedocument.drawing+xml">
        <DigestMethod Algorithm="http://www.w3.org/2001/04/xmlenc#sha256"/>
        <DigestValue>Inzha6baeAKE0WuKvq0NbHcSeKHit1HfjuHs2WT/AC8=</DigestValue>
      </Reference>
      <Reference URI="/xl/drawings/drawing5.xml?ContentType=application/vnd.openxmlformats-officedocument.drawing+xml">
        <DigestMethod Algorithm="http://www.w3.org/2001/04/xmlenc#sha256"/>
        <DigestValue>Tpe4YJTEcZHjnkuwCRyvhPu/MIzXAWLSeBBMA18aXRI=</DigestValue>
      </Reference>
      <Reference URI="/xl/drawings/drawing6.xml?ContentType=application/vnd.openxmlformats-officedocument.drawing+xml">
        <DigestMethod Algorithm="http://www.w3.org/2001/04/xmlenc#sha256"/>
        <DigestValue>t0IiKkrStl/PiA8NVpK6Yzzs0p7cTjDqmZEHG31Qyng=</DigestValue>
      </Reference>
      <Reference URI="/xl/drawings/drawing7.xml?ContentType=application/vnd.openxmlformats-officedocument.drawing+xml">
        <DigestMethod Algorithm="http://www.w3.org/2001/04/xmlenc#sha256"/>
        <DigestValue>virplHJot2IoRHIXdPVnprgNPvJSCFYXhwmEbMvdtaE=</DigestValue>
      </Reference>
      <Reference URI="/xl/drawings/drawing8.xml?ContentType=application/vnd.openxmlformats-officedocument.drawing+xml">
        <DigestMethod Algorithm="http://www.w3.org/2001/04/xmlenc#sha256"/>
        <DigestValue>1BVrvUMHBLQW/qes4fhJwFjL6MIO+dw9dzaEu6di9KE=</DigestValue>
      </Reference>
      <Reference URI="/xl/drawings/vmlDrawing1.vml?ContentType=application/vnd.openxmlformats-officedocument.vmlDrawing">
        <DigestMethod Algorithm="http://www.w3.org/2001/04/xmlenc#sha256"/>
        <DigestValue>ExUTJEbNBuk1CckpWwd+8plgcmJe8qoGbB2TUFKe+kA=</DigestValue>
      </Reference>
      <Reference URI="/xl/drawings/vmlDrawing2.vml?ContentType=application/vnd.openxmlformats-officedocument.vmlDrawing">
        <DigestMethod Algorithm="http://www.w3.org/2001/04/xmlenc#sha256"/>
        <DigestValue>h2FOx/Jlq4UYa4Cpos0p40QGXDtAcRKPPYKd8I7NjvY=</DigestValue>
      </Reference>
      <Reference URI="/xl/drawings/vmlDrawing3.vml?ContentType=application/vnd.openxmlformats-officedocument.vmlDrawing">
        <DigestMethod Algorithm="http://www.w3.org/2001/04/xmlenc#sha256"/>
        <DigestValue>AA278wmMGW/Y9QsgFZqd+7Z8mopkpG53UQ93BDbx4WE=</DigestValue>
      </Reference>
      <Reference URI="/xl/drawings/vmlDrawing4.vml?ContentType=application/vnd.openxmlformats-officedocument.vmlDrawing">
        <DigestMethod Algorithm="http://www.w3.org/2001/04/xmlenc#sha256"/>
        <DigestValue>ArJYfFm9RCQzoEjHp9F2NIgGy/rbhUv/OzAFzV+JEV4=</DigestValue>
      </Reference>
      <Reference URI="/xl/drawings/vmlDrawing5.vml?ContentType=application/vnd.openxmlformats-officedocument.vmlDrawing">
        <DigestMethod Algorithm="http://www.w3.org/2001/04/xmlenc#sha256"/>
        <DigestValue>6u8vsyy6r4PKsRHLrr6eKcYZlGcnaa5JNs92G7m0x50=</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77SVdrsY4G7JRFikg775s6ndkn/5KeYu/l1XKd699gw=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XmN+S1Rb9DQwXeJhiPMr1ywuylQu67StAn77KPQ/9M4=</DigestValue>
      </Reference>
      <Reference URI="/xl/externalLinks/externalLink1.xml?ContentType=application/vnd.openxmlformats-officedocument.spreadsheetml.externalLink+xml">
        <DigestMethod Algorithm="http://www.w3.org/2001/04/xmlenc#sha256"/>
        <DigestValue>Asaf0dJqvI2CGiR4mDOs5Bz0dA7uFptOxkq8VP6/Axg=</DigestValue>
      </Reference>
      <Reference URI="/xl/externalLinks/externalLink2.xml?ContentType=application/vnd.openxmlformats-officedocument.spreadsheetml.externalLink+xml">
        <DigestMethod Algorithm="http://www.w3.org/2001/04/xmlenc#sha256"/>
        <DigestValue>MAymwNHVD9MjrQzp8QSFTGHiEzTtpA6htR4Lpqs3neg=</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henAiMKyQumysm/rmsKObYIquv2sss0Xb+LHqi1agew=</DigestValue>
      </Reference>
      <Reference URI="/xl/media/image3.emf?ContentType=image/x-emf">
        <DigestMethod Algorithm="http://www.w3.org/2001/04/xmlenc#sha256"/>
        <DigestValue>YVtsuH8bDXjJV2Dy/6lemD+B/MEJUFMlT3OBultaYYw=</DigestValue>
      </Reference>
      <Reference URI="/xl/media/image4.emf?ContentType=image/x-emf">
        <DigestMethod Algorithm="http://www.w3.org/2001/04/xmlenc#sha256"/>
        <DigestValue>aFnNK946hBo3dFBQ1iTrTWLYet31AXs15w+XcScy08U=</DigestValue>
      </Reference>
      <Reference URI="/xl/media/image5.emf?ContentType=image/x-emf">
        <DigestMethod Algorithm="http://www.w3.org/2001/04/xmlenc#sha256"/>
        <DigestValue>SGUAmXtIKfISNtJWaJhypXvQVrvZhFb92d4E5f7ZI/o=</DigestValue>
      </Reference>
      <Reference URI="/xl/media/image6.emf?ContentType=image/x-emf">
        <DigestMethod Algorithm="http://www.w3.org/2001/04/xmlenc#sha256"/>
        <DigestValue>GRQ8cc4rAjEFr9roH+f7cutoGCMFBXoxc1fwnubaFII=</DigestValue>
      </Reference>
      <Reference URI="/xl/printerSettings/printerSettings1.bin?ContentType=application/vnd.openxmlformats-officedocument.spreadsheetml.printerSettings">
        <DigestMethod Algorithm="http://www.w3.org/2001/04/xmlenc#sha256"/>
        <DigestValue>OGD3iF2+l78gTInlDCWFPycZVuHBpUE02raJ/Wr5XCI=</DigestValue>
      </Reference>
      <Reference URI="/xl/printerSettings/printerSettings10.bin?ContentType=application/vnd.openxmlformats-officedocument.spreadsheetml.printerSettings">
        <DigestMethod Algorithm="http://www.w3.org/2001/04/xmlenc#sha256"/>
        <DigestValue>8ULINyTSns7e3+F/twyhXb2p4OEI5M6paxloUp/0tKM=</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aKO8XWThzgvGlTVSu23kX37OoqtKGS6PBUkmhsicI1Y=</DigestValue>
      </Reference>
      <Reference URI="/xl/printerSettings/printerSettings14.bin?ContentType=application/vnd.openxmlformats-officedocument.spreadsheetml.printerSettings">
        <DigestMethod Algorithm="http://www.w3.org/2001/04/xmlenc#sha256"/>
        <DigestValue>aKO8XWThzgvGlTVSu23kX37OoqtKGS6PBUkmhsicI1Y=</DigestValue>
      </Reference>
      <Reference URI="/xl/printerSettings/printerSettings15.bin?ContentType=application/vnd.openxmlformats-officedocument.spreadsheetml.printerSettings">
        <DigestMethod Algorithm="http://www.w3.org/2001/04/xmlenc#sha256"/>
        <DigestValue>dw1o09s0o0lRppdgih3gsQGBOYtYP6TDvnCBQSPWvnk=</DigestValue>
      </Reference>
      <Reference URI="/xl/printerSettings/printerSettings16.bin?ContentType=application/vnd.openxmlformats-officedocument.spreadsheetml.printerSettings">
        <DigestMethod Algorithm="http://www.w3.org/2001/04/xmlenc#sha256"/>
        <DigestValue>+CD8yXTcV7R0UPktSQ1iysCJtCvCSVF2j80e6m46HpQ=</DigestValue>
      </Reference>
      <Reference URI="/xl/printerSettings/printerSettings17.bin?ContentType=application/vnd.openxmlformats-officedocument.spreadsheetml.printerSettings">
        <DigestMethod Algorithm="http://www.w3.org/2001/04/xmlenc#sha256"/>
        <DigestValue>hqnMLvZ6XBY2fH1KhK00vJXWuxlSZRWkoKrdKDrIF2Q=</DigestValue>
      </Reference>
      <Reference URI="/xl/printerSettings/printerSettings18.bin?ContentType=application/vnd.openxmlformats-officedocument.spreadsheetml.printerSettings">
        <DigestMethod Algorithm="http://www.w3.org/2001/04/xmlenc#sha256"/>
        <DigestValue>TRrCOIAvgyay9+dOHANtMRhI4Mlj24DaFIyKQoKcdPw=</DigestValue>
      </Reference>
      <Reference URI="/xl/printerSettings/printerSettings19.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tK77ymY2j+63o2PazHk01j2EtE8ZSKwdI1Ei+LUjmS0=</DigestValue>
      </Reference>
      <Reference URI="/xl/printerSettings/printerSettings20.bin?ContentType=application/vnd.openxmlformats-officedocument.spreadsheetml.printerSettings">
        <DigestMethod Algorithm="http://www.w3.org/2001/04/xmlenc#sha256"/>
        <DigestValue>TRrCOIAvgyay9+dOHANtMRhI4Mlj24DaFIyKQoKcdPw=</DigestValue>
      </Reference>
      <Reference URI="/xl/printerSettings/printerSettings21.bin?ContentType=application/vnd.openxmlformats-officedocument.spreadsheetml.printerSettings">
        <DigestMethod Algorithm="http://www.w3.org/2001/04/xmlenc#sha256"/>
        <DigestValue>OGD3iF2+l78gTInlDCWFPycZVuHBpUE02raJ/Wr5XCI=</DigestValue>
      </Reference>
      <Reference URI="/xl/printerSettings/printerSettings22.bin?ContentType=application/vnd.openxmlformats-officedocument.spreadsheetml.printerSettings">
        <DigestMethod Algorithm="http://www.w3.org/2001/04/xmlenc#sha256"/>
        <DigestValue>GyyR84UYFfbFvVrs+ip9vPggIMAXC0nxkmeUVNsGxCc=</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ZVxXhJn6XmjT/m1Dw2UhwYZPVXYMSYE+DUFTlsgHV4s=</DigestValue>
      </Reference>
      <Reference URI="/xl/printerSettings/printerSettings25.bin?ContentType=application/vnd.openxmlformats-officedocument.spreadsheetml.printerSettings">
        <DigestMethod Algorithm="http://www.w3.org/2001/04/xmlenc#sha256"/>
        <DigestValue>ZVxXhJn6XmjT/m1Dw2UhwYZPVXYMSYE+DUFTlsgHV4s=</DigestValue>
      </Reference>
      <Reference URI="/xl/printerSettings/printerSettings26.bin?ContentType=application/vnd.openxmlformats-officedocument.spreadsheetml.printerSettings">
        <DigestMethod Algorithm="http://www.w3.org/2001/04/xmlenc#sha256"/>
        <DigestValue>ZVxXhJn6XmjT/m1Dw2UhwYZPVXYMSYE+DUFTlsgHV4s=</DigestValue>
      </Reference>
      <Reference URI="/xl/printerSettings/printerSettings27.bin?ContentType=application/vnd.openxmlformats-officedocument.spreadsheetml.printerSettings">
        <DigestMethod Algorithm="http://www.w3.org/2001/04/xmlenc#sha256"/>
        <DigestValue>ZVxXhJn6XmjT/m1Dw2UhwYZPVXYMSYE+DUFTlsgHV4s=</DigestValue>
      </Reference>
      <Reference URI="/xl/printerSettings/printerSettings28.bin?ContentType=application/vnd.openxmlformats-officedocument.spreadsheetml.printerSettings">
        <DigestMethod Algorithm="http://www.w3.org/2001/04/xmlenc#sha256"/>
        <DigestValue>ZVxXhJn6XmjT/m1Dw2UhwYZPVXYMSYE+DUFTlsgHV4s=</DigestValue>
      </Reference>
      <Reference URI="/xl/printerSettings/printerSettings29.bin?ContentType=application/vnd.openxmlformats-officedocument.spreadsheetml.printerSettings">
        <DigestMethod Algorithm="http://www.w3.org/2001/04/xmlenc#sha256"/>
        <DigestValue>ZVxXhJn6XmjT/m1Dw2UhwYZPVXYMSYE+DUFTlsgHV4s=</DigestValue>
      </Reference>
      <Reference URI="/xl/printerSettings/printerSettings3.bin?ContentType=application/vnd.openxmlformats-officedocument.spreadsheetml.printerSettings">
        <DigestMethod Algorithm="http://www.w3.org/2001/04/xmlenc#sha256"/>
        <DigestValue>etcbSocZ+fnLsUbJz0LkI2IH94+TEQQYef5apUBQ778=</DigestValue>
      </Reference>
      <Reference URI="/xl/printerSettings/printerSettings30.bin?ContentType=application/vnd.openxmlformats-officedocument.spreadsheetml.printerSettings">
        <DigestMethod Algorithm="http://www.w3.org/2001/04/xmlenc#sha256"/>
        <DigestValue>QYEL4KgfVDON32G6gR2kYQY44f245JdSxX29nAOa8qU=</DigestValue>
      </Reference>
      <Reference URI="/xl/printerSettings/printerSettings4.bin?ContentType=application/vnd.openxmlformats-officedocument.spreadsheetml.printerSettings">
        <DigestMethod Algorithm="http://www.w3.org/2001/04/xmlenc#sha256"/>
        <DigestValue>8ULINyTSns7e3+F/twyhXb2p4OEI5M6paxloUp/0tKM=</DigestValue>
      </Reference>
      <Reference URI="/xl/printerSettings/printerSettings5.bin?ContentType=application/vnd.openxmlformats-officedocument.spreadsheetml.printerSettings">
        <DigestMethod Algorithm="http://www.w3.org/2001/04/xmlenc#sha256"/>
        <DigestValue>8ULINyTSns7e3+F/twyhXb2p4OEI5M6paxloUp/0tKM=</DigestValue>
      </Reference>
      <Reference URI="/xl/printerSettings/printerSettings6.bin?ContentType=application/vnd.openxmlformats-officedocument.spreadsheetml.printerSettings">
        <DigestMethod Algorithm="http://www.w3.org/2001/04/xmlenc#sha256"/>
        <DigestValue>8ULINyTSns7e3+F/twyhXb2p4OEI5M6paxloUp/0tKM=</DigestValue>
      </Reference>
      <Reference URI="/xl/printerSettings/printerSettings7.bin?ContentType=application/vnd.openxmlformats-officedocument.spreadsheetml.printerSettings">
        <DigestMethod Algorithm="http://www.w3.org/2001/04/xmlenc#sha256"/>
        <DigestValue>8ULINyTSns7e3+F/twyhXb2p4OEI5M6paxloUp/0tKM=</DigestValue>
      </Reference>
      <Reference URI="/xl/printerSettings/printerSettings8.bin?ContentType=application/vnd.openxmlformats-officedocument.spreadsheetml.printerSettings">
        <DigestMethod Algorithm="http://www.w3.org/2001/04/xmlenc#sha256"/>
        <DigestValue>8ULINyTSns7e3+F/twyhXb2p4OEI5M6paxloUp/0tKM=</DigestValue>
      </Reference>
      <Reference URI="/xl/printerSettings/printerSettings9.bin?ContentType=application/vnd.openxmlformats-officedocument.spreadsheetml.printerSettings">
        <DigestMethod Algorithm="http://www.w3.org/2001/04/xmlenc#sha256"/>
        <DigestValue>8ULINyTSns7e3+F/twyhXb2p4OEI5M6paxloUp/0tKM=</DigestValue>
      </Reference>
      <Reference URI="/xl/sharedStrings.xml?ContentType=application/vnd.openxmlformats-officedocument.spreadsheetml.sharedStrings+xml">
        <DigestMethod Algorithm="http://www.w3.org/2001/04/xmlenc#sha256"/>
        <DigestValue>V/w+UFDuoKCaMO9SSgiqgdegozZgbqeeTZ78vhxZs4Y=</DigestValue>
      </Reference>
      <Reference URI="/xl/styles.xml?ContentType=application/vnd.openxmlformats-officedocument.spreadsheetml.styles+xml">
        <DigestMethod Algorithm="http://www.w3.org/2001/04/xmlenc#sha256"/>
        <DigestValue>z/eeshVk+brcI+H+/v+xG/3T6WFPSRAeaKjEIgLbkPc=</DigestValue>
      </Reference>
      <Reference URI="/xl/tables/table1.xml?ContentType=application/vnd.openxmlformats-officedocument.spreadsheetml.table+xml">
        <DigestMethod Algorithm="http://www.w3.org/2001/04/xmlenc#sha256"/>
        <DigestValue>QTRSFVlS4HnbP6Y2+j++lvSrT1G6wMfxJrt66Q3MxtU=</DigestValue>
      </Reference>
      <Reference URI="/xl/tables/table2.xml?ContentType=application/vnd.openxmlformats-officedocument.spreadsheetml.table+xml">
        <DigestMethod Algorithm="http://www.w3.org/2001/04/xmlenc#sha256"/>
        <DigestValue>IKN1IhsRr9HunQR58XkrS2sj34eYQN7uwQ3Oy8wQ0eI=</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Iod+Xl9RCPODBPIpko8c6sQtIg/QuqibY8/4p+Z/JNc=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jDc0sWYJkR/CBrRak8ingqluwJ7oQsCcOInX+LVxKvE=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pZw3bSadmKfHZZmptVaCzS0QUOVcJ//YwG7scJq0pf8=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Mnq392zy7n/68NDdV/yytQb7iuJvY10PdgkI8Mb+g6k=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ucQ64hiB/nP1Fi8WKz3Th1kdZisK8aGhJEPJfohLxM8=</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Tli28rN8igOjzPasqezpYxpfwxhNMdfjzhfnghEdtVc=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iCVOH+dXPW5Yow03OFzE3KFxd7gLMdb90NF1eBlmABk=</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zgur8m8h3dHGUIjwiYWUwhCf0M5q1vRr8/fpz0BeqjQ=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7K0RfRaSjDP6tX2AJJpMSRjcmHBmC4suCih810VKQKE=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YJfbdRjw9jzDIHxg9lF8IV5su7pXZUZ3BubXlm6sSbI=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N8qijj8WXJ10YGO5eKPxvirB/H7N/Cb0D2n1Mzyaryo=</DigestValue>
      </Reference>
      <Reference URI="/xl/worksheets/sheet1.xml?ContentType=application/vnd.openxmlformats-officedocument.spreadsheetml.worksheet+xml">
        <DigestMethod Algorithm="http://www.w3.org/2001/04/xmlenc#sha256"/>
        <DigestValue>RQrBSlri31PMwZlIl5U8oN6J/gyebqTN0C1tnBaPr1M=</DigestValue>
      </Reference>
      <Reference URI="/xl/worksheets/sheet10.xml?ContentType=application/vnd.openxmlformats-officedocument.spreadsheetml.worksheet+xml">
        <DigestMethod Algorithm="http://www.w3.org/2001/04/xmlenc#sha256"/>
        <DigestValue>VdSSMhq7PPyGTGDw8th3UTvOa3U89Ih1rcKsbGp6WEc=</DigestValue>
      </Reference>
      <Reference URI="/xl/worksheets/sheet11.xml?ContentType=application/vnd.openxmlformats-officedocument.spreadsheetml.worksheet+xml">
        <DigestMethod Algorithm="http://www.w3.org/2001/04/xmlenc#sha256"/>
        <DigestValue>tvzKKq8EPOADTa94CUdCYmoZ4T6lnIZpEmf/8HsdSIo=</DigestValue>
      </Reference>
      <Reference URI="/xl/worksheets/sheet2.xml?ContentType=application/vnd.openxmlformats-officedocument.spreadsheetml.worksheet+xml">
        <DigestMethod Algorithm="http://www.w3.org/2001/04/xmlenc#sha256"/>
        <DigestValue>R7gGbROsq8wtNMf9wb9NhnoX7CbE0LKzExehQybw3Z8=</DigestValue>
      </Reference>
      <Reference URI="/xl/worksheets/sheet3.xml?ContentType=application/vnd.openxmlformats-officedocument.spreadsheetml.worksheet+xml">
        <DigestMethod Algorithm="http://www.w3.org/2001/04/xmlenc#sha256"/>
        <DigestValue>t7XEAo8Uy0vjd/DJ2C4BITc81JYXlBr/JkVguL11LaQ=</DigestValue>
      </Reference>
      <Reference URI="/xl/worksheets/sheet4.xml?ContentType=application/vnd.openxmlformats-officedocument.spreadsheetml.worksheet+xml">
        <DigestMethod Algorithm="http://www.w3.org/2001/04/xmlenc#sha256"/>
        <DigestValue>cEnOJfsnp/NBRY+3I/VQDmCO7RMEqgGuf8UEqrDuCIU=</DigestValue>
      </Reference>
      <Reference URI="/xl/worksheets/sheet5.xml?ContentType=application/vnd.openxmlformats-officedocument.spreadsheetml.worksheet+xml">
        <DigestMethod Algorithm="http://www.w3.org/2001/04/xmlenc#sha256"/>
        <DigestValue>EswEMBCM4zdmW1cMOh7rkhk8swYW2MNO2WQBh8M1rRc=</DigestValue>
      </Reference>
      <Reference URI="/xl/worksheets/sheet6.xml?ContentType=application/vnd.openxmlformats-officedocument.spreadsheetml.worksheet+xml">
        <DigestMethod Algorithm="http://www.w3.org/2001/04/xmlenc#sha256"/>
        <DigestValue>D58Ad9xw9rLp8vtfuoXZKREoJCKBX5r+HJLMNlecAok=</DigestValue>
      </Reference>
      <Reference URI="/xl/worksheets/sheet7.xml?ContentType=application/vnd.openxmlformats-officedocument.spreadsheetml.worksheet+xml">
        <DigestMethod Algorithm="http://www.w3.org/2001/04/xmlenc#sha256"/>
        <DigestValue>gSn74GrP21z2K652QtORivHMqG62kbL+N6pM0KMuNoM=</DigestValue>
      </Reference>
      <Reference URI="/xl/worksheets/sheet8.xml?ContentType=application/vnd.openxmlformats-officedocument.spreadsheetml.worksheet+xml">
        <DigestMethod Algorithm="http://www.w3.org/2001/04/xmlenc#sha256"/>
        <DigestValue>RHD7ig3kB2XIS94P7M7laThHUC2ZEnlItLh4CQ8e2cA=</DigestValue>
      </Reference>
      <Reference URI="/xl/worksheets/sheet9.xml?ContentType=application/vnd.openxmlformats-officedocument.spreadsheetml.worksheet+xml">
        <DigestMethod Algorithm="http://www.w3.org/2001/04/xmlenc#sha256"/>
        <DigestValue>NbdLLWXsZdwhOiIfvFm/hDyLJl0+E1xl/cjBrRt6I8I=</DigestValue>
      </Reference>
    </Manifest>
    <SignatureProperties>
      <SignatureProperty Id="idSignatureTime" Target="#idPackageSignature">
        <mdssi:SignatureTime xmlns:mdssi="http://schemas.openxmlformats.org/package/2006/digital-signature">
          <mdssi:Format>YYYY-MM-DDThh:mm:ssTZD</mdssi:Format>
          <mdssi:Value>2026-08-13T17:45:12Z</mdssi:Value>
        </mdssi:SignatureTime>
      </SignatureProperty>
    </SignatureProperties>
  </Object>
  <Object Id="idOfficeObject">
    <SignatureProperties>
      <SignatureProperty Id="idOfficeV1Details" Target="#idPackageSignature">
        <SignatureInfoV1 xmlns="http://schemas.microsoft.com/office/2006/digsig">
          <SetupID>{DCD42085-4604-4E5F-B7E7-CB76A70D0980}</SetupID>
          <SignatureText>Rodolfo Gauto</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2026-08-13T17:45:12Z</xd:SigningTime>
          <xd:SigningCertificate>
            <xd:Cert>
              <xd:CertDigest>
                <DigestMethod Algorithm="http://www.w3.org/2001/04/xmlenc#sha256"/>
                <DigestValue>WfscYALnhvg2pBPqkXRM09ecBSYUcWCJWQ3KvWp2wzE=</DigestValue>
              </xd:CertDigest>
              <xd:IssuerSerial>
                <X509IssuerName>C=PY, O=ICPP, OU=Prestador Cualificado de Servicios de Confianza, SERIALNUMBER=RUC 80113823-0, CN=CONFIRMA S.A.</X509IssuerName>
                <X509SerialNumber>2998039560924145427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uzCCBaOgAwIBAgIQR0iwnd34CQJkdMw24JuyvzANBgkqhkiG9w0BAQsFADBvMQswCQYDVQQGEwJQWTErMCkGA1UECgwiTWluaXN0ZXJpbyBkZSBJbmR1c3RyaWEgeSBDb21lcmNpbzEzMDEGA1UEAwwqQXV0b3JpZGFkIENlcnRpZmljYWRvcmEgUmHDrXogZGVsIFBhcmFndWF5MB4XDTIzMDUyOTE2MDA1M1oXDTMyMDUyOTE2MDA1M1owgYcxFjAUBgNVBAMMDUNPTkZJUk1BIFMuQS4xFzAVBgNVBAUTDlJVQyA4MDExMzgyMy0wMTgwNgYDVQQLDC9QcmVzdGFkb3IgQ3VhbGlmaWNhZG8gZGUgU2VydmljaW9zIGRlIENvbmZpYW56YTENMAsGA1UECgwESUNQUDELMAkGA1UEBhMCUFkwggIiMA0GCSqGSIb3DQEBAQUAA4ICDwAwggIKAoICAQC0bqndckSA1NBd4+H1LL1QQ+/Hte8E8GIc+Cl2IWx8XVCIbH4D8r9ZZNB/GD7Sa0JVTyFxeXXn6+qLhbFsE5yrHM5y9+U7rri0xSx/iuudjmrSePO3cEQrQe0amoCtieY+nEjMxJ6RJzQRacE6Smyoa9VRsAo8R/kiIwUq9YJ1sIA7CKByQnxxxhmOriNx/ke52RI3s7HM4Bp0t03dwnAC0f/efuXeyEevLe1wpAuznk2AU6+RtXtZ8Y+l2pIY8GVl1e4Jqf4/5OlZtakorZlJSwpUm1bkkeqEKPESds6XEw0h7N/mn1irpen2FH86E0lZNfqWNTNv58cQnTkTzNprAPSc6tmIz8OikMKjxwtO3Q9cgykfEdSBM23SWnlPav4WmXB7ADPSSrhmC0r51BDLigTHAiz/dbByBWmAnFKXcxil9fqAlzPE89VXnvETfcyJsK9cdLviVuDSztXVQnh0UoUeMwEICDcU0/HuSgV6FP1gl7TU1UZofBwQeilFtx0prQ5xTzP4fax84YoYPxg6QBJvzmA5vtKVUiQgA0x1dRC0nocV/venOlGho6CI9Fddu/kz6/VcHVjTuA/6Ammc9fyGydqchjWrUYOEbQxA6BGCzJu8j4c2yr6QIqG4mEtw415YSx4Az0oX+jrguZNaZyCEkbCvNopq2iXxmHjJZwIDAQABo4ICODCCAjQwEgYDVR0TAQH/BAgwBgEB/wIBADAOBgNVHQ8BAf8EBAMCAQYwHQYDVR0OBBYEFDj6s5eLGoZm2MDIh5/0YA14tjhKMB8GA1UdIwQYMBaAFMLEEfIqaEQMACjsTNYp25L7Xr3WMIG/BggrBgEFBQcBAQSBsjCBrzA/BggrBgEFBQcwAoYzaHR0cHM6Ly93d3cuYWNyYWl6Lmdvdi5weS9jcnQvYWNfcmFpel9weV9zaGEyNTYuY3J0MDUGCCsGAQUFBzABhilodHRwOi8vb2NzcDEudWFuYXRhY2EuY29tL3B1YmxpYy9wa2kvb2NzcDA1BggrBgEFBQcwAYYpaHR0cDovL29jc3AyLnVhbmF0YWNhLmNvbS9wdWJsaWMvcGtpL29jc3Awgc0GA1UdIASBxTCBwjCBvwYDVR0gMIG3MDkGCCsGAQUFBwIBFi1odHRwczovL3d3dy5hY3JhaXouZ292LnB5L2RwYy9ET0MtSUNQUC0wMS5wZGYwegYIKwYBBQUHAgIwbhpsU3VqZXRvIGEgbGFzIGNvbmRpY2lvbmVzIGRlIHVzbyBleHB1ZXN0YXMgZW4gbGEgRGVjbGFyYWNp824gZGUgUHLhY3RpY2FzIGRlIENlcnRpZmljYWNp824gZGUgbGEgQUMgUmHteiAtIFB5MDwGA1UdHwQ1MDMwMaAvoC2GK2h0dHA6Ly93d3cuYWNyYWl6Lmdvdi5weS9hcmwvYWNfcmFpel9weS5jcmwwDQYJKoZIhvcNAQELBQADggIBAA07dHHEcpym5vkGd32nxzPS89zx8Xa8SEDflnGlw4tskpQoZeRUDMG4GxVDEyrG8KARysYyOZ6lQ1r0BkDhsiB1rsZZAiLBhmFNyd8+8IELQGgHk3uC2YzCT95pw+mkp02Lah9ObIcsRh4tYd6ZBiVzFC3FcwPktSK3ZecQrRxqJm17dx+k5a5xM5HQDjXcy5YteFGiaDDZV0FYCNNIWxzyaFd4bYwXbolAOOkbz0rRZghR3Ya5OpF0rCwtdF7+8c4nfvV0N/4iZ2BM9YVTuz8kEMzG8ee4q8zlhuS6DKkxmhIinEtVfX9H/XVc4n4Q7qimA2sQS0Y6Ra+zz6ojCJuKVDHsYUgxJU6MkkhKmDewGIWnlCPxJxv5MCsOfwU9pUCAZG8SqjzXIgKa15oKKuXHgVUkEg+/ItTlVL13y4QOgdJlG0t91UjiQ3AUzG98Hi5hotHQHDb1poRJj8rRUTXw+9kkuKVitNZgJE2lfmCyO4yTkhT/QgWVAFIm+Kfd3qZ3z7NYDhrfXjRlGsHj2fTy4Swbt6xuaA1LIMPXD22t0mK+LTazNudJgwygtBQTOA3129nUBLnhpoarU6gmquGKjjbNtVObJbFbwVHgM4EcaIVOaIs/KrtBwrUG9ShTQM9BSbB+xq3bKUIlCKwtaltCjsPV+oKq/WYXEGKTQj7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JYBAAC/AAAAAAAAAAAAAAACGQAA0AsAACBFTUYAAAEAoBsAAKo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QAAfEEfAQAABgAAAAkAAABMAAAAAAAAAAAAAAAAAAAA//////////9gAAAAMQAzAC8AOAAvADIAMAAyADYAAAAJAAAACQAAAAYAAAAJAAAABgAAAAkAAAAJAAAACQAAAAk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Object Id="idInvalidSigLnImg">AQAAAGwAAAAAAAAAAAAAAJYBAAC/AAAAAAAAAAAAAAACGQAA0AsAACBFTUYAAAEAoCQAALE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QAAfEFDAAAABgAAAA8AAABMAAAAAAAAAAAAAAAAAAAA//////////9sAAAARgBpAHIAbQBhACAAbgBvACAAdgDhAGwAaQBkAGEAAAAIAAAABAAAAAYAAAAOAAAACAAAAAQAAAAJAAAACQAAAAQAAAAIAAAACAAAAAQAAAAEAAAACQAAAAg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Signature>
</file>

<file path=_xmlsignatures/sig10.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IGNSrn3d0D5QjNWMUIder40cZfbQzst7oXOqfQLB7DA=</DigestValue>
    </Reference>
    <Reference Type="http://www.w3.org/2000/09/xmldsig#Object" URI="#idOfficeObject">
      <DigestMethod Algorithm="http://www.w3.org/2001/04/xmlenc#sha256"/>
      <DigestValue>wJw/EU3IjuP2ldAu3KPxFTUBr5MkWe8H0p0wIa2GfJU=</DigestValue>
    </Reference>
    <Reference Type="http://uri.etsi.org/01903#SignedProperties" URI="#idSignedProperties">
      <Transforms>
        <Transform Algorithm="http://www.w3.org/TR/2001/REC-xml-c14n-20010315"/>
      </Transforms>
      <DigestMethod Algorithm="http://www.w3.org/2001/04/xmlenc#sha256"/>
      <DigestValue>trWLUoH7nYVLPPeRXkbPd50jElUTMCBYnk8+OoXkjs8=</DigestValue>
    </Reference>
    <Reference Type="http://www.w3.org/2000/09/xmldsig#Object" URI="#idValidSigLnImg">
      <DigestMethod Algorithm="http://www.w3.org/2001/04/xmlenc#sha256"/>
      <DigestValue>Jh3tziakw2YFjmN8sr16Jqws4mpJT38tmYjrORDGvsg=</DigestValue>
    </Reference>
    <Reference Type="http://www.w3.org/2000/09/xmldsig#Object" URI="#idInvalidSigLnImg">
      <DigestMethod Algorithm="http://www.w3.org/2001/04/xmlenc#sha256"/>
      <DigestValue>6lX5xGz+09Ws28hoP4VVfof4t/oj8SVKAngYRvfLqoA=</DigestValue>
    </Reference>
  </SignedInfo>
  <SignatureValue>yDC9tWi4TQEbLYSm9ikk00eRKEVpIvulcRlZk9K/ZwXGl650SfIC7hV9kcZwR1tMaw0T3VSjDSAi
RY8XiqaxKV4+GTD2USByVjRoV2lAjU9j4XHgM6pUGFAoHfn6Kwjmzo3eu/gUGOsKSv7u/OsJdDav
zORpaGGfqjt+Tr7RurZhJ4pGiw/hlzJ1wsKraC5DCUPGynCJZXWFoSWEfschM8aZYEEc/ViFtktF
MpfXkR5MYtY7kVskle5jO78WzkKwOrCwsyv0m6I4e1cw+Wup7AwA8cVKoWm/TwwlPnid63EuwpzE
Idnkx47rnDH9tOWYj5EVvkBYpyjgASC5nw9o6w==</SignatureValue>
  <KeyInfo>
    <X509Data>
      <X509Certificate>MIIKrzCCCJegAwIBAgIIKZstGKtzpxMwDQYJKoZIhvcNAQELBQAwgYcxFjAUBgNVBAMMDUNPTkZJUk1BIFMuQS4xFzAVBgNVBAUTDlJVQyA4MDExMzgyMy0wMTgwNgYDVQQLDC9QcmVzdGFkb3IgQ3VhbGlmaWNhZG8gZGUgU2VydmljaW9zIGRlIENvbmZpYW56YTENMAsGA1UECgwESUNQUDELMAkGA1UEBhMCUFkwHhcNMjUwNDMwMTUyMjAwWhcNMjcwNDMwMTUyMjAwWjCBwjELMAkGA1UEBhMCUFkxNTAzBgNVBAoMLENFUlRJRklDQURPIENVQUxJRklDQURPIERFIEZJUk1BIEVMRUNUUk9OSUNBMQswCQYDVQQLDAJGMzEXMBUGA1UEBAwOR0FVVE8gTUFSSU9UVEkxGDAWBgNVBCoMD1JPRE9MRk8gSUdOQUNJTzETMBEGA1UEBRMKQ0kgMzUwODg4MzEnMCUGA1UEAwweUk9ET0xGTyBJR05BQ0lPIEdBVVRPIE1BUklPVFRJMIIBIjANBgkqhkiG9w0BAQEFAAOCAQ8AMIIBCgKCAQEA4qox2Vcm1SmO9VlrimtylnWX4KlkUUmaNgKzOsL40K1BfO4JORvF0hSUqaIJdwyRnZPyYKVwrj9vp6/AuFYG+LkiX32CDCZWc3gHFf3kfQGizCh98OVUhMxwWNJm0UzKo3KlOSV8hAVxEVFKJTt3Vkbpn8zZvoDvPcFHsDX7AZOS8sFb6HYzAyRnZfc1VJvgqZ2VyMrZsF7uI4XpOkiEgUocq7FjjjOdY5gUbru1BZYs6CGIcijJgCg6TZm4laRtP0XMLmq7UN/3+y8qe71pb85rDTOYnnNv482mAfVURznQ131ik0nLfSysK0vPzCuvPCqQMHVhMr48/PpOakiXPwIDAQABo4IF4DCCBdwwDAYDVR0TAQH/BAIwADAfBgNVHSMEGDAWgBQ4+rOXixqGZtjAyIef9GANeLY4SjCBvwYIKwYBBQUHAQEEgbIwga8wPQYIKwYBBQUHMAKGMWh0dHBzOi8vd3d3LmNvbmZpcm1hLmNvbS5weS9yZXBvc2l0b3Jpby1jb25maXJtYS8wNgYIKwYBBQUHMAGGKmh0dHA6Ly9vY3NwMS51YW5hdGFjYS5jb20vcHVibGljL3BraS9vY3NwLzA2BggrBgEFBQcwAYYqaHR0cDovL29jc3AyLnVhbmF0YWNhLmNvbS9wdWJsaWMvcGtpL29jc3AvMHAGA1UdEQRpMGeBGEdBVVRPTUFSSU9UVElS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TG0mAvbpe1nxzWD+u0wQTZr2NqezAOBgNVHQ8BAf8EBAMCBeAwDQYJKoZIhvcNAQELBQADggIBAGAqsp9KxakZSZgKvgGv8IKQxiNcbHIXYAfPB/QofhrEs+IujRWQKc5+F6nWyfopdgO5lwoTRuB+iRteoroOjqdoBN6tmhrzUzjUndVkV7R7wzPk7vkSjCt+8cMfeCVoBfuSL0CFoOItDqzk52yUpnRMxuhjTry6GH4xoQlBqMq6qzH5O+vQ8FMLGAiZDRuHOMUjk/8fUKCe6XzDV2BDvlJYkjSmNbYQUxLhCdiddjNDMFNKvD/EOkGVoe2iPegUYtgFHOJfC436cDYCKWAmLAYIc1M9CMsedcqSppVvdCaldg90jZaZ+SPjDiKLfyC8Mln9epOBsbDqfR/NIMs0ma1D4C5VcCL+Sk1dQRXq7CiY3Jxwf+o+VfmJHCsJjcN8Kz17XrKv/l2cYOuzgqimu9WGKoR8d+3jvgYE3I1yCfkaFi1ZmEGoIUhpDnTkYTed63QTx7YdATU5ebLYGv0aOniyVSd1Sov6ZUnAUClCGbtXeaNDyjlHIL5K5vCQcZjQ8wG1mGPiP+VtTh5AioG5k4PkK0qNQGa33Sh0Ej8OsGpcWh3q2/woUtw6iHtg08Dmqd0x9ncEV/YcSm1X0ZkgEvOl60EyGxWt7qErOIhoxDUc9LiZ/5Xnj+l3WuUweI5pokKyLeKM1zRRIWfSUQD3k+gjoS0K8HYwkDi3wIvzYVR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/Ck4NrQeZAHF831xLBB7K7yeBD4HVDqFdSeGjxFIugk=</DigestValue>
      </Reference>
      <Reference URI="/xl/calcChain.xml?ContentType=application/vnd.openxmlformats-officedocument.spreadsheetml.calcChain+xml">
        <DigestMethod Algorithm="http://www.w3.org/2001/04/xmlenc#sha256"/>
        <DigestValue>+NyeNyIHrQv7x/d7NUuWQqqgB6nR5SiUKZdjjhHZnLU=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ucrTLbStQr/H2WHX3yG6MmDb0NXX+PwHVU4uUbcl8jY=</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gJN++dn2wxx/Cd6pFFOPi1CJuYShB1qNyNFMqnAERYg=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ucrTLbStQr/H2WHX3yG6MmDb0NXX+PwHVU4uUbcl8jY=</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7YsyKqJFttyEEYgq8OCabNHbiPUxlADESpJUKW5fCBk=</DigestValue>
      </Reference>
      <Reference URI="/xl/drawings/drawing1.xml?ContentType=application/vnd.openxmlformats-officedocument.drawing+xml">
        <DigestMethod Algorithm="http://www.w3.org/2001/04/xmlenc#sha256"/>
        <DigestValue>ub074ZLH8w4xlalqairs0BhLike/ijp43YfbOrzi420=</DigestValue>
      </Reference>
      <Reference URI="/xl/drawings/drawing2.xml?ContentType=application/vnd.openxmlformats-officedocument.drawing+xml">
        <DigestMethod Algorithm="http://www.w3.org/2001/04/xmlenc#sha256"/>
        <DigestValue>jSEA7QF2epsqpRqyAn5pGlelL7JhshD38KzThNyanj4=</DigestValue>
      </Reference>
      <Reference URI="/xl/drawings/drawing3.xml?ContentType=application/vnd.openxmlformats-officedocument.drawing+xml">
        <DigestMethod Algorithm="http://www.w3.org/2001/04/xmlenc#sha256"/>
        <DigestValue>w1km3rn21G8nhqvfeQQCJPmdK8nSug1i56T6Su0Ay7A=</DigestValue>
      </Reference>
      <Reference URI="/xl/drawings/drawing4.xml?ContentType=application/vnd.openxmlformats-officedocument.drawing+xml">
        <DigestMethod Algorithm="http://www.w3.org/2001/04/xmlenc#sha256"/>
        <DigestValue>Inzha6baeAKE0WuKvq0NbHcSeKHit1HfjuHs2WT/AC8=</DigestValue>
      </Reference>
      <Reference URI="/xl/drawings/drawing5.xml?ContentType=application/vnd.openxmlformats-officedocument.drawing+xml">
        <DigestMethod Algorithm="http://www.w3.org/2001/04/xmlenc#sha256"/>
        <DigestValue>Tpe4YJTEcZHjnkuwCRyvhPu/MIzXAWLSeBBMA18aXRI=</DigestValue>
      </Reference>
      <Reference URI="/xl/drawings/drawing6.xml?ContentType=application/vnd.openxmlformats-officedocument.drawing+xml">
        <DigestMethod Algorithm="http://www.w3.org/2001/04/xmlenc#sha256"/>
        <DigestValue>t0IiKkrStl/PiA8NVpK6Yzzs0p7cTjDqmZEHG31Qyng=</DigestValue>
      </Reference>
      <Reference URI="/xl/drawings/drawing7.xml?ContentType=application/vnd.openxmlformats-officedocument.drawing+xml">
        <DigestMethod Algorithm="http://www.w3.org/2001/04/xmlenc#sha256"/>
        <DigestValue>virplHJot2IoRHIXdPVnprgNPvJSCFYXhwmEbMvdtaE=</DigestValue>
      </Reference>
      <Reference URI="/xl/drawings/drawing8.xml?ContentType=application/vnd.openxmlformats-officedocument.drawing+xml">
        <DigestMethod Algorithm="http://www.w3.org/2001/04/xmlenc#sha256"/>
        <DigestValue>1BVrvUMHBLQW/qes4fhJwFjL6MIO+dw9dzaEu6di9KE=</DigestValue>
      </Reference>
      <Reference URI="/xl/drawings/vmlDrawing1.vml?ContentType=application/vnd.openxmlformats-officedocument.vmlDrawing">
        <DigestMethod Algorithm="http://www.w3.org/2001/04/xmlenc#sha256"/>
        <DigestValue>ExUTJEbNBuk1CckpWwd+8plgcmJe8qoGbB2TUFKe+kA=</DigestValue>
      </Reference>
      <Reference URI="/xl/drawings/vmlDrawing2.vml?ContentType=application/vnd.openxmlformats-officedocument.vmlDrawing">
        <DigestMethod Algorithm="http://www.w3.org/2001/04/xmlenc#sha256"/>
        <DigestValue>h2FOx/Jlq4UYa4Cpos0p40QGXDtAcRKPPYKd8I7NjvY=</DigestValue>
      </Reference>
      <Reference URI="/xl/drawings/vmlDrawing3.vml?ContentType=application/vnd.openxmlformats-officedocument.vmlDrawing">
        <DigestMethod Algorithm="http://www.w3.org/2001/04/xmlenc#sha256"/>
        <DigestValue>AA278wmMGW/Y9QsgFZqd+7Z8mopkpG53UQ93BDbx4WE=</DigestValue>
      </Reference>
      <Reference URI="/xl/drawings/vmlDrawing4.vml?ContentType=application/vnd.openxmlformats-officedocument.vmlDrawing">
        <DigestMethod Algorithm="http://www.w3.org/2001/04/xmlenc#sha256"/>
        <DigestValue>ArJYfFm9RCQzoEjHp9F2NIgGy/rbhUv/OzAFzV+JEV4=</DigestValue>
      </Reference>
      <Reference URI="/xl/drawings/vmlDrawing5.vml?ContentType=application/vnd.openxmlformats-officedocument.vmlDrawing">
        <DigestMethod Algorithm="http://www.w3.org/2001/04/xmlenc#sha256"/>
        <DigestValue>6u8vsyy6r4PKsRHLrr6eKcYZlGcnaa5JNs92G7m0x50=</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77SVdrsY4G7JRFikg775s6ndkn/5KeYu/l1XKd699gw=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XmN+S1Rb9DQwXeJhiPMr1ywuylQu67StAn77KPQ/9M4=</DigestValue>
      </Reference>
      <Reference URI="/xl/externalLinks/externalLink1.xml?ContentType=application/vnd.openxmlformats-officedocument.spreadsheetml.externalLink+xml">
        <DigestMethod Algorithm="http://www.w3.org/2001/04/xmlenc#sha256"/>
        <DigestValue>Asaf0dJqvI2CGiR4mDOs5Bz0dA7uFptOxkq8VP6/Axg=</DigestValue>
      </Reference>
      <Reference URI="/xl/externalLinks/externalLink2.xml?ContentType=application/vnd.openxmlformats-officedocument.spreadsheetml.externalLink+xml">
        <DigestMethod Algorithm="http://www.w3.org/2001/04/xmlenc#sha256"/>
        <DigestValue>MAymwNHVD9MjrQzp8QSFTGHiEzTtpA6htR4Lpqs3neg=</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henAiMKyQumysm/rmsKObYIquv2sss0Xb+LHqi1agew=</DigestValue>
      </Reference>
      <Reference URI="/xl/media/image3.emf?ContentType=image/x-emf">
        <DigestMethod Algorithm="http://www.w3.org/2001/04/xmlenc#sha256"/>
        <DigestValue>YVtsuH8bDXjJV2Dy/6lemD+B/MEJUFMlT3OBultaYYw=</DigestValue>
      </Reference>
      <Reference URI="/xl/media/image4.emf?ContentType=image/x-emf">
        <DigestMethod Algorithm="http://www.w3.org/2001/04/xmlenc#sha256"/>
        <DigestValue>aFnNK946hBo3dFBQ1iTrTWLYet31AXs15w+XcScy08U=</DigestValue>
      </Reference>
      <Reference URI="/xl/media/image5.emf?ContentType=image/x-emf">
        <DigestMethod Algorithm="http://www.w3.org/2001/04/xmlenc#sha256"/>
        <DigestValue>SGUAmXtIKfISNtJWaJhypXvQVrvZhFb92d4E5f7ZI/o=</DigestValue>
      </Reference>
      <Reference URI="/xl/media/image6.emf?ContentType=image/x-emf">
        <DigestMethod Algorithm="http://www.w3.org/2001/04/xmlenc#sha256"/>
        <DigestValue>GRQ8cc4rAjEFr9roH+f7cutoGCMFBXoxc1fwnubaFII=</DigestValue>
      </Reference>
      <Reference URI="/xl/printerSettings/printerSettings1.bin?ContentType=application/vnd.openxmlformats-officedocument.spreadsheetml.printerSettings">
        <DigestMethod Algorithm="http://www.w3.org/2001/04/xmlenc#sha256"/>
        <DigestValue>OGD3iF2+l78gTInlDCWFPycZVuHBpUE02raJ/Wr5XCI=</DigestValue>
      </Reference>
      <Reference URI="/xl/printerSettings/printerSettings10.bin?ContentType=application/vnd.openxmlformats-officedocument.spreadsheetml.printerSettings">
        <DigestMethod Algorithm="http://www.w3.org/2001/04/xmlenc#sha256"/>
        <DigestValue>8ULINyTSns7e3+F/twyhXb2p4OEI5M6paxloUp/0tKM=</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aKO8XWThzgvGlTVSu23kX37OoqtKGS6PBUkmhsicI1Y=</DigestValue>
      </Reference>
      <Reference URI="/xl/printerSettings/printerSettings14.bin?ContentType=application/vnd.openxmlformats-officedocument.spreadsheetml.printerSettings">
        <DigestMethod Algorithm="http://www.w3.org/2001/04/xmlenc#sha256"/>
        <DigestValue>aKO8XWThzgvGlTVSu23kX37OoqtKGS6PBUkmhsicI1Y=</DigestValue>
      </Reference>
      <Reference URI="/xl/printerSettings/printerSettings15.bin?ContentType=application/vnd.openxmlformats-officedocument.spreadsheetml.printerSettings">
        <DigestMethod Algorithm="http://www.w3.org/2001/04/xmlenc#sha256"/>
        <DigestValue>dw1o09s0o0lRppdgih3gsQGBOYtYP6TDvnCBQSPWvnk=</DigestValue>
      </Reference>
      <Reference URI="/xl/printerSettings/printerSettings16.bin?ContentType=application/vnd.openxmlformats-officedocument.spreadsheetml.printerSettings">
        <DigestMethod Algorithm="http://www.w3.org/2001/04/xmlenc#sha256"/>
        <DigestValue>+CD8yXTcV7R0UPktSQ1iysCJtCvCSVF2j80e6m46HpQ=</DigestValue>
      </Reference>
      <Reference URI="/xl/printerSettings/printerSettings17.bin?ContentType=application/vnd.openxmlformats-officedocument.spreadsheetml.printerSettings">
        <DigestMethod Algorithm="http://www.w3.org/2001/04/xmlenc#sha256"/>
        <DigestValue>hqnMLvZ6XBY2fH1KhK00vJXWuxlSZRWkoKrdKDrIF2Q=</DigestValue>
      </Reference>
      <Reference URI="/xl/printerSettings/printerSettings18.bin?ContentType=application/vnd.openxmlformats-officedocument.spreadsheetml.printerSettings">
        <DigestMethod Algorithm="http://www.w3.org/2001/04/xmlenc#sha256"/>
        <DigestValue>TRrCOIAvgyay9+dOHANtMRhI4Mlj24DaFIyKQoKcdPw=</DigestValue>
      </Reference>
      <Reference URI="/xl/printerSettings/printerSettings19.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tK77ymY2j+63o2PazHk01j2EtE8ZSKwdI1Ei+LUjmS0=</DigestValue>
      </Reference>
      <Reference URI="/xl/printerSettings/printerSettings20.bin?ContentType=application/vnd.openxmlformats-officedocument.spreadsheetml.printerSettings">
        <DigestMethod Algorithm="http://www.w3.org/2001/04/xmlenc#sha256"/>
        <DigestValue>TRrCOIAvgyay9+dOHANtMRhI4Mlj24DaFIyKQoKcdPw=</DigestValue>
      </Reference>
      <Reference URI="/xl/printerSettings/printerSettings21.bin?ContentType=application/vnd.openxmlformats-officedocument.spreadsheetml.printerSettings">
        <DigestMethod Algorithm="http://www.w3.org/2001/04/xmlenc#sha256"/>
        <DigestValue>OGD3iF2+l78gTInlDCWFPycZVuHBpUE02raJ/Wr5XCI=</DigestValue>
      </Reference>
      <Reference URI="/xl/printerSettings/printerSettings22.bin?ContentType=application/vnd.openxmlformats-officedocument.spreadsheetml.printerSettings">
        <DigestMethod Algorithm="http://www.w3.org/2001/04/xmlenc#sha256"/>
        <DigestValue>GyyR84UYFfbFvVrs+ip9vPggIMAXC0nxkmeUVNsGxCc=</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ZVxXhJn6XmjT/m1Dw2UhwYZPVXYMSYE+DUFTlsgHV4s=</DigestValue>
      </Reference>
      <Reference URI="/xl/printerSettings/printerSettings25.bin?ContentType=application/vnd.openxmlformats-officedocument.spreadsheetml.printerSettings">
        <DigestMethod Algorithm="http://www.w3.org/2001/04/xmlenc#sha256"/>
        <DigestValue>ZVxXhJn6XmjT/m1Dw2UhwYZPVXYMSYE+DUFTlsgHV4s=</DigestValue>
      </Reference>
      <Reference URI="/xl/printerSettings/printerSettings26.bin?ContentType=application/vnd.openxmlformats-officedocument.spreadsheetml.printerSettings">
        <DigestMethod Algorithm="http://www.w3.org/2001/04/xmlenc#sha256"/>
        <DigestValue>ZVxXhJn6XmjT/m1Dw2UhwYZPVXYMSYE+DUFTlsgHV4s=</DigestValue>
      </Reference>
      <Reference URI="/xl/printerSettings/printerSettings27.bin?ContentType=application/vnd.openxmlformats-officedocument.spreadsheetml.printerSettings">
        <DigestMethod Algorithm="http://www.w3.org/2001/04/xmlenc#sha256"/>
        <DigestValue>ZVxXhJn6XmjT/m1Dw2UhwYZPVXYMSYE+DUFTlsgHV4s=</DigestValue>
      </Reference>
      <Reference URI="/xl/printerSettings/printerSettings28.bin?ContentType=application/vnd.openxmlformats-officedocument.spreadsheetml.printerSettings">
        <DigestMethod Algorithm="http://www.w3.org/2001/04/xmlenc#sha256"/>
        <DigestValue>ZVxXhJn6XmjT/m1Dw2UhwYZPVXYMSYE+DUFTlsgHV4s=</DigestValue>
      </Reference>
      <Reference URI="/xl/printerSettings/printerSettings29.bin?ContentType=application/vnd.openxmlformats-officedocument.spreadsheetml.printerSettings">
        <DigestMethod Algorithm="http://www.w3.org/2001/04/xmlenc#sha256"/>
        <DigestValue>ZVxXhJn6XmjT/m1Dw2UhwYZPVXYMSYE+DUFTlsgHV4s=</DigestValue>
      </Reference>
      <Reference URI="/xl/printerSettings/printerSettings3.bin?ContentType=application/vnd.openxmlformats-officedocument.spreadsheetml.printerSettings">
        <DigestMethod Algorithm="http://www.w3.org/2001/04/xmlenc#sha256"/>
        <DigestValue>etcbSocZ+fnLsUbJz0LkI2IH94+TEQQYef5apUBQ778=</DigestValue>
      </Reference>
      <Reference URI="/xl/printerSettings/printerSettings30.bin?ContentType=application/vnd.openxmlformats-officedocument.spreadsheetml.printerSettings">
        <DigestMethod Algorithm="http://www.w3.org/2001/04/xmlenc#sha256"/>
        <DigestValue>QYEL4KgfVDON32G6gR2kYQY44f245JdSxX29nAOa8qU=</DigestValue>
      </Reference>
      <Reference URI="/xl/printerSettings/printerSettings4.bin?ContentType=application/vnd.openxmlformats-officedocument.spreadsheetml.printerSettings">
        <DigestMethod Algorithm="http://www.w3.org/2001/04/xmlenc#sha256"/>
        <DigestValue>8ULINyTSns7e3+F/twyhXb2p4OEI5M6paxloUp/0tKM=</DigestValue>
      </Reference>
      <Reference URI="/xl/printerSettings/printerSettings5.bin?ContentType=application/vnd.openxmlformats-officedocument.spreadsheetml.printerSettings">
        <DigestMethod Algorithm="http://www.w3.org/2001/04/xmlenc#sha256"/>
        <DigestValue>8ULINyTSns7e3+F/twyhXb2p4OEI5M6paxloUp/0tKM=</DigestValue>
      </Reference>
      <Reference URI="/xl/printerSettings/printerSettings6.bin?ContentType=application/vnd.openxmlformats-officedocument.spreadsheetml.printerSettings">
        <DigestMethod Algorithm="http://www.w3.org/2001/04/xmlenc#sha256"/>
        <DigestValue>8ULINyTSns7e3+F/twyhXb2p4OEI5M6paxloUp/0tKM=</DigestValue>
      </Reference>
      <Reference URI="/xl/printerSettings/printerSettings7.bin?ContentType=application/vnd.openxmlformats-officedocument.spreadsheetml.printerSettings">
        <DigestMethod Algorithm="http://www.w3.org/2001/04/xmlenc#sha256"/>
        <DigestValue>8ULINyTSns7e3+F/twyhXb2p4OEI5M6paxloUp/0tKM=</DigestValue>
      </Reference>
      <Reference URI="/xl/printerSettings/printerSettings8.bin?ContentType=application/vnd.openxmlformats-officedocument.spreadsheetml.printerSettings">
        <DigestMethod Algorithm="http://www.w3.org/2001/04/xmlenc#sha256"/>
        <DigestValue>8ULINyTSns7e3+F/twyhXb2p4OEI5M6paxloUp/0tKM=</DigestValue>
      </Reference>
      <Reference URI="/xl/printerSettings/printerSettings9.bin?ContentType=application/vnd.openxmlformats-officedocument.spreadsheetml.printerSettings">
        <DigestMethod Algorithm="http://www.w3.org/2001/04/xmlenc#sha256"/>
        <DigestValue>8ULINyTSns7e3+F/twyhXb2p4OEI5M6paxloUp/0tKM=</DigestValue>
      </Reference>
      <Reference URI="/xl/sharedStrings.xml?ContentType=application/vnd.openxmlformats-officedocument.spreadsheetml.sharedStrings+xml">
        <DigestMethod Algorithm="http://www.w3.org/2001/04/xmlenc#sha256"/>
        <DigestValue>V/w+UFDuoKCaMO9SSgiqgdegozZgbqeeTZ78vhxZs4Y=</DigestValue>
      </Reference>
      <Reference URI="/xl/styles.xml?ContentType=application/vnd.openxmlformats-officedocument.spreadsheetml.styles+xml">
        <DigestMethod Algorithm="http://www.w3.org/2001/04/xmlenc#sha256"/>
        <DigestValue>z/eeshVk+brcI+H+/v+xG/3T6WFPSRAeaKjEIgLbkPc=</DigestValue>
      </Reference>
      <Reference URI="/xl/tables/table1.xml?ContentType=application/vnd.openxmlformats-officedocument.spreadsheetml.table+xml">
        <DigestMethod Algorithm="http://www.w3.org/2001/04/xmlenc#sha256"/>
        <DigestValue>QTRSFVlS4HnbP6Y2+j++lvSrT1G6wMfxJrt66Q3MxtU=</DigestValue>
      </Reference>
      <Reference URI="/xl/tables/table2.xml?ContentType=application/vnd.openxmlformats-officedocument.spreadsheetml.table+xml">
        <DigestMethod Algorithm="http://www.w3.org/2001/04/xmlenc#sha256"/>
        <DigestValue>IKN1IhsRr9HunQR58XkrS2sj34eYQN7uwQ3Oy8wQ0eI=</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Iod+Xl9RCPODBPIpko8c6sQtIg/QuqibY8/4p+Z/JNc=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jDc0sWYJkR/CBrRak8ingqluwJ7oQsCcOInX+LVxKvE=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pZw3bSadmKfHZZmptVaCzS0QUOVcJ//YwG7scJq0pf8=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Mnq392zy7n/68NDdV/yytQb7iuJvY10PdgkI8Mb+g6k=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ucQ64hiB/nP1Fi8WKz3Th1kdZisK8aGhJEPJfohLxM8=</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Tli28rN8igOjzPasqezpYxpfwxhNMdfjzhfnghEdtVc=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iCVOH+dXPW5Yow03OFzE3KFxd7gLMdb90NF1eBlmABk=</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zgur8m8h3dHGUIjwiYWUwhCf0M5q1vRr8/fpz0BeqjQ=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7K0RfRaSjDP6tX2AJJpMSRjcmHBmC4suCih810VKQKE=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YJfbdRjw9jzDIHxg9lF8IV5su7pXZUZ3BubXlm6sSbI=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N8qijj8WXJ10YGO5eKPxvirB/H7N/Cb0D2n1Mzyaryo=</DigestValue>
      </Reference>
      <Reference URI="/xl/worksheets/sheet1.xml?ContentType=application/vnd.openxmlformats-officedocument.spreadsheetml.worksheet+xml">
        <DigestMethod Algorithm="http://www.w3.org/2001/04/xmlenc#sha256"/>
        <DigestValue>RQrBSlri31PMwZlIl5U8oN6J/gyebqTN0C1tnBaPr1M=</DigestValue>
      </Reference>
      <Reference URI="/xl/worksheets/sheet10.xml?ContentType=application/vnd.openxmlformats-officedocument.spreadsheetml.worksheet+xml">
        <DigestMethod Algorithm="http://www.w3.org/2001/04/xmlenc#sha256"/>
        <DigestValue>VdSSMhq7PPyGTGDw8th3UTvOa3U89Ih1rcKsbGp6WEc=</DigestValue>
      </Reference>
      <Reference URI="/xl/worksheets/sheet11.xml?ContentType=application/vnd.openxmlformats-officedocument.spreadsheetml.worksheet+xml">
        <DigestMethod Algorithm="http://www.w3.org/2001/04/xmlenc#sha256"/>
        <DigestValue>tvzKKq8EPOADTa94CUdCYmoZ4T6lnIZpEmf/8HsdSIo=</DigestValue>
      </Reference>
      <Reference URI="/xl/worksheets/sheet2.xml?ContentType=application/vnd.openxmlformats-officedocument.spreadsheetml.worksheet+xml">
        <DigestMethod Algorithm="http://www.w3.org/2001/04/xmlenc#sha256"/>
        <DigestValue>R7gGbROsq8wtNMf9wb9NhnoX7CbE0LKzExehQybw3Z8=</DigestValue>
      </Reference>
      <Reference URI="/xl/worksheets/sheet3.xml?ContentType=application/vnd.openxmlformats-officedocument.spreadsheetml.worksheet+xml">
        <DigestMethod Algorithm="http://www.w3.org/2001/04/xmlenc#sha256"/>
        <DigestValue>t7XEAo8Uy0vjd/DJ2C4BITc81JYXlBr/JkVguL11LaQ=</DigestValue>
      </Reference>
      <Reference URI="/xl/worksheets/sheet4.xml?ContentType=application/vnd.openxmlformats-officedocument.spreadsheetml.worksheet+xml">
        <DigestMethod Algorithm="http://www.w3.org/2001/04/xmlenc#sha256"/>
        <DigestValue>cEnOJfsnp/NBRY+3I/VQDmCO7RMEqgGuf8UEqrDuCIU=</DigestValue>
      </Reference>
      <Reference URI="/xl/worksheets/sheet5.xml?ContentType=application/vnd.openxmlformats-officedocument.spreadsheetml.worksheet+xml">
        <DigestMethod Algorithm="http://www.w3.org/2001/04/xmlenc#sha256"/>
        <DigestValue>EswEMBCM4zdmW1cMOh7rkhk8swYW2MNO2WQBh8M1rRc=</DigestValue>
      </Reference>
      <Reference URI="/xl/worksheets/sheet6.xml?ContentType=application/vnd.openxmlformats-officedocument.spreadsheetml.worksheet+xml">
        <DigestMethod Algorithm="http://www.w3.org/2001/04/xmlenc#sha256"/>
        <DigestValue>D58Ad9xw9rLp8vtfuoXZKREoJCKBX5r+HJLMNlecAok=</DigestValue>
      </Reference>
      <Reference URI="/xl/worksheets/sheet7.xml?ContentType=application/vnd.openxmlformats-officedocument.spreadsheetml.worksheet+xml">
        <DigestMethod Algorithm="http://www.w3.org/2001/04/xmlenc#sha256"/>
        <DigestValue>gSn74GrP21z2K652QtORivHMqG62kbL+N6pM0KMuNoM=</DigestValue>
      </Reference>
      <Reference URI="/xl/worksheets/sheet8.xml?ContentType=application/vnd.openxmlformats-officedocument.spreadsheetml.worksheet+xml">
        <DigestMethod Algorithm="http://www.w3.org/2001/04/xmlenc#sha256"/>
        <DigestValue>RHD7ig3kB2XIS94P7M7laThHUC2ZEnlItLh4CQ8e2cA=</DigestValue>
      </Reference>
      <Reference URI="/xl/worksheets/sheet9.xml?ContentType=application/vnd.openxmlformats-officedocument.spreadsheetml.worksheet+xml">
        <DigestMethod Algorithm="http://www.w3.org/2001/04/xmlenc#sha256"/>
        <DigestValue>NbdLLWXsZdwhOiIfvFm/hDyLJl0+E1xl/cjBrRt6I8I=</DigestValue>
      </Reference>
    </Manifest>
    <SignatureProperties>
      <SignatureProperty Id="idSignatureTime" Target="#idPackageSignature">
        <mdssi:SignatureTime xmlns:mdssi="http://schemas.openxmlformats.org/package/2006/digital-signature">
          <mdssi:Format>YYYY-MM-DDThh:mm:ssTZD</mdssi:Format>
          <mdssi:Value>2026-08-13T17:45:28Z</mdssi:Value>
        </mdssi:SignatureTime>
      </SignatureProperty>
    </SignatureProperties>
  </Object>
  <Object Id="idOfficeObject">
    <SignatureProperties>
      <SignatureProperty Id="idOfficeV1Details" Target="#idPackageSignature">
        <SignatureInfoV1 xmlns="http://schemas.microsoft.com/office/2006/digsig">
          <SetupID>{9398E5F4-6C07-4FFE-8C1E-DF36873961F8}</SetupID>
          <SignatureText>Rodolfo Gauto</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2026-08-13T17:45:28Z</xd:SigningTime>
          <xd:SigningCertificate>
            <xd:Cert>
              <xd:CertDigest>
                <DigestMethod Algorithm="http://www.w3.org/2001/04/xmlenc#sha256"/>
                <DigestValue>WfscYALnhvg2pBPqkXRM09ecBSYUcWCJWQ3KvWp2wzE=</DigestValue>
              </xd:CertDigest>
              <xd:IssuerSerial>
                <X509IssuerName>C=PY, O=ICPP, OU=Prestador Cualificado de Servicios de Confianza, SERIALNUMBER=RUC 80113823-0, CN=CONFIRMA S.A.</X509IssuerName>
                <X509SerialNumber>2998039560924145427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uzCCBaOgAwIBAgIQR0iwnd34CQJkdMw24JuyvzANBgkqhkiG9w0BAQsFADBvMQswCQYDVQQGEwJQWTErMCkGA1UECgwiTWluaXN0ZXJpbyBkZSBJbmR1c3RyaWEgeSBDb21lcmNpbzEzMDEGA1UEAwwqQXV0b3JpZGFkIENlcnRpZmljYWRvcmEgUmHDrXogZGVsIFBhcmFndWF5MB4XDTIzMDUyOTE2MDA1M1oXDTMyMDUyOTE2MDA1M1owgYcxFjAUBgNVBAMMDUNPTkZJUk1BIFMuQS4xFzAVBgNVBAUTDlJVQyA4MDExMzgyMy0wMTgwNgYDVQQLDC9QcmVzdGFkb3IgQ3VhbGlmaWNhZG8gZGUgU2VydmljaW9zIGRlIENvbmZpYW56YTENMAsGA1UECgwESUNQUDELMAkGA1UEBhMCUFkwggIiMA0GCSqGSIb3DQEBAQUAA4ICDwAwggIKAoICAQC0bqndckSA1NBd4+H1LL1QQ+/Hte8E8GIc+Cl2IWx8XVCIbH4D8r9ZZNB/GD7Sa0JVTyFxeXXn6+qLhbFsE5yrHM5y9+U7rri0xSx/iuudjmrSePO3cEQrQe0amoCtieY+nEjMxJ6RJzQRacE6Smyoa9VRsAo8R/kiIwUq9YJ1sIA7CKByQnxxxhmOriNx/ke52RI3s7HM4Bp0t03dwnAC0f/efuXeyEevLe1wpAuznk2AU6+RtXtZ8Y+l2pIY8GVl1e4Jqf4/5OlZtakorZlJSwpUm1bkkeqEKPESds6XEw0h7N/mn1irpen2FH86E0lZNfqWNTNv58cQnTkTzNprAPSc6tmIz8OikMKjxwtO3Q9cgykfEdSBM23SWnlPav4WmXB7ADPSSrhmC0r51BDLigTHAiz/dbByBWmAnFKXcxil9fqAlzPE89VXnvETfcyJsK9cdLviVuDSztXVQnh0UoUeMwEICDcU0/HuSgV6FP1gl7TU1UZofBwQeilFtx0prQ5xTzP4fax84YoYPxg6QBJvzmA5vtKVUiQgA0x1dRC0nocV/venOlGho6CI9Fddu/kz6/VcHVjTuA/6Ammc9fyGydqchjWrUYOEbQxA6BGCzJu8j4c2yr6QIqG4mEtw415YSx4Az0oX+jrguZNaZyCEkbCvNopq2iXxmHjJZwIDAQABo4ICODCCAjQwEgYDVR0TAQH/BAgwBgEB/wIBADAOBgNVHQ8BAf8EBAMCAQYwHQYDVR0OBBYEFDj6s5eLGoZm2MDIh5/0YA14tjhKMB8GA1UdIwQYMBaAFMLEEfIqaEQMACjsTNYp25L7Xr3WMIG/BggrBgEFBQcBAQSBsjCBrzA/BggrBgEFBQcwAoYzaHR0cHM6Ly93d3cuYWNyYWl6Lmdvdi5weS9jcnQvYWNfcmFpel9weV9zaGEyNTYuY3J0MDUGCCsGAQUFBzABhilodHRwOi8vb2NzcDEudWFuYXRhY2EuY29tL3B1YmxpYy9wa2kvb2NzcDA1BggrBgEFBQcwAYYpaHR0cDovL29jc3AyLnVhbmF0YWNhLmNvbS9wdWJsaWMvcGtpL29jc3Awgc0GA1UdIASBxTCBwjCBvwYDVR0gMIG3MDkGCCsGAQUFBwIBFi1odHRwczovL3d3dy5hY3JhaXouZ292LnB5L2RwYy9ET0MtSUNQUC0wMS5wZGYwegYIKwYBBQUHAgIwbhpsU3VqZXRvIGEgbGFzIGNvbmRpY2lvbmVzIGRlIHVzbyBleHB1ZXN0YXMgZW4gbGEgRGVjbGFyYWNp824gZGUgUHLhY3RpY2FzIGRlIENlcnRpZmljYWNp824gZGUgbGEgQUMgUmHteiAtIFB5MDwGA1UdHwQ1MDMwMaAvoC2GK2h0dHA6Ly93d3cuYWNyYWl6Lmdvdi5weS9hcmwvYWNfcmFpel9weS5jcmwwDQYJKoZIhvcNAQELBQADggIBAA07dHHEcpym5vkGd32nxzPS89zx8Xa8SEDflnGlw4tskpQoZeRUDMG4GxVDEyrG8KARysYyOZ6lQ1r0BkDhsiB1rsZZAiLBhmFNyd8+8IELQGgHk3uC2YzCT95pw+mkp02Lah9ObIcsRh4tYd6ZBiVzFC3FcwPktSK3ZecQrRxqJm17dx+k5a5xM5HQDjXcy5YteFGiaDDZV0FYCNNIWxzyaFd4bYwXbolAOOkbz0rRZghR3Ya5OpF0rCwtdF7+8c4nfvV0N/4iZ2BM9YVTuz8kEMzG8ee4q8zlhuS6DKkxmhIinEtVfX9H/XVc4n4Q7qimA2sQS0Y6Ra+zz6ojCJuKVDHsYUgxJU6MkkhKmDewGIWnlCPxJxv5MCsOfwU9pUCAZG8SqjzXIgKa15oKKuXHgVUkEg+/ItTlVL13y4QOgdJlG0t91UjiQ3AUzG98Hi5hotHQHDb1poRJj8rRUTXw+9kkuKVitNZgJE2lfmCyO4yTkhT/QgWVAFIm+Kfd3qZ3z7NYDhrfXjRlGsHj2fTy4Swbt6xuaA1LIMPXD22t0mK+LTazNudJgwygtBQTOA3129nUBLnhpoarU6gmquGKjjbNtVObJbFbwVHgM4EcaIVOaIs/KrtBwrUG9ShTQM9BSbB+xq3bKUIlCKwtaltCjsPV+oKq/WYXEGKTQj7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JYBAAC/AAAAAAAAAAAAAAACGQAA0AsAACBFTUYAAAEAoBsAAKo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QAAfEEfAQAABgAAAAkAAABMAAAAAAAAAAAAAAAAAAAA//////////9gAAAAMQAzAC8AOAAvADIAMAAyADYAAAAJAAAACQAAAAYAAAAJAAAABgAAAAkAAAAJAAAACQAAAAk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Object Id="idInvalidSigLnImg">AQAAAGwAAAAAAAAAAAAAAJYBAAC/AAAAAAAAAAAAAAACGQAA0AsAACBFTUYAAAEAoCQAALEAAAAGAAAAAAAAAAAAAAAAAAAAgAcAALAEAAAuAQAAvQAAAAAAAAAAAAAAAAAAALCbBABI4gIACgAAABAAAAAAAAAAAAAAAEsAAAAQAAAAAAAAAAUAAAAeAAAAGAAAAAAAAAAAAAAAlwEAAMAAAAAnAAAAGAAAAAEAAAAAAAAAAAAAAAAAAAAlAAAADAAAAAEAAABMAAAAZAAAAAAAAAAAAAAAlgEAAL8AAAAAAAAAAAAAAJc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8PDwAAAAAAAlAAAADAAAAAEAAABMAAAAZAAAAAAAAAAAAAAAlgEAAL8AAAAAAAAAAAAAAJcBAADAAAAAIQDwAAAAAAAAAAAAAACAPwAAAAAAAAAAAACAPwAAAAAAAAAAAAAAAAAAAAAAAAAAAAAAAAAAAAAAAAAAJQAAAAwAAAAAAACAKAAAAAwAAAABAAAAJwAAABgAAAABAAAAAAAAAPDw8AAAAAAAJQAAAAwAAAABAAAATAAAAGQAAAAAAAAAAAAAAJYBAAC/AAAAAAAAAAAAAACXAQAAwAAAACEA8AAAAAAAAAAAAAAAgD8AAAAAAAAAAAAAgD8AAAAAAAAAAAAAAAAAAAAAAAAAAAAAAAAAAAAAAAAAACUAAAAMAAAAAAAAgCgAAAAMAAAAAQAAACcAAAAYAAAAAQAAAAAAAADw8PAAAAAAACUAAAAMAAAAAQAAAEwAAABkAAAAAAAAAAAAAACWAQAAvwAAAAAAAAAAAAAAlwEAAMAAAAAhAPAAAAAAAAAAAAAAAIA/AAAAAAAAAAAAAIA/AAAAAAAAAAAAAAAAAAAAAAAAAAAAAAAAAAAAAAAAAAAlAAAADAAAAAAAAIAoAAAADAAAAAEAAAAnAAAAGAAAAAEAAAAAAAAA////AAAAAAAlAAAADAAAAAEAAABMAAAAZAAAAAAAAAAAAAAAlgEAAL8AAAAAAAAAAAAAAJcBAADAAAAAIQDwAAAAAAAAAAAAAACAPwAAAAAAAAAAAACAPwAAAAAAAAAAAAAAAAAAAAAAAAAAAAAAAAAAAAAAAAAAJQAAAAwAAAAAAACAKAAAAAwAAAABAAAAJwAAABgAAAABAAAAAAAAAP///wAAAAAAJQAAAAwAAAABAAAATAAAAGQAAAAAAAAAAAAAAJYBAAC/AAAAAAAAAAAAAACX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QAAfEFDAAAABgAAAA8AAABMAAAAAAAAAAAAAAAAAAAA//////////9sAAAARgBpAHIAbQBhACAAbgBvACAAdgDhAGwAaQBkAGEAAAAIAAAABAAAAAYAAAAOAAAACAAAAAQAAAAJAAAACQAAAAQAAAAIAAAACAAAAAQAAAAEAAAACQAAAAgAAABLAAAAQAAAADAAAAAFAAAAIAAAAAEAAAABAAAAEAAAAAAAAAAAAAAAlwEAAMAAAAAAAAAAAAAAAJc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AAB8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YAAABlAAAAOgAAAEYAAACd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cAAABmAAAAJQAAAAwAAAAEAAAAVAAAAJwAAAA7AAAARgAAANUAAABlAAAAAQAAAKuqe0EAAHxBOwAAAEYAAAANAAAATAAAAAAAAAAAAAAAAAAAAP//////////aAAAAFIAbwBkAG8AbABmAG8AIABHAGEAdQB0AG8AAAAOAAAADgAAAA4AAAAOAAAABgAAAAgAAAAOAAAABwAAABAAAAAMAAAADgAAAAgAAAAOAAAASwAAAEAAAAAwAAAABQAAACAAAAABAAAAAQAAABAAAAAAAAAAAAAAAJcBAADAAAAAAAAAAAAAAACXAQAAwAAAACUAAAAMAAAAAgAAACcAAAAYAAAABQAAAAAAAAD///8AAAAAACUAAAAMAAAABQAAAEwAAABkAAAAAAAAAHIAAACWAQAAugAAAAAAAAByAAAAlwEAAEkAAAAhAPAAAAAAAAAAAAAAAIA/AAAAAAAAAAAAAIA/AAAAAAAAAAAAAAAAAAAAAAAAAAAAAAAAAAAAAAAAAAAlAAAADAAAAAAAAIAoAAAADAAAAAUAAAAnAAAAGAAAAAUAAAAAAAAA////AAAAAAAlAAAADAAAAAUAAABMAAAAZAAAABUAAAByAAAAfwEAAIYAAAAVAAAAcgAAAGsBAAAVAAAAIQDwAAAAAAAAAAAAAACAPwAAAAAAAAAAAACAPwAAAAAAAAAAAAAAAAAAAAAAAAAAAAAAAAAAAAAAAAAAJQAAAAwAAAAAAACAKAAAAAwAAAAFAAAAJQAAAAwAAAABAAAAGAAAAAwAAAAAAAAAEgAAAAwAAAABAAAAHgAAABgAAAAVAAAAcgAAAIABAACHAAAAJQAAAAwAAAABAAAAVAAAAJwAAAAWAAAAcgAAAHoAAACGAAAAAQAAAKuqe0EAAHxBFgAAAHIAAAANAAAATAAAAAAAAAAAAAAAAAAAAP//////////aAAAAFIAbwBkAG8AbABmAG8AIABHAGEAdQB0AG8AAAAKAAAACQAAAAkAAAAJAAAABAAAAAUAAAAJAAAABAAAAAsAAAAIAAAACQAAAAUAAAAJAAAASwAAAEAAAAAwAAAABQAAACAAAAABAAAAAQAAABAAAAAAAAAAAAAAAJcBAADAAAAAAAAAAAAAAACXAQAAwAAAACUAAAAMAAAAAgAAACcAAAAYAAAABQAAAAAAAAD///8AAAAAACUAAAAMAAAABQAAAEwAAABkAAAAFQAAAIwAAAB/AQAAoAAAABUAAACMAAAAawEAABUAAAAhAPAAAAAAAAAAAAAAAIA/AAAAAAAAAAAAAIA/AAAAAAAAAAAAAAAAAAAAAAAAAAAAAAAAAAAAAAAAAAAlAAAADAAAAAAAAIAoAAAADAAAAAUAAAAlAAAADAAAAAEAAAAYAAAADAAAAAAAAAASAAAADAAAAAEAAAAeAAAAGAAAABUAAACMAAAAgAEAAKEAAAAlAAAADAAAAAEAAABUAAAAiAAAABYAAACMAAAAXgAAAKAAAAABAAAAq6p7QQAAfEEWAAAAjAAAAAoAAABMAAAAAAAAAAAAAAAAAAAA//////////9gAAAAUAByAGUAcwBpAGQAZQBuAHQAZQAJAAAABgAAAAgAAAAHAAAABAAAAAkAAAAIAAAACQAAAAUAAAAIAAAASwAAAEAAAAAwAAAABQAAACAAAAABAAAAAQAAABAAAAAAAAAAAAAAAJcBAADAAAAAAAAAAAAAAACXAQAAwAAAACUAAAAMAAAAAgAAACcAAAAYAAAABQAAAAAAAAD///8AAAAAACUAAAAMAAAABQAAAEwAAABkAAAAFQAAAKYAAACBAQAAugAAABUAAACmAAAAbQEAABUAAAAhAPAAAAAAAAAAAAAAAIA/AAAAAAAAAAAAAIA/AAAAAAAAAAAAAAAAAAAAAAAAAAAAAAAAAAAAAAAAAAAlAAAADAAAAAAAAIAoAAAADAAAAAUAAAAlAAAADAAAAAEAAAAYAAAADAAAAAAAAAASAAAADAAAAAEAAAAWAAAADAAAAAAAAABUAAAAUAEAABYAAACmAAAAgAEAALoAAAABAAAAq6p7QQAAfEEWAAAApgAAACsAAABMAAAABAAAABUAAACmAAAAggEAALsAAACkAAAARgBpAHIAbQBhAGQAbwAgAHAAbwByADoAIABSAE8ARABPAEwARgBPACAASQBHAE4AQQBDAEkATwAgAEcAQQBVAFQATwAgAE0AQQBSAEkATwBUAFQASQAAAAgAAAAEAAAABgAAAA4AAAAIAAAACQAAAAkAAAAEAAAACQAAAAkAAAAGAAAAAwAAAAQAAAAKAAAADAAAAAsAAAAMAAAACAAAAAgAAAAMAAAABAAAAAQAAAALAAAADAAAAAoAAAAKAAAABAAAAAwAAAAEAAAACwAAAAoAAAALAAAACAAAAAwAAAAEAAAADgAAAAoAAAAKAAAABAAAAAwAAAAIAAAACAAAAAQAAAAWAAAADAAAAAAAAAAlAAAADAAAAAIAAAAOAAAAFAAAAAAAAAAQAAAAFAAAAA==</Object>
</Signature>
</file>

<file path=_xmlsignatures/sig1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+kJ+phsiQR3ZjCxV/cdDuTotI7NjDwp179u9+pjCPdc=</DigestValue>
    </Reference>
    <Reference Type="http://www.w3.org/2000/09/xmldsig#Object" URI="#idOfficeObject">
      <DigestMethod Algorithm="http://www.w3.org/2001/04/xmlenc#sha256"/>
      <DigestValue>PqQy5Wv0ac/5RCylO9etAcYLaw5ur30xP0mLIselPSM=</DigestValue>
    </Reference>
    <Reference Type="http://uri.etsi.org/01903#SignedProperties" URI="#idSignedProperties">
      <Transforms>
        <Transform Algorithm="http://www.w3.org/TR/2001/REC-xml-c14n-20010315"/>
      </Transforms>
      <DigestMethod Algorithm="http://www.w3.org/2001/04/xmlenc#sha256"/>
      <DigestValue>u3n0GBYd5NtXwawQZ64UCPyyJ8D0uDACbsOjjluvB6I=</DigestValue>
    </Reference>
    <Reference Type="http://www.w3.org/2000/09/xmldsig#Object" URI="#idValidSigLnImg">
      <DigestMethod Algorithm="http://www.w3.org/2001/04/xmlenc#sha256"/>
      <DigestValue>Wvo8sa5rgeSZ0RYsH8Dyu5bkH4lknXhjf8ftriONvhw=</DigestValue>
    </Reference>
    <Reference Type="http://www.w3.org/2000/09/xmldsig#Object" URI="#idInvalidSigLnImg">
      <DigestMethod Algorithm="http://www.w3.org/2001/04/xmlenc#sha256"/>
      <DigestValue>A3TY9gmJPkr2cQTsyGN0NkQlg5dU2RKYrGByPS0CSEc=</DigestValue>
    </Reference>
  </SignedInfo>
  <SignatureValue>eEEgoKxhGs3A09lbiqfRZOsE7kW4qPljr47QbITBgh7W5uWH1sJ6gFi0ussyy9C7gjpnKDZGeoAf
i5hcT1QimHwcxOlIgB8tQAyF3U/6ha4wrG0idzApTkKT8pSn3DSTP2N+AI7Tsc3X4OHmGCS8yOrU
NrDxEPO8rZALz1HnwXBdKUxtRBGeBmoLOE5j4pKHkEvqqag0IxJGb0qlyp1BviCGLLPCKkPHOqUd
Vmd6rluOVeUKtO2FSHYNRGykkYnzpOMyQ/uhQDDuP9yeW3S3z6vCSy8JWu9Y0LKDKIEOxsWloYfQ
T/y3GQTcwNDJpft/9RvhRDzEaLv7KXZUjfXRZQ==</SignatureValue>
  <KeyInfo>
    <X509Data>
      <X509Certificate>MIIKpjCCCI6gAwIBAgIIWArCh0TnJoIwDQYJKoZIhvcNAQELBQAwgYcxFjAUBgNVBAMMDUNPTkZJUk1BIFMuQS4xFzAVBgNVBAUTDlJVQyA4MDExMzgyMy0wMTgwNgYDVQQLDC9QcmVzdGFkb3IgQ3VhbGlmaWNhZG8gZGUgU2VydmljaW9zIGRlIENvbmZpYW56YTENMAsGA1UECgwESUNQUDELMAkGA1UEBhMCUFkwHhcNMjYwNDIxMTgwMjAwWhcNMjgwNDIwMTgwMjAwWjCBwTELMAkGA1UEBhMCUFkxNTAzBgNVBAoMLENFUlRJRklDQURPIENVQUxJRklDQURPIERFIEZJUk1BIEVMRUNUUk9OSUNBMQswCQYDVQQLDAJGMzEYMBYGA1UEBAwPQ09MTUFOIENBU1RJTExPMRcwFQYDVQQqDA5IVU1CRVJUTyBBUklFTDESMBAGA1UEBRMJQ0kyMzU3MDcxMScwJQYDVQQDDB5IVU1CRVJUTyBBUklFTCBDT0xNQU4gQ0FTVElMTE8wggEiMA0GCSqGSIb3DQEBAQUAA4IBDwAwggEKAoIBAQDJoouSV+NXB8EKsCdl/KAZqOr0ytK4GWXSJUVFS2tiHZziCA4LbnIOVf9DrhKraJXjlzEWmcWzvXM7Rsu/wchCw/MVAkAjNx1y7Kq9OGyXwgOEYp4joHKzeFo6mxPQ9lgZoSNVWw2DfmRQkw7Rtr4JbtN+S+S7BI2MKZMelxRwQaUUMiOgBh/EkEKqld+VTtHDcvGrNYu+B0luNoXIvN4ZCVKVGWIO/p9I1IBxtFL7h2aJSXUKESHuCpBeO+JrlXo0YTS+9Hcmino0owFqeqajfGcBcac/zGuj5a1NI3PAyZVsWwFbOP49rd6zXbHE2Nl+N3ooXQ3nYwJmsrwLVOQhAgMBAAGjggXYMIIF1DAMBgNVHRMBAf8EAjAAMB8GA1UdIwQYMBaAFDj6s5eLGoZm2MDIh5/0YA14tjhKMIG/BggrBgEFBQcBAQSBsjCBrzA9BggrBgEFBQcwAoYxaHR0cHM6Ly93d3cuY29uZmlybWEuY29tLnB5L3JlcG9zaXRvcmlvLWNvbmZpcm1hLzA2BggrBgEFBQcwAYYqaHR0cDovL29jc3AxLnVhbmF0YWNhLmNvbS9wdWJsaWMvcGtpL29jc3AvMDYGCCsGAQUFBzABhipodHRwOi8vb2NzcDIudWFuYXRhY2EuY29tL3B1YmxpYy9wa2kvb2NzcC8waAYDVR0RBGEwX4EQSFVNQ09M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QYFWyion+i/ZXcBrrccaa1MWRhlzAOBgNVHQ8BAf8EBAMCBeAwDQYJKoZIhvcNAQELBQADggIBAKbNtOa1SB03pUbQpImhk+wVOMDOePlcQCQxK5X2GlXT7+023fr/WqpXpbRvzUAebjqXCmdBLxAfDY2Md9XI0Oue9VhbGSI+dSZDnNT0dD5KQ0rPsk9Su40F10U9k6hpNIRNMByCIvXfsNNclzolpDzPR3L3Kjslxkym3vP7Yx6H7gFqa7ND2wnORvi4ODDcdf/avo9CqyWHuKVycINJFmxGnKB/GLqmFbCpPh9GJXs3XRpgM3xOyFyikqIi4sUKcQsJkudZ73ATezphOIplgYmTAP4JHXnyUxW1YZ0t1jHLySfKLvnayUI8JclK5DVrSTBly58bk1/gB1widjczuXsk2T43dTRn0IaLBL0heAmS4olk22fZPW5yEtwWJBpe99GOGFO3xYGGHqjx/fobvKYOzJuxN+IR50TP5p8WEMcuJUXU3cI7nxar1A+4tHf1dLXaJBfBDWJ6Ss9EAz3ziR05IgJj+I9jIg7Jc0Dy6yu6CMbH/iH66pa9ufTpglQoBE//hG6Bdsa1cKTp/9/MVPl37795AbYviMmFw/gmwl5d3qPQE9/sgE7ogq+VKt7a9yDVKkSV5WnWUUvDEfn9Y3mGx2519XWoXlOjaf/3bpcoZqAZvll2usWcWz7gYm6dIB3/iwuJYQUcTszJDXu9itW/WT1e5bc6jjua1fjLOYt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Transform>
          <Transform Algorithm="http://www.w3.org/TR/2001/REC-xml-c14n-20010315"/>
        </Transforms>
        <DigestMethod Algorithm="http://www.w3.org/2001/04/xmlenc#sha256"/>
        <DigestValue>/Ck4NrQeZAHF831xLBB7K7yeBD4HVDqFdSeGjxFIugk=</DigestValue>
      </Reference>
      <Reference URI="/xl/calcChain.xml?ContentType=application/vnd.openxmlformats-officedocument.spreadsheetml.calcChain+xml">
        <DigestMethod Algorithm="http://www.w3.org/2001/04/xmlenc#sha256"/>
        <DigestValue>+NyeNyIHrQv7x/d7NUuWQqqgB6nR5SiUKZdjjhHZnLU=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ucrTLbStQr/H2WHX3yG6MmDb0NXX+PwHVU4uUbcl8jY=</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gJN++dn2wxx/Cd6pFFOPi1CJuYShB1qNyNFMqnAERYg=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ucrTLbStQr/H2WHX3yG6MmDb0NXX+PwHVU4uUbcl8jY=</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7YsyKqJFttyEEYgq8OCabNHbiPUxlADESpJUKW5fCBk=</DigestValue>
      </Reference>
      <Reference URI="/xl/drawings/drawing1.xml?ContentType=application/vnd.openxmlformats-officedocument.drawing+xml">
        <DigestMethod Algorithm="http://www.w3.org/2001/04/xmlenc#sha256"/>
        <DigestValue>ub074ZLH8w4xlalqairs0BhLike/ijp43YfbOrzi420=</DigestValue>
      </Reference>
      <Reference URI="/xl/drawings/drawing2.xml?ContentType=application/vnd.openxmlformats-officedocument.drawing+xml">
        <DigestMethod Algorithm="http://www.w3.org/2001/04/xmlenc#sha256"/>
        <DigestValue>jSEA7QF2epsqpRqyAn5pGlelL7JhshD38KzThNyanj4=</DigestValue>
      </Reference>
      <Reference URI="/xl/drawings/drawing3.xml?ContentType=application/vnd.openxmlformats-officedocument.drawing+xml">
        <DigestMethod Algorithm="http://www.w3.org/2001/04/xmlenc#sha256"/>
        <DigestValue>w1km3rn21G8nhqvfeQQCJPmdK8nSug1i56T6Su0Ay7A=</DigestValue>
      </Reference>
      <Reference URI="/xl/drawings/drawing4.xml?ContentType=application/vnd.openxmlformats-officedocument.drawing+xml">
        <DigestMethod Algorithm="http://www.w3.org/2001/04/xmlenc#sha256"/>
        <DigestValue>Inzha6baeAKE0WuKvq0NbHcSeKHit1HfjuHs2WT/AC8=</DigestValue>
      </Reference>
      <Reference URI="/xl/drawings/drawing5.xml?ContentType=application/vnd.openxmlformats-officedocument.drawing+xml">
        <DigestMethod Algorithm="http://www.w3.org/2001/04/xmlenc#sha256"/>
        <DigestValue>Tpe4YJTEcZHjnkuwCRyvhPu/MIzXAWLSeBBMA18aXRI=</DigestValue>
      </Reference>
      <Reference URI="/xl/drawings/drawing6.xml?ContentType=application/vnd.openxmlformats-officedocument.drawing+xml">
        <DigestMethod Algorithm="http://www.w3.org/2001/04/xmlenc#sha256"/>
        <DigestValue>t0IiKkrStl/PiA8NVpK6Yzzs0p7cTjDqmZEHG31Qyng=</DigestValue>
      </Reference>
      <Reference URI="/xl/drawings/drawing7.xml?ContentType=application/vnd.openxmlformats-officedocument.drawing+xml">
        <DigestMethod Algorithm="http://www.w3.org/2001/04/xmlenc#sha256"/>
        <DigestValue>virplHJot2IoRHIXdPVnprgNPvJSCFYXhwmEbMvdtaE=</DigestValue>
      </Reference>
      <Reference URI="/xl/drawings/drawing8.xml?ContentType=application/vnd.openxmlformats-officedocument.drawing+xml">
        <DigestMethod Algorithm="http://www.w3.org/2001/04/xmlenc#sha256"/>
        <DigestValue>1BVrvUMHBLQW/qes4fhJwFjL6MIO+dw9dzaEu6di9KE=</DigestValue>
      </Reference>
      <Reference URI="/xl/drawings/vmlDrawing1.vml?ContentType=application/vnd.openxmlformats-officedocument.vmlDrawing">
        <DigestMethod Algorithm="http://www.w3.org/2001/04/xmlenc#sha256"/>
        <DigestValue>ExUTJEbNBuk1CckpWwd+8plgcmJe8qoGbB2TUFKe+kA=</DigestValue>
      </Reference>
      <Reference URI="/xl/drawings/vmlDrawing2.vml?ContentType=application/vnd.openxmlformats-officedocument.vmlDrawing">
        <DigestMethod Algorithm="http://www.w3.org/2001/04/xmlenc#sha256"/>
        <DigestValue>h2FOx/Jlq4UYa4Cpos0p40QGXDtAcRKPPYKd8I7NjvY=</DigestValue>
      </Reference>
      <Reference URI="/xl/drawings/vmlDrawing3.vml?ContentType=application/vnd.openxmlformats-officedocument.vmlDrawing">
        <DigestMethod Algorithm="http://www.w3.org/2001/04/xmlenc#sha256"/>
        <DigestValue>AA278wmMGW/Y9QsgFZqd+7Z8mopkpG53UQ93BDbx4WE=</DigestValue>
      </Reference>
      <Reference URI="/xl/drawings/vmlDrawing4.vml?ContentType=application/vnd.openxmlformats-officedocument.vmlDrawing">
        <DigestMethod Algorithm="http://www.w3.org/2001/04/xmlenc#sha256"/>
        <DigestValue>ArJYfFm9RCQzoEjHp9F2NIgGy/rbhUv/OzAFzV+JEV4=</DigestValue>
      </Reference>
      <Reference URI="/xl/drawings/vmlDrawing5.vml?ContentType=application/vnd.openxmlformats-officedocument.vmlDrawing">
        <DigestMethod Algorithm="http://www.w3.org/2001/04/xmlenc#sha256"/>
        <DigestValue>6u8vsyy6r4PKsRHLrr6eKcYZlGcnaa5JNs92G7m0x50=</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77SVdrsY4G7JRFikg775s6ndkn/5KeYu/l1XKd699gw=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XmN+S1Rb9DQwXeJhiPMr1ywuylQu67StAn77KPQ/9M4=</DigestValue>
      </Reference>
      <Reference URI="/xl/externalLinks/externalLink1.xml?ContentType=application/vnd.openxmlformats-officedocument.spreadsheetml.externalLink+xml">
        <DigestMethod Algorithm="http://www.w3.org/2001/04/xmlenc#sha256"/>
        <DigestValue>Asaf0dJqvI2CGiR4mDOs5Bz0dA7uFptOxkq8VP6/Axg=</DigestValue>
      </Reference>
      <Reference URI="/xl/externalLinks/externalLink2.xml?ContentType=application/vnd.openxmlformats-officedocument.spreadsheetml.externalLink+xml">
        <DigestMethod Algorithm="http://www.w3.org/2001/04/xmlenc#sha256"/>
        <DigestValue>MAymwNHVD9MjrQzp8QSFTGHiEzTtpA6htR4Lpqs3neg=</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henAiMKyQumysm/rmsKObYIquv2sss0Xb+LHqi1agew=</DigestValue>
      </Reference>
      <Reference URI="/xl/media/image3.emf?ContentType=image/x-emf">
        <DigestMethod Algorithm="http://www.w3.org/2001/04/xmlenc#sha256"/>
        <DigestValue>YVtsuH8bDXjJV2Dy/6lemD+B/MEJUFMlT3OBultaYYw=</DigestValue>
      </Reference>
      <Reference URI="/xl/media/image4.emf?ContentType=image/x-emf">
        <DigestMethod Algorithm="http://www.w3.org/2001/04/xmlenc#sha256"/>
        <DigestValue>aFnNK946hBo3dFBQ1iTrTWLYet31AXs15w+XcScy08U=</DigestValue>
      </Reference>
      <Reference URI="/xl/media/image5.emf?ContentType=image/x-emf">
        <DigestMethod Algorithm="http://www.w3.org/2001/04/xmlenc#sha256"/>
        <DigestValue>SGUAmXtIKfISNtJWaJhypXvQVrvZhFb92d4E5f7ZI/o=</DigestValue>
      </Reference>
      <Reference URI="/xl/media/image6.emf?ContentType=image/x-emf">
        <DigestMethod Algorithm="http://www.w3.org/2001/04/xmlenc#sha256"/>
        <DigestValue>GRQ8cc4rAjEFr9roH+f7cutoGCMFBXoxc1fwnubaFII=</DigestValue>
      </Reference>
      <Reference URI="/xl/printerSettings/printerSettings1.bin?ContentType=application/vnd.openxmlformats-officedocument.spreadsheetml.printerSettings">
        <DigestMethod Algorithm="http://www.w3.org/2001/04/xmlenc#sha256"/>
        <DigestValue>OGD3iF2+l78gTInlDCWFPycZVuHBpUE02raJ/Wr5XCI=</DigestValue>
      </Reference>
      <Reference URI="/xl/printerSettings/printerSettings10.bin?ContentType=application/vnd.openxmlformats-officedocument.spreadsheetml.printerSettings">
        <DigestMethod Algorithm="http://www.w3.org/2001/04/xmlenc#sha256"/>
        <DigestValue>8ULINyTSns7e3+F/twyhXb2p4OEI5M6paxloUp/0tKM=</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aKO8XWThzgvGlTVSu23kX37OoqtKGS6PBUkmhsicI1Y=</DigestValue>
      </Reference>
      <Reference URI="/xl/printerSettings/printerSettings14.bin?ContentType=application/vnd.openxmlformats-officedocument.spreadsheetml.printerSettings">
        <DigestMethod Algorithm="http://www.w3.org/2001/04/xmlenc#sha256"/>
        <DigestValue>aKO8XWThzgvGlTVSu23kX37OoqtKGS6PBUkmhsicI1Y=</DigestValue>
      </Reference>
      <Reference URI="/xl/printerSettings/printerSettings15.bin?ContentType=application/vnd.openxmlformats-officedocument.spreadsheetml.printerSettings">
        <DigestMethod Algorithm="http://www.w3.org/2001/04/xmlenc#sha256"/>
        <DigestValue>dw1o09s0o0lRppdgih3gsQGBOYtYP6TDvnCBQSPWvnk=</DigestValue>
      </Reference>
      <Reference URI="/xl/printerSettings/printerSettings16.bin?ContentType=application/vnd.openxmlformats-officedocument.spreadsheetml.printerSettings">
        <DigestMethod Algorithm="http://www.w3.org/2001/04/xmlenc#sha256"/>
        <DigestValue>+CD8yXTcV7R0UPktSQ1iysCJtCvCSVF2j80e6m46HpQ=</DigestValue>
      </Reference>
      <Reference URI="/xl/printerSettings/printerSettings17.bin?ContentType=application/vnd.openxmlformats-officedocument.spreadsheetml.printerSettings">
        <DigestMethod Algorithm="http://www.w3.org/2001/04/xmlenc#sha256"/>
        <DigestValue>hqnMLvZ6XBY2fH1KhK00vJXWuxlSZRWkoKrdKDrIF2Q=</DigestValue>
      </Reference>
      <Reference URI="/xl/printerSettings/printerSettings18.bin?ContentType=application/vnd.openxmlformats-officedocument.spreadsheetml.printerSettings">
        <DigestMethod Algorithm="http://www.w3.org/2001/04/xmlenc#sha256"/>
        <DigestValue>TRrCOIAvgyay9+dOHANtMRhI4Mlj24DaFIyKQoKcdPw=</DigestValue>
      </Reference>
      <Reference URI="/xl/printerSettings/printerSettings19.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tK77ymY2j+63o2PazHk01j2EtE8ZSKwdI1Ei+LUjmS0=</DigestValue>
      </Reference>
      <Reference URI="/xl/printerSettings/printerSettings20.bin?ContentType=application/vnd.openxmlformats-officedocument.spreadsheetml.printerSettings">
        <DigestMethod Algorithm="http://www.w3.org/2001/04/xmlenc#sha256"/>
        <DigestValue>TRrCOIAvgyay9+dOHANtMRhI4Mlj24DaFIyKQoKcdPw=</DigestValue>
      </Reference>
      <Reference URI="/xl/printerSettings/printerSettings21.bin?ContentType=application/vnd.openxmlformats-officedocument.spreadsheetml.printerSettings">
        <DigestMethod Algorithm="http://www.w3.org/2001/04/xmlenc#sha256"/>
        <DigestValue>OGD3iF2+l78gTInlDCWFPycZVuHBpUE02raJ/Wr5XCI=</DigestValue>
      </Reference>
      <Reference URI="/xl/printerSettings/printerSettings22.bin?ContentType=application/vnd.openxmlformats-officedocument.spreadsheetml.printerSettings">
        <DigestMethod Algorithm="http://www.w3.org/2001/04/xmlenc#sha256"/>
        <DigestValue>GyyR84UYFfbFvVrs+ip9vPggIMAXC0nxkmeUVNsGxCc=</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ZVxXhJn6XmjT/m1Dw2UhwYZPVXYMSYE+DUFTlsgHV4s=</DigestValue>
      </Reference>
      <Reference URI="/xl/printerSettings/printerSettings25.bin?ContentType=application/vnd.openxmlformats-officedocument.spreadsheetml.printerSettings">
        <DigestMethod Algorithm="http://www.w3.org/2001/04/xmlenc#sha256"/>
        <DigestValue>ZVxXhJn6XmjT/m1Dw2UhwYZPVXYMSYE+DUFTlsgHV4s=</DigestValue>
      </Reference>
      <Reference URI="/xl/printerSettings/printerSettings26.bin?ContentType=application/vnd.openxmlformats-officedocument.spreadsheetml.printerSettings">
        <DigestMethod Algorithm="http://www.w3.org/2001/04/xmlenc#sha256"/>
        <DigestValue>ZVxXhJn6XmjT/m1Dw2UhwYZPVXYMSYE+DUFTlsgHV4s=</DigestValue>
      </Reference>
      <Reference URI="/xl/printerSettings/printerSettings27.bin?ContentType=application/vnd.openxmlformats-officedocument.spreadsheetml.printerSettings">
        <DigestMethod Algorithm="http://www.w3.org/2001/04/xmlenc#sha256"/>
        <DigestValue>ZVxXhJn6XmjT/m1Dw2UhwYZPVXYMSYE+DUFTlsgHV4s=</DigestValue>
      </Reference>
      <Reference URI="/xl/printerSettings/printerSettings28.bin?ContentType=application/vnd.openxmlformats-officedocument.spreadsheetml.printerSettings">
        <DigestMethod Algorithm="http://www.w3.org/2001/04/xmlenc#sha256"/>
        <DigestValue>ZVxXhJn6XmjT/m1Dw2UhwYZPVXYMSYE+DUFTlsgHV4s=</DigestValue>
      </Reference>
      <Reference URI="/xl/printerSettings/printerSettings29.bin?ContentType=application/vnd.openxmlformats-officedocument.spreadsheetml.printerSettings">
        <DigestMethod Algorithm="http://www.w3.org/2001/04/xmlenc#sha256"/>
        <DigestValue>ZVxXhJn6XmjT/m1Dw2UhwYZPVXYMSYE+DUFTlsgHV4s=</DigestValue>
      </Reference>
      <Reference URI="/xl/printerSettings/printerSettings3.bin?ContentType=application/vnd.openxmlformats-officedocument.spreadsheetml.printerSettings">
        <DigestMethod Algorithm="http://www.w3.org/2001/04/xmlenc#sha256"/>
        <DigestValue>etcbSocZ+fnLsUbJz0LkI2IH94+TEQQYef5apUBQ778=</DigestValue>
      </Reference>
      <Reference URI="/xl/printerSettings/printerSettings30.bin?ContentType=application/vnd.openxmlformats-officedocument.spreadsheetml.printerSettings">
        <DigestMethod Algorithm="http://www.w3.org/2001/04/xmlenc#sha256"/>
        <DigestValue>QYEL4KgfVDON32G6gR2kYQY44f245JdSxX29nAOa8qU=</DigestValue>
      </Reference>
      <Reference URI="/xl/printerSettings/printerSettings4.bin?ContentType=application/vnd.openxmlformats-officedocument.spreadsheetml.printerSettings">
        <DigestMethod Algorithm="http://www.w3.org/2001/04/xmlenc#sha256"/>
        <DigestValue>8ULINyTSns7e3+F/twyhXb2p4OEI5M6paxloUp/0tKM=</DigestValue>
      </Reference>
      <Reference URI="/xl/printerSettings/printerSettings5.bin?ContentType=application/vnd.openxmlformats-officedocument.spreadsheetml.printerSettings">
        <DigestMethod Algorithm="http://www.w3.org/2001/04/xmlenc#sha256"/>
        <DigestValue>8ULINyTSns7e3+F/twyhXb2p4OEI5M6paxloUp/0tKM=</DigestValue>
      </Reference>
      <Reference URI="/xl/printerSettings/printerSettings6.bin?ContentType=application/vnd.openxmlformats-officedocument.spreadsheetml.printerSettings">
        <DigestMethod Algorithm="http://www.w3.org/2001/04/xmlenc#sha256"/>
        <DigestValue>8ULINyTSns7e3+F/twyhXb2p4OEI5M6paxloUp/0tKM=</DigestValue>
      </Reference>
      <Reference URI="/xl/printerSettings/printerSettings7.bin?ContentType=application/vnd.openxmlformats-officedocument.spreadsheetml.printerSettings">
        <DigestMethod Algorithm="http://www.w3.org/2001/04/xmlenc#sha256"/>
        <DigestValue>8ULINyTSns7e3+F/twyhXb2p4OEI5M6paxloUp/0tKM=</DigestValue>
      </Reference>
      <Reference URI="/xl/printerSettings/printerSettings8.bin?ContentType=application/vnd.openxmlformats-officedocument.spreadsheetml.printerSettings">
        <DigestMethod Algorithm="http://www.w3.org/2001/04/xmlenc#sha256"/>
        <DigestValue>8ULINyTSns7e3+F/twyhXb2p4OEI5M6paxloUp/0tKM=</DigestValue>
      </Reference>
      <Reference URI="/xl/printerSettings/printerSettings9.bin?ContentType=application/vnd.openxmlformats-officedocument.spreadsheetml.printerSettings">
        <DigestMethod Algorithm="http://www.w3.org/2001/04/xmlenc#sha256"/>
        <DigestValue>8ULINyTSns7e3+F/twyhXb2p4OEI5M6paxloUp/0tKM=</DigestValue>
      </Reference>
      <Reference URI="/xl/sharedStrings.xml?ContentType=application/vnd.openxmlformats-officedocument.spreadsheetml.sharedStrings+xml">
        <DigestMethod Algorithm="http://www.w3.org/2001/04/xmlenc#sha256"/>
        <DigestValue>V/w+UFDuoKCaMO9SSgiqgdegozZgbqeeTZ78vhxZs4Y=</DigestValue>
      </Reference>
      <Reference URI="/xl/styles.xml?ContentType=application/vnd.openxmlformats-officedocument.spreadsheetml.styles+xml">
        <DigestMethod Algorithm="http://www.w3.org/2001/04/xmlenc#sha256"/>
        <DigestValue>z/eeshVk+brcI+H+/v+xG/3T6WFPSRAeaKjEIgLbkPc=</DigestValue>
      </Reference>
      <Reference URI="/xl/tables/table1.xml?ContentType=application/vnd.openxmlformats-officedocument.spreadsheetml.table+xml">
        <DigestMethod Algorithm="http://www.w3.org/2001/04/xmlenc#sha256"/>
        <DigestValue>QTRSFVlS4HnbP6Y2+j++lvSrT1G6wMfxJrt66Q3MxtU=</DigestValue>
      </Reference>
      <Reference URI="/xl/tables/table2.xml?ContentType=application/vnd.openxmlformats-officedocument.spreadsheetml.table+xml">
        <DigestMethod Algorithm="http://www.w3.org/2001/04/xmlenc#sha256"/>
        <DigestValue>IKN1IhsRr9HunQR58XkrS2sj34eYQN7uwQ3Oy8wQ0eI=</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Iod+Xl9RCPODBPIpko8c6sQtIg/QuqibY8/4p+Z/JNc=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jDc0sWYJkR/CBrRak8ingqluwJ7oQsCcOInX+LVxKvE=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pZw3bSadmKfHZZmptVaCzS0QUOVcJ//YwG7scJq0pf8=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Mnq392zy7n/68NDdV/yytQb7iuJvY10PdgkI8Mb+g6k=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ucQ64hiB/nP1Fi8WKz3Th1kdZisK8aGhJEPJfohLxM8=</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Tli28rN8igOjzPasqezpYxpfwxhNMdfjzhfnghEdtVc=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iCVOH+dXPW5Yow03OFzE3KFxd7gLMdb90NF1eBlmABk=</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zgur8m8h3dHGUIjwiYWUwhCf0M5q1vRr8/fpz0BeqjQ=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7K0RfRaSjDP6tX2AJJpMSRjcmHBmC4suCih810VKQKE=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YJfbdRjw9jzDIHxg9lF8IV5su7pXZUZ3BubXlm6sSbI=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N8qijj8WXJ10YGO5eKPxvirB/H7N/Cb0D2n1Mzyaryo=</DigestValue>
      </Reference>
      <Reference URI="/xl/worksheets/sheet1.xml?ContentType=application/vnd.openxmlformats-officedocument.spreadsheetml.worksheet+xml">
        <DigestMethod Algorithm="http://www.w3.org/2001/04/xmlenc#sha256"/>
        <DigestValue>RQrBSlri31PMwZlIl5U8oN6J/gyebqTN0C1tnBaPr1M=</DigestValue>
      </Reference>
      <Reference URI="/xl/worksheets/sheet10.xml?ContentType=application/vnd.openxmlformats-officedocument.spreadsheetml.worksheet+xml">
        <DigestMethod Algorithm="http://www.w3.org/2001/04/xmlenc#sha256"/>
        <DigestValue>VdSSMhq7PPyGTGDw8th3UTvOa3U89Ih1rcKsbGp6WEc=</DigestValue>
      </Reference>
      <Reference URI="/xl/worksheets/sheet11.xml?ContentType=application/vnd.openxmlformats-officedocument.spreadsheetml.worksheet+xml">
        <DigestMethod Algorithm="http://www.w3.org/2001/04/xmlenc#sha256"/>
        <DigestValue>tvzKKq8EPOADTa94CUdCYmoZ4T6lnIZpEmf/8HsdSIo=</DigestValue>
      </Reference>
      <Reference URI="/xl/worksheets/sheet2.xml?ContentType=application/vnd.openxmlformats-officedocument.spreadsheetml.worksheet+xml">
        <DigestMethod Algorithm="http://www.w3.org/2001/04/xmlenc#sha256"/>
        <DigestValue>R7gGbROsq8wtNMf9wb9NhnoX7CbE0LKzExehQybw3Z8=</DigestValue>
      </Reference>
      <Reference URI="/xl/worksheets/sheet3.xml?ContentType=application/vnd.openxmlformats-officedocument.spreadsheetml.worksheet+xml">
        <DigestMethod Algorithm="http://www.w3.org/2001/04/xmlenc#sha256"/>
        <DigestValue>t7XEAo8Uy0vjd/DJ2C4BITc81JYXlBr/JkVguL11LaQ=</DigestValue>
      </Reference>
      <Reference URI="/xl/worksheets/sheet4.xml?ContentType=application/vnd.openxmlformats-officedocument.spreadsheetml.worksheet+xml">
        <DigestMethod Algorithm="http://www.w3.org/2001/04/xmlenc#sha256"/>
        <DigestValue>cEnOJfsnp/NBRY+3I/VQDmCO7RMEqgGuf8UEqrDuCIU=</DigestValue>
      </Reference>
      <Reference URI="/xl/worksheets/sheet5.xml?ContentType=application/vnd.openxmlformats-officedocument.spreadsheetml.worksheet+xml">
        <DigestMethod Algorithm="http://www.w3.org/2001/04/xmlenc#sha256"/>
        <DigestValue>EswEMBCM4zdmW1cMOh7rkhk8swYW2MNO2WQBh8M1rRc=</DigestValue>
      </Reference>
      <Reference URI="/xl/worksheets/sheet6.xml?ContentType=application/vnd.openxmlformats-officedocument.spreadsheetml.worksheet+xml">
        <DigestMethod Algorithm="http://www.w3.org/2001/04/xmlenc#sha256"/>
        <DigestValue>D58Ad9xw9rLp8vtfuoXZKREoJCKBX5r+HJLMNlecAok=</DigestValue>
      </Reference>
      <Reference URI="/xl/worksheets/sheet7.xml?ContentType=application/vnd.openxmlformats-officedocument.spreadsheetml.worksheet+xml">
        <DigestMethod Algorithm="http://www.w3.org/2001/04/xmlenc#sha256"/>
        <DigestValue>gSn74GrP21z2K652QtORivHMqG62kbL+N6pM0KMuNoM=</DigestValue>
      </Reference>
      <Reference URI="/xl/worksheets/sheet8.xml?ContentType=application/vnd.openxmlformats-officedocument.spreadsheetml.worksheet+xml">
        <DigestMethod Algorithm="http://www.w3.org/2001/04/xmlenc#sha256"/>
        <DigestValue>RHD7ig3kB2XIS94P7M7laThHUC2ZEnlItLh4CQ8e2cA=</DigestValue>
      </Reference>
      <Reference URI="/xl/worksheets/sheet9.xml?ContentType=application/vnd.openxmlformats-officedocument.spreadsheetml.worksheet+xml">
        <DigestMethod Algorithm="http://www.w3.org/2001/04/xmlenc#sha256"/>
        <DigestValue>NbdLLWXsZdwhOiIfvFm/hDyLJl0+E1xl/cjBrRt6I8I=</DigestValue>
      </Reference>
    </Manifest>
    <SignatureProperties>
      <SignatureProperty Id="idSignatureTime" Target="#idPackageSignature">
        <mdssi:SignatureTime xmlns:mdssi="http://schemas.openxmlformats.org/package/2006/digital-signature">
          <mdssi:Format>YYYY-MM-DDThh:mm:ssTZD</mdssi:Format>
          <mdssi:Value>2026-08-13T20:34:11Z</mdssi:Value>
        </mdssi:SignatureTime>
      </SignatureProperty>
    </SignatureProperties>
  </Object>
  <Object Id="idOfficeObject">
    <SignatureProperties>
      <SignatureProperty Id="idOfficeV1Details" Target="#idPackageSignature">
        <SignatureInfoV1 xmlns="http://schemas.microsoft.com/office/2006/digsig">
          <SetupID>{D7172B2C-4DA0-4426-84B5-755CA4FEAE6B}</SetupID>
          <SignatureText/>
          <SignatureImage>AQAAAGwAAAAAAAAAAAAAAJQAAABMAAAAAAAAAAAAAABtCgAAZgUAACBFTUYAAAEAtAsBAAwAAAABAAAAAAAAAAAAAAAAAAAAgAcAADgEAABYAQAAwgAAAAAAAAAAAAAAAAAAAMA/BQDQ9QIARgAAACwAAAAgAAAARU1GKwFAAQAcAAAAEAAAAAIQwNsBAAAAeAAAAHgAAABGAAAA2A8AAMwPAABFTUYrIkAEAAwAAAAAAAAAHkAJAAwAAAAAAAAAJEABAAwAAAAAAAAAMEACABAAAAAEAAAAAACAPyFABwAMAAAAAAAAAAhAAAUkDwAAGA8AAAIQwNsBAAAAAAAAAAAAAAAAAAAAAAAAAAEAAAD/2P/gABBKRklGAAEBAQDIAMgAAP/bAEMACgcHCQcGCgkICQsLCgwPGRAPDg4PHhYXEhkkICYlIyAjIigtOTAoKjYrIiMyRDI2Oz1AQEAmMEZLRT5KOT9APf/bAEMBCwsLDw0PHRAQHT0pIyk9PT09PT09PT09PT09PT09PT09PT09PT09PT09PT09PT09PT09PT09PT09PT09PT09Pf/AABEIAI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gOOtGMnrQPelAoAQ8CjBOaQnJoGaADpS4z+FIRmgEKD70ABGKTBNHPU0vtQAhGaQnjGKX+HNJjIoAb1/lQBRindaADbxSYpe1ITkg0AAGDS9DSdqCaABhk0gpevWkxzQAmM0vagDBpwGOpoAaKM8YpQM0dKAGj0pR0pSOM0nXp2oAO4z2pOM4opD1oAQ9aBTqTpz60AFIaM4NFACGinY55oxQBYA55pe2KQUEcDmkA2lyAD1z60negCmAdBQcYpQM9aaTnA4wKADOePSlxgUMOeKU4KA9D6UANI44oA4ozyKgmv7e2nihnlVGmO1AxxuPoKAJ8DFJ1p2MA0lACd+aRgATjpQ3HNH3u/bNAAR0z3o5oz09qU+woATrSDqM0obceOg61FcXUNq0YndU8xgi7j1J6CgCV14Yeo60AkDFLnn2pOozQAdKCaOooPQcUAJnij1AprOEQsTgDmsbRtWn1jUp5IAv9nxjaHI5Zvb/AD0+tNRbTYG1jH1pcClxikpANPWgHIpTzTQKAAdcUuKAOaMnpQAUlLSYHrQBY6Hg0Z4ozSZpAGO9B5NAY4IIpMcc0AGfxFA60nQ0pPegAbj2qtd3kNlC01w6pEvLMxwBVgjdmud8aTImgyJIMrK6Jj6sKpK7sB0EM0dxCksLrJE4yrKcgiub8QHd4m0aPus2f1WtnRYBb6LaIqhcRjIHr3/WsKRmvfiHCi8paxZb2zn/AOtVQ0bEzriM1GRgkCnk0h6E9agZGc9Kytf1VtIslmjQO5kVFUnjk1qk5rlfFHm3us6TYIhKvL5khHYDj+pP4U42vqBuvq1vFqNrZyttmuV3IME9vWr7g1wdzc/b/idBEpJSFQnHrgsf6V3V1IIYXdjgAE1Uo2sBh6Vcz3XijUvnY20CLGF/h3dfz61BrMhuvFOl2ajcA4kbnsDk/wAqt+GIvL0qW6b791K0uT6ZwP8APvVLw6v9qa5faueUQmCH6Dqf8+tX8Mm+wjpzSYOKARuIo3KM5rEYnpQTgfSqd5qtpYIWuZ0T0BPP5d65+88YxXhNppUcst1J8qHbgA+tUotgWdRmm1u/OlWbFIV5uZh/CP7v1/z61v2tpDZWyQW6BI0GAB/P61DpGmJpOnrCDukPzSOerN3q0zgHk4pya2WwhzHA+tISAOTisjU/E9hpwKNJ5s2cCKP5mz/SqCLreuBWcjTbU8nvKw/p+lJRe4zogysTtOfWlAwao6Zo9rpW4weY0kgw8kjli1Xs5JFJ+QAT2pOKOtIeKQCk0bhR2zSYoAsUdaFwaCMdKADjHpSZ4xRmkpABNA5B9aCw9OaQHHrzQAFsDrg1yfjLNzcadYqeZ58n6Af4kV1Zwa5XUf8AS/Hemwg8QL5h/E5/9lq4b3A6wqIoQAMBRiuX8KIbnXNYvm5/eeWp9gcf+yj866DVboWunzynoiE/pWf4PtDbeH4S4+eYmRvqTj+lC0i2Btk5FNIx0NKfl60x3C9akBG6EmuVjvo317UtRdv3NhD5YPv1P9R+FXta8RQ2UbxW6tcXO04jj5I47+lcLJfMvhryF5admmlOeeSFGfoTn64rejSchNljwo8kvjC0nkGGnaRz9SpJ/LIFdt4yumt9BlCk75iIxj3OD+ma5Hw1bGLXtBZgQ00c0p59cgfoorpfFeLi+0qz6+Zchz9FHP8AOrqtOorAP1u7Gh+GVhjIEwhESY7HGCf61f8AD9gNL0O2t9u1tm5/948//W/CuW165F5DJqJYm3jvI4sdQEByT+f6EVPqHjkTy+TpcasOhnlOxB+dQ6baSXzBM6i+1G3sYGlnkVFXqSev09a51tY1TW5DFpFsY4c4NzLwP8/nWbDi8u/tM0Nxq8+ekaFYV/E9f5VuhPEV2oVFtLGPGAPvED2xxS5VECKPw5YaZDJe6tObyUDcxk+6Pw7/AI1m6dq9jp8k+q35jjlcbLeBBzGg+nc/561oz+GS8Ql1DWLlmRg5YYVRj2ORXPTxw6nL/Z/hmzDDkS3b8k+4Y9B79+2auDT0bAvL4+uJp5TFaqIRwNzck47noO3FTxWuveI0DTTmxtG9AQ7D2HX88VpaD4StNIAllxPddS7DIU+w/rW/15rOcoJ+4hmVpfhyw0ra0UW+Yf8ALWTk/h2H4Vq98UCis229wEpDxTj/AJxTCOaQCngcU0k9aXHSkx81ADh09KbTuQOfSmUAWcYNHXrRmigA70e1JnB4ox3zSAMHHNNOMYp3XJ9Ka3WgBDjbXK6b/pXxEu5O1vEFH5f/AGddNK22Mn/Irm/BKm5u9Vvyf9bMVU+2T/QCrjs2Bb8YysbCK1j5e5lWMD1reiWO0gigUgKihR+FcjreoRp4ws0nbENrGZmPvzj9QPzqBV1bxLqKTKjwwRnMeThFPZj/AHj9OKvlvFAb+q+IIbJxBGGnuX+5EgySf6VRfTdd1Vv9KuUsoD1SPl/z/wDr1qaXotro0bOW824fl5pPvH/Cm3viKxsvlaUNJ2RPmY/lUrtFCH2mhWdjZSQQJgyIVeVuWOfeuB8RaSugaTa2Ly+bNPKWZxn7qjAH/j2a63+0dY1Dizsfs8Z/5aXDYP8A3z1rlL+wvb7xra6feXfnkgMxVdoQckgfgK1pNxd2wL811bab4v0gGRTHa2exyDnDbW/rTtaudQ1jVrOXT7O4j+R44pJEIALdW/AUana2nh/xxpUscSx28kbBs8/MMjJJ/wB4V28TrNCki4KuoYY9DzScrWaA5mx8LXiaetrdagUg53R2643k9csev5VqWfh7TbLBS2WRx/HL87fr0/CtM9KSs3OTHYAABhRimTTpbxtI7BVUZJPanMwVGY8ADJrjJXu/F2otHbO0OmR8NLjG71x6n+VEIc2+wnoQ3Ml54z1R7S2cxaZC371x/F7e/wBPz9uy0/T7bTLRbe0jCRj8yfUnvRYWMGm2kdraxhIkGAPX3PvVmicr6LYEB6UDPFFBNQMccUnag80n8qACk780HrQaAEOc0dKUHJwe1JQAMaSjIpcCgCcdaUikzSZzSAUjqfSm5pfakPWgAPB5pD0oPvVa6voLOPfPKkajuzAUwItVm8jTriU/wRs36Vg+D7u30nwrE1xKqtK7MMnHTA/pUHibxTbTaXPbWiyTmRCu9F+UZ9TUFr4Ym1PTrWaeQwW9vGRGCMswPzZI6D9a2jFcvvaCKmlXdnrHiC81TUnWO2QgKjfxjsPfpkiupOsX16u3TLB9nQSy/IuPUDqazfA2m28mnvfyR+ZM8rbXcZIHH68muu20ptJ2QGENDvL/AAdVvnZf+eUHyr+fetCz0my04AW1uiH+9jJ/PrV7jFIfWocmxjc4FcfpMRuviJqNweRbpgH3IAx/OuukOEY+grmfBKmYalftndPcbPwUf/Xpx0i2BZ8X6DNrdtbG0K/aLeXcu44BBHPP5H8K3YIhBbxRDGEQKMewxUmCRxSHipbbVgCk9qWkpAIVycGmxxJEoSNFRB0CjAFPyaO1ACYzS9KUYA96Q0AJS96SloAMc8UZo6UhGDQAh5NBNB60EUAAOKDx3paYQaAF980fiKTqfrT8f7NAEuKOgpQc0h4pAJ1xVe8vYbGFpbiRUQdyasdKzm0hJr2Wa6czxNjZE44SqSXUDK/tjUNYOzSbYpF3uJhgfgP8/SrFt4VhZhNqc0l5MOcscKPoP8/St1FVECqAqqMADoBQTjpT5rbAYfiDQ2vtLS1sBFDiRSRjaMd+lXNXkFl4fuTGceVbtj8Fq8eKzvEEUk/h+/iiRnd4HCqo5JIPShNuyAr+DIfK8K2fqwYn/vo1u5OCO2c1j+E45I/DNmkyMjANwwwcbjjj6Vr4ol8TAB05pD6ClI/Ok7VIDCAylTyD1qtpWmQaTYi1ttxQMWyxySTVoDtSii+lgD6cUnv3px6cU2gBc96TGeTS4o6UAITSe4p1JyKADtxS9evWmg80vY0ABwR1oHAz2oxkUnagB3akODQDgHBpMcZoAKQnpzmlB496aRxQA5iCOBTTSjpxSE5IoABwaN9FGF9KAJ+1HbmlJyB0pO1ACH1o60cjg0dKAEoFGCaToaAA9OlAFPHcUmcGgApeO1NyM0c9jxQAvbrSUNxgUEk896AG5PenHGAMYIpMg0AECgA60Ypevem9hg0ALnikzk0dD1o6jrQAo5FJgfWgEg+1JnOaAA89KXqpFGKSgAHSg8DmijH40ACnPWlbhsCk+tDc4/KgA4PXqKbnBNLwTil2nbu/A0AJ1/CkbGTikzzSlcke9ACUbvelPWj5fagD/9kAAAhAAQgkAAAAGAAAAAIQwNsBAAAAAwAAAAAAAAAAAAAAAAAAABtAAABAAAAANAAAAAEAAAACAAAAAAAAgAAAAIAAAHlDAAAAQwMAAAAAAACzAAAAs/3/FEMAAACzAAAAs/7/mUIhAAAACAAAAGIAAAAMAAAAAQAAABUAAAAMAAAABAAAABUAAAAMAAAABAAAAFEAAAB4+gAAAAAAAAAAAACUAAAATAAAAAAAAAAAAAAAAAAAAAAAAAD5AAAAgAAAAFAAAAAoAAAAeAAAAAD6AAAAAAAAIADMAJUAAABNAAAAKAAAAPkAAACAAAAAAQAQAAAAAAAAAAAAAAAAAAAAAAAAAAAAAAAAADlnWmtaa3tvWmtaa1pre29aa1prWmt7b1pre29aa3tve297b1pre29aa1prWmtaa1pre29aa3tvWmtaa1prWmtaa1prWmt7b1pre29aa3tvWmtaa1prWms5Z1prWmtaa1prWmtaa1prWmt7b1pre29aa1prWmtaa1prWmtaa1prWmtaazlnWms5Z1prWmtaazlnWmtaa3tvWmtaa1prWmtaa3tvWmtaazlnWms5Z1prWmtaa1prWmtaa1prWmtaazlnWms5Z1prOWdaa1prWmtaa1prWmt7b1prWmtaa1prOWdaa1prWmtaa1prWmtaazlnWmtaa1prOWdaazlnWmtaa1prOWdaazlnWms5Z1prOWdaazlnWms5Z1prOWdaazlnWmtaa1prWmtaazlnWms5ZzlnOWdaazlnWms5Z1prWmtaa1prWmtaa1prWmtaazlnWms5Z1prOWdaazlnWms5Z1prOWdaazlnWms5Z1prOWdaazlnWms5Z1prWmtaazlnWmtaa1prOWdaazlnWmtaa1prOWdaazlnOWc5Z1prOWc5ZzlnOWc5ZzlnOWdaa1prOWc5Z3tve297bzlnWms5ZzlnOWc5ZzlnOWc5ZzlnOWdaa1prWms5ZzlnOWd7bzlnWms5ZzlnOWc5ZzlnWmsYYwAAe29aa3tve297b1pre297b3tvWmt7b3tve29aa3tvWmt7b3tve29aa1prWmt7b1pre29aa3tvWmt7b1pre29aa1prWmt7b1pre29aa3tvWmt7b1prWmtaa1prWmtaa1pre29aa3tvWmt7b1pre297b3tvWmt7b1prWmtaa3tvWmtaa1prWmtaa1prWmtaa1prWmtaa3tvWmt7b1pre29aa3tve297b1prWms5Z1prWmtaa1pre29aa3tvWmt7b1prWms5Z1prWmtaa1prWmtaa1prWmt7b1pre29aa3tvWmtaa1pre29aa3tvWmt7b1prWmtaa3tvWmtaa1prWmtaa1prWmtaa1prWmtaa1prWmtaazlnWmtaa1prWmtaa1prWmtaa1prWmtaa1prWmtaa1prOWdaazlnWmtaa1prOWdaa1prWmtaa1prWmtaa1prWmtaa1prWmtaa1prWmtaa1prWmtaa1prWmtaa1prWmtaa1prWmtaa1prWmtaa1prWmtaa1prWmtaazlnWmtaa1prOWdaa1prWms5Z1prWmtaazlnWms5ZzlnOWdaa1prWms5Z1pre297b1prWms5Z1prOWc5ZzlnOWc5Z1prOWdaa1pre29aa1prOWdaa1prWms5Z1prOWdaazlnWms5Z1prAABaa3tve297b1pre29aa3tvWmt7b1pre29aa3tvWmtaa1pre29aa1prWmtaa1prWmtaa3tvWmtaa1prWmtaa1prWmtaa1prWmtaa1prWmtaa1prWmtaa1prWmtaa1prWmtaa3tvWmtaa1pre29aa3tvWmt7b1prWmtaa1prWmtaa1prWmtaa1prWmtaa1prWmtaa3tvWmtaa1prWmtaa1prWmt7b1prWms5Z1prOWdaazlnWmtaa1prWmtaazlnWmtaa1prOWdaa1prWmtaa1prWmtaa1prWmtaa1prWmtaa1prWmtaa1prWmt7b1pre29aa1prWmtaa1prWms5Z1prWmtaa1prWmtaa1prWmtaazlnWmtaa1prWmtaa1prWmtaa1prOWdaazlnWms5Z1prOWdaazlnWms5Z1prOWdaa1prWms5Z1prWmtaazlnWms5Z1prOWdaazlnWms5Z1prOWdaazlnWms5Z1prOWdaa1prWmtaa1prOWdaazlnWms5Z1prOWdaazlnWms5Z1prWmtaazlnWms5ZzlnOWdaazlnWms5ZzlnOWdaazlnWms5Z1prWmt7b1prWms5Z1prOWc5ZzlnOWc5ZzlnOWc5ZzlnWms5Z1prOWc5ZzlnWms5Z1prOWc5ZzlnOWc5ZzlnOWcAAHtvWmt7b3tve29aa3tvWmt7b1pre29aa3tvWmt7b1prWmtaa1prWmt7b1pre29aa3tvWmt7b1pre29aa3tvWmtaa1prWmtaa1prWmtaa1pre29aa1prWmtaa1prWmtaa3tvWmtaa1pre297b3tvWmt7b1pre29aa3tvWmt7b1pre29aa3tvWmt7b1pre29aa3tvWmtaa1prWmtaa1prWmt7b1pre29aa1prWmtaa1prWmtaa1prWmt7b1prWms5Z3tvWmtaa1pre29aa3tvWmtaa1prWmtaa1prWmtaa1pre29aa3tvWmt7b1pre29aa1prWmt7b1prWmtaa1prWmt7b1prWmtaa1prWmtaa1prWmtaa1prWmt7b1prWmtaa1prWmtaazlnWms5Z1prWmtaa1prWms5Z1prWmtaazlnWmtaa1prWmtaa1prWmtaa1prWmtaa1prWmtaa1prWmtaa1prWmtaa1prWmtaa1prWmtaa1prWmtaa1prWms5Z1prOWdaazlnWmtaa1prWmtaa1prWmtaa1prOWdaazlnWmtaa1prOWdaa1prWmtaazlnOWdaa1prWms5Z1prOWdaazlnOWc5Z1prOWdaazlnWmtaa1prOWdaazlnWmtaa1prOWdaazlnWms5Z1prOWdaawAAWmt7b3tve29aa1prWmt7b1prWmtaa3tvWmt7b1pre285Z1prWmtaa1prWmtaa3tvWmtaa1prWmtaa1prWmt7b1prWmtaa1prOWdaa1prWmtaa1prWmtaazlnWmtaa1prWmtaa1pre29aa3tvWmt7b1prWmtaa1prWmtaa1pre29aa1prWmtaa1prWmtaa3tvWmtaa1prWms5Z1prOWdaa1prWmtaa3tvWmtaa1prWmtaa1prWmtaa1prWms5Z1prWmtaa1prWmtaa1prWmtaazlnWms5Z1prWmtaa1prWmtaa1prWmtaa1prWmtaa1prOWdaa1prWms5Z1prOWdaazlnWms5Z1prOWdaa1prWms5Z1prOWdaazlnWms5Z1prOWdaazlnOWc5Z1prWmtaa1prWms5Z1prOWdaazlnWms5Z1prWmtaazlnWmtaa1prOWdaazlnWms5Z1prOWdaazlnWms5Z1prOWdaazlnWms5Z1prOWdaazlnWmtaa1prOWdaazlnWms5Z1prWmtaazlnWmtaa1prOWc5ZzlnWms5Z1prOWdaazlnWms5Z1prGGNaa1prWms5ZzlnOWdaazlnOWc5ZzlnOWc5ZzlnWms5Z1prOWdaazlnOWc5Z1prOWdaazlnOWc5ZzlnOWdaazlnAAB7b3tvnHN7b3tvWmt7b3tve29aa3tve297b1pre29aa1prWmt7b1pre29aa3tvWmt7b1pre29aa3tvWmt7b1prWmtaa3tvWmtaa1prWmtaa1prWmtaa1prWmtaa3tvWmt7b1pre29aa3tve297b1pre29aa3tvWmt7b1pre297b3tvWmt7b1pre29aa3tvWmtaa1prWmtaa1prWmtaa1prWmtaa3tvWmtaa1prWmtaa3tvWmt7b1prWmtaa1prWmt7b1pre29aa1prWmtaa1prWms5Z1prWmtaa1prWmtaa1prWmtaa1prWmtaa1prWmtaa1prWmtaa1prOWdaa1prWms5Z1prOWdaazlnWmtaa1prWmtaa1prWms5Z1prOWdaa1prWmtaa1prWmt7b1prWmtaa1prWmtaa1prWms5Z1prWmtaa1prWmtaa1prWmtaa1prWmtaa1prWmtaa1prWmtaa1prWmtaa1prWmtaa1prOWdaazlnWmtaa1prWmtaazlnWmtaa1prWmtaa1prWmtaa3tvWmtaazlnWms5Z1prWmtaa1prWms5Z1prOWc5Z1prWms5ZzlnOWdaazlnWms5Z1prOWc5ZzlnWms5Z1prOWdaazlnOWc5ZzlnOWdaazlnWms5Z1prOWdaazlnWmsAAHtve297b3tve297b1pre29aa3tvWmt7b1pre29aa1prWmtaa1pre29aa3tvWmtaa1prWmtaa1prWmt7b1pre29aa1prWmtaa1prWmtaa1prWmtaazlnWmtaa1prWmtaa1prWmtaa3tve297b1prWmtaa3tvWmtaa1pre29aa3tvWmtaa1prWmtaa1prWmtaa1prWmtaa1prWmtaa1prWmtaa1prWmt7b1prWms5Z1pre297b1prWmtaa1prWmtaa1prWmtaa1prWmtaazlnWms5Z1prOWdaa1prWmtaa1prWmtaa1prWmtaa1prWmtaazlnWmtaa1prWmtaazlnWms5Z1prOWdaazlnWmtaa1prWmtaa1prWmtaa1prOWdaazlnWms5Z1prWmtaa1prWmtaa1prOWdaa1prWms5Z1prOWdaazlnWms5Z1prOWdaazlnWms5Z1prOWdaazlnWms5Z1prOWdaazlnWms5Z1prOWdaazlnWms5Z1prOWdaazlnWms5Z1prOWdaazlnWms5Z3tvWmtaazlnWms5ZzlnOWdaazlnWms5Z1prOWc5ZzlnWms5ZzlnOWdaazlnOWc5Z1prOWc5ZzlnOWc5Z1prOWdaazlnOWc5ZzlnGGM5ZzlnWms5ZzlnOWc5ZzlnOWc5ZwAAe297b3tve297b1pre29aa3tvWmt7b1pre29aa3tvWmt7b1pre297b3tve297b1pre29aa3tvWmt7b1pre29aa3tvWmt7b1pre29aa1prWmtaa1prWmtaa1prWmt7b1pre29aa3tvWmt7b3tve29aa3tvWmt7b1pre29aa3tve297b1prWmtaa1prWmtaa1prWmtaa3tve297b3tve29aa1prWmt7b1pre29aa1prWmucc3tve29aa1prWmt7b1pre29aa1prWmtaa1prWmtaa1prWmtaa1pre29aa3tvWmt7b1pre29aa3tvWmtaa1prWmtaa1prWmtaa1prWmtaa1prWmtaa1prWmtaa3tvWmt7b1prWmtaa3tvWmtaazlnWmtaa1prWmt7b1pre29aa3tvWmtaa1prWmtaa1prOWdaa1prWmtaa1prWmtaa1prWmtaa1prWmtaa1prWmtaa1prWmtaa1prWmtaa1prWmtaa1prWms5Z1prOWdaazlnWmtaa1prWmtaazlnWms5Z1prWmt7bzlnWms5Z1prOWdaazlnWms5Z1prOWc5ZzlnWmtaa1prOWdaa1prWms5Z1prOWdaazlnWms5Z1prOWdaazlnOWc5ZzlnOWc5ZzlnWms5Z1prOWdaazlnWms5ZzlnAABaa1prWmt7b1pre29aa3tvWmt7b1pre29aa1prWmtaa1prWmtaa3tvWmtaa1prWmtaa1prWmtaa1prWmtaa3tvWmtaa1prWmtaa1prWmtaa1prWmtaa1prWmtaa1prWmtaa1prWmt7b1prWmtaa1prWmtaa1prWmtaa1prWmtaa1prWmtaa3tvWmtaa1pre29aa1prWmtaa1prWmtaa3tvWmtaa1prWmtaa1prWmtaa1prWmtaa1prWmtaa1prWmtaa1prWmtaazlnWms5Z1pre297b1prWms5Z1prWmtaazlnWmtaa1prWmtaa1prWmtaa1prWmtaa1prWmtaa1prOWdaa1prWmtaa1prOWdaazlnWms5Z1prOWdaa1prWms5Z1prWmtaa1prWmtaa1prOWdaazlnWms5Z1prWmtaazlnWms5Z1prOWdaa1prWms5Z1prOWdaa1prWmtaa1prOWdaazlnWms5Z1prOWdaa1prWmtaa1prOWc5ZzlnOWc5ZzlnOWdaazlnWms5Z1prWmtaazlnWms5Z1prOWdaa1prWms5ZzlnOWdaazlnWms5ZzlnOWc5ZzlnOWc5ZzlnOWc5ZzlnOWc5Z1prOWdaazlnOWc5ZzlnOWc5ZzlnOWc5ZzlnOWc5ZzlnOWc5ZzlnGGMAAHtvWmt7b3tve29aa3tvWmt7b1pre297b3tvWmt7b1pre29aa3tvWmt7b1pre29aa1prWmt7b1pre29aa3tvWmtaa1pre29aa1prWmt7b1prWmtaa3tvWmtaa1pre29aa1prWmt7b1prWmtaa1prWmtaa1prWmtaa1prWmt7b1pre29aa3tvWmt7b1pre29aa3tvWmt7b1pre29aa3tvWmt7b1pre29aa3tvWmt7b1prWmtaa3tvWmtaa1pre29aa1prWmtaa1prWmtaa1prWmt7b1prWmtaa1prWmt7b1prWmtaa1prWmtaa1pre29aa1prWmt7b1prWmtaa3tvWmtaa1prWmtaa1prWmtaa1prWms5Z1prOWdaa1prWmtaa1prOWdaa1pre29aa3tvWmtaa1prWmtaa1prWmtaa1prWms5Z1prWmtaa1prWmtaa1prOWdaa1prWmtaa1prWmtaazlnWmtaa1prWmtaa1prWmtaa1prWmtaazlnWms5ZzlnOWdaazlnWmtaa1prWmt7b1prWms5Z1prOWdaa1prWms5Z1prOWdaa1prWms5Z1prOWdaazlnWms5Z1prOWdaazlnWms5Z1prWmtaazlnWms5Z1prOWdaazlnWms5Z1prOWdaazlnWms5Z1prOWc5ZwAAWmt7b1pre29aa3tvWmtaa1pre29aa3tvWmt7b1pre29aa3tvWmt7b1prWmtaa1prWmtaa1prWmtaa3tvWmtaa1prWmtaa1prWmtaa1prWmtaa1prWmtaa1prWmtaa1prWmtaa1prWmtaa1prOWdaa1prWmtaa1prWmtaa1prWmtaa3tvWmtaa1pre29aa1prWmt7b1pre29aa3tvWmt7b1pre29aa3tvWmt7b1prWmtaa1prWmtaa1prWmtaa1prOWdaazlnWms5Z1prOWdaazlnWmtaa1prWmtaa1prWmtaa1prOWdaa1prWmtaa1prWmtaa1prWmtaa1prWmtaazlnWmtaa1prWmtaazlnWms5Z1prOWdaazlnWms5Z1prOWdaazlnWmtaa1prWmtaa1prWmtaa1prWmtaazlnWms5Z1prOWdaazlnWms5Z1prOWdaazlnWmtaa1prWmtaazlnWms5Z1prWmtaazlnWms5Z1prOWdaazlnWms5ZzlnOWc5ZzlnWms5Z1prWmtaa1pre29aa1prOWdaazlnWms5Z1prOWdaa1prWms5Z1prOWdaazlnOWc5Z1prOWc5ZzlnWms5ZzlnOWdaazlnWmtaa1prOWc5ZzlnWms5ZzlnOWc5ZzlnOWc5ZzlnOWc5ZzlnAAB7b1pre29aa3tvWmt7b1pre29aa3tvWmt7b3tve29aa3tvWmt7b1pre29aa1prWmt7b1pre29aa3tvWmt7b1pre29aa1prWmt7b1prWmtaa1prWmtaa1pre29aa3tvWmtaa1prWmtaa1prWmtaazlnWmtaa1prWmtaa1prWmtaa3tvWmt7b1pre29aa3tvWmt7b3tve297b3tvWmt7b1pre29aa3tvWmt7b1pre29aa3tvWmtaa1pre29aa1prWmtaazlnWms5Z1prWmtaa1prWmtaa3tvWmt7b1prWmtaa1prWmtaa1prWmtaa1prWmtaa1prWmtaa1prWmtaa1prWmtaa1prWmt7b1prWmtaa1prWmtaazlnWmtaa1prWmtaa1prWmtaa3tvWmtaa1pre29aa1prWmtaa1prWmtaa1prWmtaa1prWms5Z1prOWdaa1prWmtaa3tvWmtaazlnWms5Z1prWmtaa1prWmtaa1prWmtaa1prWmtaa1prOWdaazlnWms5Z1prWmtaa1pre29aa1prOWdaazlnWms5Z1prOWdaa1pre29aa1prWmtaazlnOWc5Z1prOWdaazlnWms5Z1prOWdaa1prWms5Z3tvWmtaazlnWms5Z1prOWdaazlnWms5Z1prOWdaazlnWmsAAFprWmtaa3tvWmt7b1pre29aa1prWmt7b1pre29aa3tvWmt7b1prWmtaa1prWmtaa1prWmtaa3tvWmtaa1prWmtaa1prWmtaa1prWmtaa1prWmtaa1prWmtaa1prWmtaa1prWmtaa1prWmtaa1prWms5Z1prWmtaa1prWmtaa1prWmtaa1pre29aa1prWmt7b1pre29aa3tvWmt7b1pre29aa1prWmt7b1prWmtaa1prWmtaa1prWmtaa1prWmtaazlnWms5Z1prOWdaa1prWmtaa3tve297b1prWmtaa1prWmtaa1prWmtaa1prWmtaa1prWmtaa1prWmtaa1prWms5Z1prWmtaa1prWmtaa1prWmtaa1prWms5Z1prWmtaazlnWmtaa1prWmtaa1prWms5Z1prWmtaa1prWmtaa1prWmtaa1prWms5Z1prOWc5ZzlnWms5Z1prWmtaazlnWms5Z1prOWdaazlnWms5Z1prOWdaazlnWms5Z1prOWdaazlnOWc5Z1prOWdaa1prWmtaa1prWmtaazlnWms5Z1prOWdaa1prWmtaa1prWmtaazlnOWc5ZzlnOWdaazlnWms5Z1prOWdaazlnOWc5Z1prWmtaazlnWms5ZzlnOWc5ZzlnOWc5ZzlnOWc5ZzlnOWc5ZwAAe29aa3tve297b1pre29aa3tvWmt7b3tve29aa3tvWmt7b1pre29aa1prWmt7b1pre29aa3tvWmt7b1pre29aa1prWmt7b1prWmtaa3tvWmtaa1pre29aa1prWmt7b1pre29aa3tvWmt7b1prWmtaa1prWmtaa1prWmtaa1prWmt7b1pre29aa3tvWmt7b1pre29aa3tvWmt7b1pre29aa1prWmt7b1pre29aa3tvWmtaa1pre29aa1prWmt7b1prWmtaa1prWmtaa1prWmtaa1pre2+cc3tve29aa1prWmtaa1pre29aa1prWmtaa1prWmtaa1prWmtaa1prWmtaa1prWmt7b1pre29aa1prWmtaa1prWmtaa1prWmtaa1prWmtaa1prWmtaa1prWmtaa1prOWdaa1prWmtaa3tvWmtaa1prWmtaa1prOWdaazlnWmtaa1prWmt7b1prWms5Z1prOWdaa1prWmtaa1prWmtaazlnWmtaa1prWmtaa1prWms5Z1prWmtaa1prWmtaa3tvWmtaa1prWms5Z1prWmtaa1prWmtaa1prOWdaa1prWms5Z1prOWdaa1prWms5Z1prOWdaa1prWms5Z1prWmtaa1prWms5Z1prOWdaazlnWms5Z1prOWdaazlnWms5Z1prAABaa3tvWmt7b1pre29aa1prWmt7b1pre29aa3tvWmtaa1pre29aa1prWmtaa1prWmtaa3tvWmtaa1prWmtaa1prWmtaa1prWmtaa1prWmtaa1prWmtaa1prWmtaa1prWmtaa1prWmtaa1prWms5Z1prOWdaazlnWmtaa1prWmtaa1pre29aa1prWmt7b1prWmtaa3tvWmtaa1pre29aa3tvWmtaa1prWmtaa3tvWmtaa1prWmtaa1prWmtaa1prWmtaa1prWmtaa1prWmtaa1prOWdaa1pre29aa1prOWdaa1prWmtaa1prWmtaazlnWmtaa1prOWdaa1prWms5Z1prWmtaa1prWmtaa1prWmtaa1prWmtaa1prWmtaazlnWmtaa1prWmtaa1prWms5Z1prOWdaazlnWms5Z1prOWdaa1prWms5Z1prOWdaazlnWms5Z1prOWdaa1prWms5ZzlnOWdaazlnWmtaa1prOWdaazlnWms5Z1prOWdaazlnWms5Z1prOWdaa1prWms5Z1prWmtaazlnWms5Z1prOWdaazlnWmtaa1prOWc5ZzlnWms5Z1prOWc5ZzlnWms5Z1prOWdaazlnWms5ZzlnOWdaa1prWms5ZzlnOWdaazlnOWc5ZzlnOWc5ZzlnOWc5ZzlnOWcAAHtvWmt7b1pre29aa3tvWmt7b3tve29aa3tvWmt7b1pre29ba3tvWmtba1pre29aa3tvWmt7b1pre29aa1prWmt7b1prWmtaa3tvWmtaa1prWmtaa1prWmt7b1pre29aa1prWmtaa1prW2taa1prOWdaa1prWmtaa1trWmtba1trfG9ba3tvWmt7b1prem9aa1prWmtba1pre29ba3tvWmt7b1pre29aa3tvWmt7b1pre29aa1prWmt7b1prWmtaa3tvWmt7b1pre29aa1prWmtZa1lrem9aa1prOWdaa1pre29aa1prWmtaa1prWmtaa1prWmtaa1prWmtaa1prWmtaa1pre29aa3tvWmtaa1pre29aa1prWmtaa1prWmtaa1prWmtaa1pre29aa1prWmtaa1prWms5Z1prOWdaazlnWmtaa1prWmtaa1prWms5Z1prWmtaa1pre29aa1prOWdaazlnWmtaa1prWmtaa1prWmtaa1prWmtaa1prWms5Z1prWmtaa1prWmtaa1prWmtaa1prWmtaa1prWmtaa1prWmtaa1prOWc5ZzlnOWc5Z1prOWc5ZzlnWmtaa1prOWdaa1prWmtaa1prOWdaazlnWms5ZzlnOWdaazlnWms5Z1prOWdaazlnWms5Z1prOWdaawAAWWtaa1prem9aa3pvWmt7b1pre29aa3pvWmtaa1prWmtba1tvW2t7b1prW2taa1trWmt7b1prWmt6b3tvOWdaazlnWmtaa1prWmt7b1prOWdZa1prWmtaa1lrWmtZa1prWmtaa1prW2s6Z1prOWdaazlnem97b1prO2s7Z11v2V40StlenXNba1prWWd6b3pvWmt7b1tre29ba1tvWmt7b1pre29aa1prWmtaa1pre29aa1prWmtaa1prWmtaa1prWWtaazlnWms5Z1prWWt6b1lnWWtZa1prWWtaa1prWmtaa1prWmtaa1prWmtaa1prOWdaa1prWms5Z1prWmtaa1prWmtaa1prWmtaa1prWmtaa1prWmtaa1prWmtaa1prWmtaa1prWmtaa1prWmtaa1prWmtaa1prWmtaa1prWms5Z1prOWdaazlnWms5Z1prOWdaazlnWmtaa1prWmtaazlnWmtaa1prWmtaa1prWms5Z1prOWdaazlnWms5Z1prOWc5ZzlnWms5Z1prOWdaazlnWmtaa1prWmtaazlnWms5Z1prOWdaazlnWms5Z1prOWdaazlnWms5Z1prOWc5ZzlnOWc5Z1prOWdaazlnWms5ZzlnOWc5ZzlnOWc5Z1prOWc5ZzlnWms5ZzlnOWdaazlnAABaa1prem9aa3tvWmt7b3tve296b3tvWmt6b1prem9aa3tvW2t7b1trW29ba3tvWms5Z1pre29aa3tvWmtaa3pve29aa3tvWmtaa1pre29aa3pvWmt6b1prWmtZa1prWWt6a1prW2taa1trOmdbazlnWms5Z1prOWd8bxtn2l5vMS0lsTVca3xvnHN6b3pvWWt7b1trfG9ba3tvW2t7b1pre29aa3tvWmt7b1pre29aa1prWmt7b1pre29aa3tvWmtaa1lrWmtZa1prWWt6b1prWmtZa1prWWtaa1prem9aa1prWmt7b1pre29aa1prWmtaa1prWmtaa1prWmtaa1prWmtaa3tvWmtaa1pre29aa1prWmt7b1prWmtaa1prWmtaa1prWmtaa1prWmtaa1prWmtaa1prWmtaa1prWmtaa1prOWdaazlnWms5Z1prWmtaa1prWmtaa1prWmtaazlnWmtaa1prWmtaa1pre29aa1prOWdaa1prWmtaa1prWmtaazlnWmtaa1prWmtaazlnWms5Z1prWmtaa1prWms5Z1prOWdaazlnWms5Z1prWmtaazlnWmtaa1prOWdaazlnOWc5Z1prWmtaa1prWmtaazlnOWdaazlnOWc5Z1prWmtaazlnWms5Z1prOWdaazlnWmsAAFprWmtaa3pvWmt7b1pre29aa3tvWmt6b1prem9aa1prWmtbb1prW2taa1trWmtbazpne29ba1trW2tbazlne29aa1prWmt7b1prWmtaa3tvWmt6b1prWmtZa1prOWdZa1lrWmtaa1prOmdbazpnWmtZa1lrOWc5Z1xvO2t2UqkU6yAtKRpjXGtaa3tvWWt6b1pre29ba1trW2tbb1prWmtaa3tvWmt7b1pre29aa1prWmtaa1prWmtaa1prWmtaa1lrWms5Z1prWWtaa1lrWmtZa1prWWdaa1lrWmtZa1prWmtaa1prWmtaa1prOWdaa1prWms5Z1prWmtaazlnWmtaa1prWmtaa1prWmtaa1prWmtaa1prWmtaa1prOWdaa1prWmtaa1prWmtaa1prWmtaa1prOWdaazlnWms5Z1prOWdaazlnWms5Z1prOWdaa1prWms5Z1prWmtaazlnWms5Z1prOWdaa1prWmtaa1prOWdaazlnWms5Z1prOWdaa1prWms5Z1prWmtaazlnWms5Z1prOWdaa1prWms5Z1prOWdaazlnWmtaa1prOWdaazlnWms5Z1prOWdaazlnOWc5Z1prOWdaazlnWms5Z1prOWdaazlnOWc5ZzlnOWdaazlnWms5ZzlnOWdaazlnOWc5ZwAAe29aa3tvWmt7b3pve296b3tvem97b1pre29aa3pvWmt7b1tre29ba3tvW2tbb1trnHNbaxlj+F5ba1tvW2taa1trOmdba3tvnHNaa3tve297b1prem9aa1prWWtaa1lremtZa1prWmtba1prWms5Z1prWWt7bzlnW2s7Z7hayhhvMS0pXGtbazlnem96b5tze29ba3tvW2t7b1tre29aa3tvWmt7b1pre29aa1prWmtaa1pre29aa3tvWmtaa1prWmtZa1prWWtaa1lrWmtZa1prWWtaa1lrWmtaa1prWmt7b1pre29aa3tvWmtaazlnWmtaa1prWmtaa1prWmtaa1prWmtaa1prWmtaa1prWmtaa1prWmtaa1prWmtaa1prWmtaa1prWmtaa1prWmtaa1prWmtaazlnWmtaa1prOWdaa1prWms5Z1prWmtaa1prWmtaa1prWmt7b1prWms5Z1prWmtaa1prWmtaa1prWmtaa1prWmtaa1prWmtaazlne29aa1prWmt7b1prWms5Z1prWmtaa1prWmtaa1prOWdaazlnWmtaa3tvWmtaazlnWms5Z1prOWdaazlnWms5Z1prOWdaazlnWms5Z1prOWdaazlnWms5Z1prOWdaazlnWms5Z1prOWdaazlnWms5Z1prAABaa3pvWmt7b1pre29aa3tvWmt6b1prem9aa1prWmt6b1prW2taa1trWmtba1trW298b/heEUIRRrdaW2tca1xvW2tbazpre29bb3tvWmtaa1pre29aa1prWWtaa1lrWWtZa1lrWWtaazpnWms6Z1prOGc4Z1prOWcZYztn2FrqHC0lDCU8a51zWmt7b1lnem9aa1trW2tba1prW2taa1prWmtaa1pre29aa1prWmtaa1prWmtaa1prWmtaa1prWms5Z1lrOWdaazlnWmtZa1prOWdaa1lrWmtZa1prWWtaa1prWmtaa3tvWmtaazlnWms5Z1prWmtaazlnWmtaa1prWmtaa1prWmtaa1prWmtaa1prWmtaa1prWmtaa1prWmtaa1prWmtaa1prWmtaa1prOWdaazlnWms5Z1prOWdaazlnWms5Z1prOWdaa1prWms5Z1prOWdaa1prWmtaa1prOWdaa1prWms5Z1prOWdaazlnWms5Z1prOWdaazlnWms5Z1prOWdaa1prWms5Z1prOWdaazlnWms5Z1prOWdaazlnOWc5Z1prWmtaazlnWms5ZzlnOWdaazlnOWc5ZzlnOWdaazlnWms5Z1prOWdaazlnWms5Z1prOWc5ZzlnWms5ZzlnOWdaazlnOWc5Z1prOWcAAHtvWmt7b3pve296b3tvem97b1pre29aa3tvWmt7b1pre29aa3tvWmt7b1tre29ba1trlVKvOY4xdE4aY1xvfG99b3xvfG9aa1trW2t8b1pre29aa3tvWmt6b1lrem9Za1lrWWtaa1prW2taa1trWmt6bzhnWms5Z1trW2vYXocUDCVNKVxrfXN7b3pvWmtaa3pvWmt7b1trW29ba3tvWmt7b1pre29aa3tvWmtaa1prWmtaa3tvWmt7b1pre29aa1prWWdaa1prWmtZa1prWWtaa1lrWmtaa1prWmt6b1pre29aa3tvWmt7b1prWmtaa1prWmtaa1prWmtaa1prWmtaa1prWmtaa1prWmtaa1prWmtaa1prWmtaa1pre29aa1prWmtaa1prWmtaa1prWmtaazlnWmtaa1prWmtaa1prWmtaa1prWmtaa1prWmtaa1prWmtaa1prWmtaa1prOWdaa1prWmtaa1prWmtaazlnWms5Z1prWmtaa1prWmtaa1prOWdaa1prWmtaa1prWmtaazlnWmtaa1prOWdaa1prWms5Z1prWmtaa1prWmtaa1prOWdaazlnWms5Z1prOWdaazlnWmtaa1prOWdaazlnWmtaa1prOWc5ZzlnWms5Z1prOWdaazlnWms5Z1prOWdaawAAWmt7b1pre29aa3tvWmt7b1prem9aa3pvWmt6b1prem9aa1prWmtaa1prW29ba1tvOmf4XjNKEkJUSpZSllK4WvheW2t8b1trOmdbb1tvW2taa1prWmtaa1lrem9Za3prWGtZa1lnWms6a1trOmdaa3tvOGdZa3pvWmtba7dahxQsJdI5O2dca1prWWtZa3pvWmtba1prW2taa1trWmtaa1pre29aa1prWmtaa1prWmtaa1prWmtaa1prWmtaa1prOWdZazlnWmtaa1prOWdaa1prWms5Z1prWWtaa1lrWmtaa1prWmtaa1prWmtaa1prWmtaazlnWmtaa1prOWdaa1prWms5Z1prWmtaazlnWmtaa1prOWdaa1prWmtaa1prWmtaa1prWmtaa1prWmtaazlnWms5Z1prWmtaa1prWms5Z1prOWdaazlnWmtaa1prWmtaazlnWmtaa1prOWdaazlnWms5Z1prOWdaazlnOWc5Z1prOWdaazlnWms5Z1prOWdaazlnWmtaa3tvWmtaazlnWms5Z1prOWdaazlnWms5Z1prOWdaa1prWmtaa1prOWdaazlnOWc5ZzlnOWc5ZzlnOWc5Z1prOWdaazlnWms5Z1prOWdaazlnOWc5Z1prOWdaazlnOWc5Z1prOWc5ZzlnAAB7b3tve296b3tvem97b3pve29aa3pvWmt7b1pre29aa3pvWmt7b1pre29ba3tvW2tba1trO2e3WnVS8kGwObA5VEr5Yp1zXG9ba3xvfG86a1trWmtba1pre29aa3tvemtZa1lrWmtaa1trWmtba1prem8XY3pvem9aaxlj2F7IGOsg8j08a1xrnHNZa3pvWWd6b1prW2tba1tvW2tba1pre29aa1prWmtaa1prWmtaa1prWmt7b1pre29aa1prWmtZa1lnWmtZa1prWmtaazpnW2taa1prWmtaa1premtZa1prWmtaa1pre29aa1prWmtaa1prWmtaa1prWmtaa1prWmtaa1prWmtaa1prWmtaa1prWmtaa1prWmtaa1prWmtaa1prWmtaa1prWmtaa1prWmtaa1prWmt7b1pre29aa1prWmtaazlnWmtaa1prWmtaa1prWmtaa3tvWmtaazlnWmtaa1prWmtaa1prWms5Z1prWmtaa1prWmtaa1prOWdaa1prWmtaa3tve297b1prWmtaa1prOWdaazlnWms5Z1prWmtaazlnWmtaa1prWmtaazlnWms5Z1prOWc5ZzlnOWc5Z1prOWdaa1prWmtaa1prWmtaazlnWms5Z1prOWdaazlnWms5Z1prOWdaazlnOWcAAFprem9aa3tvWmt6b1pre29aa3pvWmt7b1prWmtaa1prWWdaa1prem9aa1trW2t8bzprW2s7Zztn2FpUTo81KyVtLdA5VE4ZYztrW2s6a1trOmtba1tve29aa1prWmtaa1lreWtZa1prWmtbazpnOms5Z1prOGd6bxhjOWfXWskcDCWxOVxrfG9aa3pvemt6a1pre29ba1tvW2t7b1trWmtaa1prWmt7b1prWmtaa1prWmtaa1prWms5Z1prWmt6bzlnWWc5Z1prOmdba1prW2s5Z1trOmdaa1prWmtZZ5tzWWtaa1prWmtaa1prWmtaazlnWmtaa1prOWdaa1prWms5Z1prWmtaa1prWms5Z1prOWdaa1prWmtaa1prWmtaazlnWms5Z1prOWdaazlnWms5ZzlnOWdaa1prWms5Z1prOWdaazlnWmtaa1prWmtaa1prWmtaa1prOWdaa1prWms5ZzlnOWdaazlnWms5Z1prOWdaa1pre29aa1prOWc5ZzlnWmtaa1prWmtaa1prWms5Z1prOWdaazlnWms5Z1prOWdaazlnWms5Z1prOWdaaxhjOWc5ZzlnOWc5ZzlnWms5ZzlnOWdaazlnWms5Z1prOWdaazlnWms5ZzlnOWc5ZzlnWms5ZzlnOWc5ZzlnWmsYYwAAe29aa3tvem97b1pre296b3tvWmt7b3pve29aa3pvWmtaa1pre29aa3tvWmt7b1tvfG9ca3xvXGs7a9hedVISQislTC2uNc85dE4ZY3xvOmc6Z3tvfG86Z1trnXedczlnem96a1prWmt8bztnOmd8b1prWmtZa3pvOWc6Z/he6RwsJZA1fW98b3tvWmt6b1pre29aa3tvW2t7b1tve29aa1prWmt7b1pre29aa3tvWmt7b1pre29aa1prWmt7b1prWmtZa1prWmtaa1prW2tba1trW2tba1pre29aa1prWWtaa1prWmtaa1prWmt7b1prWmtaa1prWmtaa1prWmtaa1prWmtaa1prWmtaa1prWmtaa1prWmtaa3tvWmtaa1prWmtaa1prWmtaazlnWmtaa1prOWdaa1prWmtaa1prWmtaa1prWmtaa1prWmtaa1prWmtaa1prWmtaa1pre29aa1prWmtaa1prWmtaa1prWmtaazlnWmtaa3tvWmtaazlnWmtaa1prWmtaa1prWmtaa1prWmtaa1prWmtaa1prWmtaa1prWmtaa1prWmtaa1prWms5Z1prWmtaazlnWms5Z1prOWdaa1prWms5Z1prOWdaazlnWms5Z1prOWdaazlnWms5Z1prOWdaazlnWms5ZzlnAABaa3pvWmt6b1prem9aa3pvWmt6b1prem9aa3pvWmtaa1lremtaa3prWmtaa1pre29ba1trOmtba1trW2v5YvheU0quNSolTC2NMdA9VE4aY31vOmcZY3xvfG86ZzpnfG84Z3pvOWdba3xv+V6VUhpjOmt8bzlne285Z1pr+F4KIesgkDVca3xvWmt6b1lremtaa1trOmtba1trW29aa1prWmtaa1prWmtaa3tvWmtaa1pre29aa1prWmtaa1prWmtZa1prWWtaazpnWms6Z1trW2tbazpnOmtaa3pvWWtZazlnWms5Z1prWmtaa1prWms5Z1prWmtaa1prWms5Z1prOWdaa1prWmtaa1prOWdaazlnWms5Z1prWmtaa1prWmtaa1prOWdaazlnWms5Z1prOWdaazlnWms5Z1prOWdaa1prWmtaa1prWmtaazlnWms5Z1prOWdaa1prWmtaa1prWmtaa1prWmtaa1prWmtaazlnWms5Z1prWmtaazlnWmtaa1prWmtaa1prWmtaa1prWmtaazlnWmtaa1prOWdaazlnWms5Z1prOWdaazlnWmtaa1prWmtaazlnOWc5ZzlnOWdaazlnWms5Z1prOWc5ZzlnWms5ZzlnOWc5ZzlnOWc5Z1prOWc5ZzlnWms5Z1prOWcAAHtvWmt7b1pre29aa3tvWmt7b1pre29aa3tvWmt6b1prem9aa3pvWmt6b1pre29ba3tvWms6azpnW2taa1prOmcZYxljtlaNNSspbTHQOa81dE4aY31vOmc7Z31vnXM6Z3tvnHN7b1trO2sSQkwp0Dlba3xve297b1trWmv4Xisl6yBvMVxrfG97b1lremtaa3tvWmtba1tre29ba3tvWmtaa1prWmtaa3tve297b1pre29aa3tvWmtaa1prWmtZa1prWWt6a1prW2s6Z1xrW2t8b1trW2taa1prWmt7b1lrWmtaa1prWmtaa1prWmtaa1prWmtaa1pre29aa1prOWdaa1prWmtaa1prWmtaa1prWmtaa1prWmtaa1prWmtaa1prWmtaa1prWmtaa1prOWdaa1prWmtaa1prWmtaazlnWmtaa1prWmtaa1prWms5Z1prWmtaa1pre29aa1prWmt7b1pre29aa3tvWmtaa1prWmtaa1prWmtaa1prWmtaa1prWmtaa1pre29aa1prWmt7b1prWmtaa1prWmtaa1prWmtaa1prWmtaa1prWmtaa1prWmtaa1prWms5Z1prOWd7b1prWmtaa1prOWdaazlnWms5Z1prOWdaazlnWms5Z1prOWdaazlnWms5Z1prOWdaawAAWmt6b1prem9aa3pvWmt6b1prWmtaa3tvWmt6b1prem9Za3prWmt6b1lrWmtaa3tvWmtaazlnWmtaa1prWmtaazpnGGP4YjlnlVKuNSspjTFtLY41M0Y7Z31vO2c7Z753OWd7bzpnO2f5XrA1yRhtLflenHNaa3tvWmtaa/hebTHKHE4tGmN8b1prWmtZa3pvWmtaazpnW29ba1trWmt7bzlnWmtaa3tvWmt7b1pre29aa3tvWmtaa1prWmtaa1prOGdZa1lrWms6Z1trO2tca/he+WJba5xzWmtZa1prWWtaa1prWmtaazlnWms5Z1prOWdaa1prWmtaa1prOWdaa1prWmtaa1prWmtaa1prWms5Z1prOWdaazlnWmtaa1prWmtaa1prWms5Z1prOWdaa1prWms5Z1prOWdaazlnWmtaa1prWmtaazlnWms5Z1prOWdaa1prWmtaa1prWmtaa1prWmtaa1prWmtaazlnWms5Z1prOWdaazlnWmtaa1prOWdaa1prWmtaa1prWmtaa1prWmtaa1prWmtaa1prWms5Z1prOWdaazlnWms5Z1prOWdaazlnWms5ZzlnOWdaa1pre29aa1prWmtaazlnWms5Z1prOWdaazlnOWc5ZzlnOWc5ZzlnOWc5ZzlnOWdaazlnAAB6b1pre29aa3pvWmt7b1prem9aa3tvem97b1pre29aa3pvWmt7b3prWmtaa3pvWmt7b1prem9aa3pvWmt6b1prGGNaa3xvGWcZY/helVLQOUspbS2ONY81M0bZWjxn+V5aa1trW2s7a/pi0TksJW4x11p8b3xvW29bazpnGmOwOescLSkaY1tre29aa3pvWmt7b1prW2t8b3xzW2tba3tvWmtaa3tvWmt7b1pre29aa3tvWmt7b1pre29aa1prWWtZazlnWmtaa1tvW2tbaztn0DnQPddafHN7b1lrem9Za3pvWmt7b1prWmtaa1prWmtaa1prWmtaa1prWmtaa1pre29aa1prWmtaa1pre29aa1prWmtaa1prWms5Z1prWmtaa1prWmtaa1prWmtaa1prWmtaa1prWmtaazlnWmtaa1prWmtaa1prWmtaa1prWmtaa1prWmtaa1prWmtaa1prWmtaa1prWmtaazlnWms5Z1prOWdaa1prWmtaa3tvWmtaa1prWmtaa1prWmtaa1pre29aa3tvWmtaa1prWmtaa1prWmtaa1prWmtaa1prWms5ZzlnWms5Z1prOWdaa1pre29aa3tvWmtaa1prWms5Z1prOWdaazlnWms5Z1prOWdaazlnWms5Z1prOWdaa1prWmsAAFprem9aa1prWmt6b1prWmtaa1prWmt6b1pre29aa3pvWmt6b1prem9Za1prWWt6a1lrWmtZa1prWWt6b1lrWWt7bzpnGGNba1trOmf4XhljdVLxPW0tbjFuMY8x0T11ThljOmc7Z1xr2V7SPQshCyVVTlxrW2t7b1trW2s6ZxNGyhwtJdhaOmdaa3pvWWtaa3pvWmtaa3xzfG97b1pre29aa1prWmtaa1pre29aa1prWmtaa1prWmtaa1prWmtaa1lrWWs4Z1prW2tcaxpj+WLqIAohEkZba3tvWWtaa1prWWtaa1prWmtaa1prWmtaa1prWms5Z1prOWdaa1prWmtaa1prWmtaa1prWmtaa1prWmtaazlnWms5Z1prOWdaa1prWmtaa1prWmtaazlnWms5Z1prOWdaazlnWms5Z1prOWdaazlnWmtaa1prOWdaa1prWmtaa1prWmtaazlnWmtaa1prWmtaazlnWms5ZzlnOWdaazlnWmtaa1prWmtaa1prWmtaa1prWmtaa1prWmtaa1prWmtaazlnWms5Z1prOWdaazlnWms5Z1prOWdaazlnWms5Z1prOWdaazlnWmtaa1prWmtaa1prWms5ZzlnOWdaazlnOWc5ZzlnOWc5ZzlnOWc5ZzlnOWdaazlnWms5ZwAAe29aa3pvWmt7b1prem9aa3pvWmt6b1pre296b3tvWmt7b1pre29aa3pvWWt6a1lre296b3pvWmt6b1prem9Za1lrWmt7b1prOms6ZzpnGWMZY/het1YSQo4xKyVtLY41rjXwPZZS+mL6XhRGkDFNLVRKO2tcb1trfG9ba1tvVE7rIAwl2FoaY3tvem96b1lre29aa3tvnHOdd3tvW2tba3tvWmt7b1pre29aa3tvWmtaa1pre29aa3tvWmtba1prem9Za1lrWmt8b1trGmfYWk0tCiESRltrfG85Z3prWWtaa1prWmtaa3tvWmt7b1pre29aa1prOWdaa1prW2taa3tvWmtaa1prWmtaa3tvWmt7b1prWms5Z1prOWdaazlne29aa1prWmtaa1prWmtaa1prWmtaazlnWmtaa1prWmtaa1prWmtaa1prWmtaa1pre29aa1prWmtaa1prWmtaa3tvWmtaa1prWmtaa1prOWdaazlnWmtaa1prWmtaa1prWmtaa1prWmt7b1prWmtaa1prWmtaa1prWms5Z1prOWdaa1prWmtaa1prWmtaa1pre29aa3tvWmtaazlnWms5Z1prWmtaazlnWms5Z1prOWdaazlnWms5Z1prOWdaazlnWms5ZzlnOWdaazlnWmtaa1prAABaa3pvWmt6b1prem9aa3pvWWtaa1prWmtaa1prWmt6b1prem9aa1prWmtaa1prem9aa3pvWmt6a1lrWmtZa3prWmt7b1prWmtaa1prWmtaazlnOmcYY/helFIRQowxKyULJU0pTimQNdM90j1OLS0lsDU7ZxpjfG98b1lremuUUuogLSkTQn1zW2t7b1lrm29Za3prWmt6b1pre2tba3tvWmtaa1prWmtaa1prWmtaa1prWmtba3tvWmtbazprWmtZa1lrOWdaazprW2saZ/pebzHrIG4tXW86a1lreWtZazlnWmtaa3tvW2t7b3tve29aa1trWmtbazpnWms6Z1prWmtaa1prWmtaa1prWmtaazlnWmtaa1prOWdaa1prWms5Z1prWmtaazlnWmtaa1prOWdaa1prWmtaa1prOWdaa1prWms5Z1prOWdaa1prWmtaa1prWmtaazlnWms5Z1prOWdaazlnWms5Z1prOWdaazlnWmtaa1prOWdaa1prWmtaa1prWmtaazlnWms5Z1prWmtaa1prWms5Z1prOWdaazlnWms5Z1prOWc5ZzlnWms5Z1prOWdaazlnWms5Z1prOWdaazlnWms5Z1prOWdaazlnWms5Z1prOWdaazlnWmsYYzlnOWc5ZxhjOWc5Z1prWmsAAHtvWmt7b1pre29aa3tvWmtaa1prem9aa3pvWmt7b1pre29aa3tvWmt6b1pre296b3tvWmt7b1prWmtaa3pvWmt7b1pre29aa1prWmtaa1prWmtaa3tvWmtaa/de1lqVUjNGE0KxOS0pDCHKHOsc7CBOKXZO2Fpca51zOGNaa7ZWyRwtKTNGXGs6Z3tvWms4Z3pvWWt6b1pre29aa3tvW2tba1pre29aa3tvWmt7b1prW2tba3tvW2t7b1prW2taa1prWWtaazlnW2tbaztn+V6QMcocTi08Z1xrOWd5a1hrWmtaa3tvW2t7b1tre29aa3tvWmtbb1trW2taa1trOmtba1prWmtaa1prWmtaa1prWmtaa1prWmtaa1prWmtaa1prWmtaa1prWmtaa1prWmtaa1prWmtaa1prWmtaa1prWmtaa1prWmtaa1prWmtaa1prWmtaa1prWmtaa1prWmtaa1prWmtaa1prWmtaa1prWmtaa1prWmtaa1prWmtaa1prWmtaa1prWmtaa1prWmt7b1prWmtaa1prOWdaa1prWmtaa1prOWdaazlnWms5Z1prWmtaa1prWms5Z1prOWdaa1prWmtaa1prWmtaa1prWms5Z1prOWdaazlnWms5ZzlnOWdaazlnOWc5Z1prWmtaawAAWmt6b1prem9aa3pvWmt6b1prWmtaa1prWmt6b1prem9aa3pvWmtaa1prem9aa3pvWmt6b1prWmtaa1prWmtaa1prWmtaa1prWmtaa1prWms5ZzlnOWc5ZzlnOWcYYxhj+F75XpZS8j1uLQwlyhjJGOsc0Tk0RhtnXWsaYzpnGWPrIE4p0TldaxljnXM6Z1prWWt6a1lremtaa3trW2tba1pre29aa3tvWmt7b1prWmtaa1trWmtba1prW2taa1prWmtaazlnWmtaa1trGmf6XpA16yAMJfpeW2s5ZzhnWWtZa1trWmtaa1prWmtaa1prWmtaa1prWmtaa1trOmdaa1prWmtaa1prWmtaa1prWmtaa1prOWdaa1prWms5Z1prOWdaazlnWms5Z1prOWdaazlnWms5Z1prWmtaazlnWms5Z1prWmtaa1prWmtaa1prWmtaazlnWmtaa1prOWdaazlnWms5Z1prOWdaazlnWmtaa1prOWdaa1prWms5Z1prWmtaazlnWmtaa1prOWdaa1prWms5Z1prOWdaazlnWms5Z1prOWdaazlnWms5Z1prOWdaazlnWms5Z1prOWdaazlnWms5Z1prOWdaazlnWms5Z1prOWc5ZzlnOWc5ZzlnOWc5ZzlnOWc5ZzlnOWdaazlnAAB7b3pve29aa3tvem97b1pre29aa3pvWmt7b1pre29aa3tvWmt7b1pre29aa3tvWmt7b1prem9aa3pvWmt6b1pre29aa1prWmt7b1pre29aa3tvWmtaazlnWms5ZzlnGGNaazlnOmf4XthaVUqQNakUVkqxNS0pkTWYUhtjPGe4VpA1LSmQNV1vXGt8bzpne296b1premtaa3tvWmt7a1tre29aa3tvWmt7b1pre29aa3tvWmt7b1pre29aa1trWmtaa1prWms5Z1trW2s7Z/pi8j0MJQwll1Z9bzpnWWtZa3pvWmtaa1pre29aa1prWmt7b1prWmtaa1trWmtaa1prWmtaa1prWmtaa1prWmtaa1prWmtaa1prWmtaa1prWmtaa1prWms5Z1prWmtaazlnWmtaa1prWmtaa1prWmtaa1prWmt7b1pre29aa1prWmtaa1prWmtaa1prWmtaa1prWmtaa1prWmtaa1prWmtaa1prWmtaa1prWmtaa1prWmtaa1prWmtaa1prWmtaa1prWmtaa1prOWdaazlnWms5Z1prWmtaazlnWms5Z1prOWdaa1prWms5Z1prOWdaazlnWmtaa1prWmtaa1prWmtaa1prOWc5ZzlnOWc5ZzlnOWdaazlnWms5Z1prOWdaazlnWmsAAFprem9aa3tvWmt6b1pre29aa3pvWmt6b1prem9aa3pvWmt6b1prem9aa3pvWmt6b1prem9aa1prWWtaa1prWmtaa1prWmtaa1prWmtaa1prWmtaa1prWmtaa1prWmtaa1hnN2c4YzlnGWP5XhNC6yBvLdM9V0rUPQ0lcC3TPTZKkTENIU4pPGc8Z31vGWNba1prWmtaa1prWmtaa1prW2taa3tvWmt7b1pre29aa3tvWmtaa1prWmtaa1prWmtaazlnWmtZa1prOmdbazpnG2MTQk4p6hw0RlxrWmtZZ3pvWWtaa1prWmtaa1prOWdaa1prWmtaa1prWmtaa1prWmtaa1prWmtaa1prWmtaa1prOWdaa1prWms5Z1prWmtaazlnWms5Z1prOWdaazlnWms5Z1prWmtaa1prWms5Z1prOWdaa1pre29aa3tvWmtaa1prWmtaa1prOWdaazlnWms5Z1prOWdaazlnWms5Z1prOWdaa1prWms5Z1prWmtaazlnWmtaa1prOWdaa1prWms5Z1prOWdaazlnWms5Z1prOWdaazlnWms5ZzlnOWdaazlnWms5Z1prOWc5ZzlnWms5Z1prOWdaazlnWms5Z1prOWc5ZzlnOWc5ZzlnOWc5ZzlnOWc5ZzlnOWc5ZzlnOWc5ZwAAe296b3tvem97b3pve296b3tvWmt7b3pve29aa3tvWmt6b1pre296b3tvWmt7b1pre29aa3tvWmtaa1prem9aa3tvWmt7b1prWmtaa3tvWms5ZzlnWmtaa1prOWdaa1lnWGs3Z3lvWWsZY/heVUoMIQ0lkjW6VvVBDyVQLVAtDiUOJcscTy13UvpifW+dc1trW2taa1trWmtba1prW2taa3tvWmt7b1pre29aa3tvWmt7b1prem9aa1prWmt6b1prWmtaa1prWWtaa1prW2saY1VOjzHqHI81O2s6a1prWWt6a1prem9aa1prWmtaa1prWmtaa1prWmtaa1lremtaa1prWmtaa1prWmtaa1prWmtaa1prWmtaa1prWmtaa1prWmtaa1prWmtaa1prWmtaa1prWmtaa1prWmtaa1prWmtaa1prWmtaa3tvWmt7b1prWmtaa1prWmtaa1prWmtaa1prWmtaa1prWmtaa1prWmtaa1prWmtaa1prWmtaa1prWmtaa1prWmtaa1prWmtaa1prOWdaazlnWms5Z1prWmtaa1prWms5Z1prOWdaazlnWms5Z1prOWdaazlnWms5Z1prWmtaa1prWmtaa1prWmtaazlnWms5ZzlnOWc5ZzlnWms5ZzlnOWdaazlnWms5Z1prAABaa3tvWmt7b1pre29aa3tvWmt7b1prem9aa3pvWmtaa1prem9aa3pvWmt6b1prWmtaa3pvWmtaa1prWmtaa1prWmt7b1prWmtaa1prWmtaa1pre29aa3tvWmtaazlnWmtYZ1hrmm+bbxljGmNVSgwhDSWzOdxe9UGKFA4lLymzOS8pzBwNJbE1NUbYWlxrW2s6Z1trOmdaa1pnW2s6Z1prWmtba1prW2taa1prWmtaa1prem9Za1prWWtaa1lrWms5Z1prWWtZazlnW2s6Zxtnl1LSPckYLCkZY1trWmtZa1lrWmtaa1prWmtaa1prWmtaa1prWWtaa1lrWmtZa1prWWtaa1prWmtaa1prWmtaa1prWms5Z1prWmtaazlnWmtaa1prWmtaa1prWmtaa1prOWdaazlnWmtaa1prOWdaazlnWms5Z1prWmtaa1prWmtaa1prOWdaa1prWms5Z1prOWdaazlnWms5Z1prOWdaa1prWms5Z1prWmtaazlnWms5Z1prOWdaa1prWmtaa1prOWdaazlnOWc5Z1prOWdaazlnWms5Z1prOWdaazlnWms5Z1prOWc5ZzlnWms5ZzlnOWdaazlnWms5Z1prOWdaazlnOWc5ZzlnOWc5ZzlnOWc5Z1prOWc5ZzlnWms5ZzlnOWcAAHtvem97b3pve296b3tvem97b3pve29aa3tvWmt7b1prem9aa3tvem97b3pvem9aa3tvWmt6b1prem9aa3pvWmt7b1pre29aa3tvWmtaa1prWmtaa1prWmtaa1pre296b5pvOGd5a1lrOmc7Z5dSCyENJZExHmdXTi4lLykOJS4pFkYOJQ0lDCWQMY8xl1L5XlxrW2tba1prW2taa1trWmtba1trW2taa3tvWmtba1pre29aa1prWWtaa1lremtaa1prWmtaa1lnWmtaa1trGmfZWhNC6iAKIRpjW297b1lremtaa3pvWmt7b1prW2taa1trWmtaa1lremtZa1lrWWtaa1prWmtaa1prWmtaa1prWmtaa1prWmtaa1prWmtaa3tvWmtaa1pre29aa1prWmtaa1prWmtaa1prWmtaa1prWmtaa1prOWdaa1prWmtaa1prWmtaa1prWmtaa1prWmtaa1prWmtaa1prWmtaa1prWmtaa1prWmtaa1prWmtaa1prWmtaa1prWmtaa1prWmtaazlnWms5Z1prOWdaa1prWmtaa1prOWdaazlnWms5Z1prOWdaazlnWms5Z1prOWdaa1prWmtaa1prWmtaa1prWms5Z1prOWdaazlnOWc5Z1prOWc5ZzlnWms5ZzlnOWdaawAAWmt6b1prem9aa3pvWmt7b3pve296b3tvWmt7b1pre296b3pvWmt7b3tve29aa1prWWtaa1prWmtZa1prWmtaa3tve29aa1prWmtaa1prWmtaa1prWmtaa1prWmtaa1prOWd6azlnWmcaYztnuFZNKQwhTim6Wvte8z2xOZAxby3LHMsc7CCxNRRCTSmOMUwt0DmWUhljOmcZY1tre2t8bxljWmt7b3xvW2taa1pre29aa1prWmtaazlnWWtZa1prOWdaa1lrWms5Z1prOmc7axtn8kHKHAsldU5bazlne28YY5xzGGN7b1trGGN8bzprOms5Z1prem84Z1lrWWt6a1lrWmtaa1prWmtaa1prWmtaa1prOWdaazlnWmtaa1prWmtaa1prWms5Z1prWmtaazlnWmtaa1prWmtaazlnOWc5Z1prOWdaazlnWmtaa1prWmtaa1prWms5Z1prOWdaazlnWms5Z1prOWdaazlnWmtaa1prOWdaazlnWmtaa1prOWdaa1prWms5Z1prWmt7bzlnWms5Z1prOWdaazlnWms5Z1prOWdaazlnWms5Z1prOWdaazlnWms5ZzlnOWc5ZzlnOWc5Z1prOWc5ZzlnWms5Z1prOWdaazlnOWc5ZzlnOWc5ZzlnWms5ZzlnOWc5ZzlnAAB7b1pre29aa3tvWmt7b3tve297b3tve297b3pve296b3tvem97b3pvm3N7b3tvWmtaa1prem9aa1prWmt6b1pre297b3tvWmtaa1prWmtaa1prWmt7b1pre29aa1prWmtaa1trW2s7ZztnO2fZWk4tDCVNKdpePGu3VpZSllJUSuscDSXrHOscuFb6XlVK8T2OMW0trjUyRvheOWc6ZxljnnNbazpnGWNba1trfG9ba1trWmt7b1prWms5ZzlnOGdaa1lrWmtZa1prOWdbaztnO2c0Rgsh6hwzRltrW29aa3tve28YY1prWms6a1trfG97b1prnHN6b1lrWWt5b1lrWmtaa1prWmtaa1prWmtaa1prWmtaa1prWmtaa1prWmt7b1prWmtaa1prWmtaa1prWms5Z1prOWc5Zzlne297b1prOWdaa1prWmtaa1prWmtaa1prWmtaa1prWmtaa1prWmtaa1prWmtaa1prWmtaa1prWmtaa1prWmtaa1prWmtaa1prWmtaa1prWmt7b1prWmtaa1prWmtaa1prWmtaa1prOWdaazlnWms5Z1prWmtaazlnWms5Z1prOWdaazlnWms5Z1prOWdaazlnWms5Z1prWmtaa1prWms5Z1prOWdaazlnWmtaa1prOWdaazlnWmsAAFprem9aa3pvWmt7b1pre296b3tvem97b3pve29aa3tve297b1prem97b3tvWmtaa1prWmtaa1prWmtaa1prWmtaa3tvWmtaa1prWmtaa1prWmtaa1prWmtaa1prWmtaazpnW2s6ZztrG2M8Z9lajzHrIE0tt1Z9bxljGWP4Xtdabi3rHMoYDCG4Vn5v2VoaY5ZS8T1MKWwtjTGuNRFCtlbYXhpjO2dcb1trW2s6Zzpne297bzpnOWcZYzlnWmucczlnWmtZZ1lrWWtaazpnO2saY5dS6hzJGI81XGtbazpne29bazlnW286Z/he8UF0Tjpne29ba1prWWt5a1lrWWtZa1prWmtaa1prWmtaa1prWmtaazlnWms5Z1prOWdaa1prWms5Z1prOWdaa1prWmtaa1prWmtaazlnOWc5Z3tvOWdaazlnWms5Z1prOWdaa1prWms5Z1prWmtaazlnWms5Z1prOWdaazlnWms5Z1prWmtaazlnWms5Z1prOWdaa1prWms5Z1prOWdaazlnWms5Z1prOWdaazlnWms5Z1prOWdaazlnOWc5Z1prOWdaazlnWms5Z1prOWdaazlnOWc5Z1prOWdaazlnWms5Z1prWmtaazlnWms5Z1prOWdaazlnWms5Z1prOWdaazlnOWc5ZwAAe29aa3tvWmt7b3pve296b3tve297b3pve296b3tvWmt7b3pve29aa3tve297b1prem9aa3pvWmt6b1prem9aa3tvWmt7b1pre29aa3tvWmt7b1pre29aa3tvWmtaa1prW2tbaztnO2c7Zztn+l7ROeogTCl1TnxvW2taazln9152Uuoc6hxuLRNC2Vp9b35vXGv5XrdWdU7xPUwpbC2uNa81EkK3VhpjO2s7a1xvfG86Zzpre297b3xvWmtaazlnWmtZa1prWWtaa1lrWms7Zztnl1brIMkcTS0aY3xvOmdbb1pre298b1tr8D0JIQoh+WJba1trOWd6a1lrem9Za3prWmtaa1prWmtaa1prWmtaa1prWmtaa1prWmtaa1prWmtaa1prOWdaa1prWmtaa1prWmtaazlnWmtaa1prWmtaa1prWmtaa1prWmtaa1prWmtaa1prWmtaa1prWmtaa1prWmtaa1prWmtaa1prWmtaa1prWmtaa1prWmtaa1pre29aa1prWmtaa1prWmtaa1prWmtaa1prWmtaa1prWmtaa1prWms5Z1prOWdaazlnWmtaa1prOWdaazlnWms5Z1prOWdaazlnWms5Z1prOWdaa1prWms5Z1prOWdaazlnWms5Z1prOWdaazlnWms5Z1prAABaa3pvWmt6b1prem9aa3tvWmt7b3pve29aa3pvWmt7b1pre29aa3pvWmt6b1prem9aa1prWmt6b1prWmtaa3pvWmtaa1prWmtaa1prWmt7b1prWmtaa1prWmtaa1prWms6Z1prOmdbaxpjO2f6YhNGqBQrJfE9fG97a5xzWmtaa/le0T3JHAslTSl1Tn5vXGsaYzpnO2dbaxljtlYSQs85bS1uLW4t0Dk0SthaGmdcb1trXG9ba1tvOmc6ZzlnWms5Z1prWWtaa1lrWmtaa1trGmeXVuocCyELJbdWW2tba1pre287aztn2F7pHOogCiGWUlxrOmdaa1prWWt6b1lrWWtaa1prWmtaa1prWmtaazlnWmtaa1prOWdaa1prWms5Z1prOWdaazlnWms5Z1prOWc5ZxhjOWc5Z1prWmtaazlnWms5Z1prOWdaazlnWms5Z1prWmtaazlnWmtaa1prOWdaazlnWms5Z1prOWdaa1prWms5Z1prOWdaa1prWmtaa1prWmtaazlnWms5Z1prOWdaa1prWms5Z1prWmtaazlnWms5Z1prOWc5ZzlnWms5Z1prOWdaazlnWms5Z1prOWc5ZzlnWms5Z1prOWdaazlnWms5Z1prOWc5ZzlnWms5ZzlnOWc5ZzlnOWc5Z1prOWcAAHtvWmt7b1pre29aa3tve297b3pve296b3tvWmt7b1pre296b3tvWmt6b1pre29aa3pvWmt7b1prem9aa3tvWmt7b1pre29aa3tvWmt7b1prWmtaa3tvWmt7b1prWmtaa3prWWdaa1trOmcaYztnVErIGCslzzlba3xvnG97b1trOmfXWisl6SBtLa81t1Z9b31vXG9caxpjO2dbaztnt1p2UjRG0T1uMW4xrzUSQjNK+V75XjpnOmdba1trfG98b1prWWtaa1lremtZa1prW2s8a5dWLCUMJSslNEpca1tvW2tba1xrOmd1TmYMLClMKXVOfW9cb1tre285Z5pvWWtaa1prWmtaa1prWmtaa1prWmtaa1prWmtaa1prWmtaa1prOWdaa1prWms5Z1prOWecc3tvWms5Z1prWmtaa1prWmtaa1prWmtaazlnWms5Z1prWmtaa1prWmtaa1prWmtaa1prWmtaa1prWmtaa1prWmtaa1prWmtaa1prWmtaa1prWmtaa1prWms5Z1prWmtaa1prWmtaa1prWmtaa1prWmtaa1prOWdaazlnWms5Z1prWmtaa1prWms5Z1prOWdaazlnWmtaa1prWmtaa1prWms5Z1prOWdaazlnWms5Z1prOWdaazlnOWc5Z1prOWdaawAAWmt6b1prem9aa3tvWmt7b1pre29aa3pvWmt7b1prem9aa3tvWmtaa1prWmtaa3pvWmt6b1prem9aa3pvWmt6b1pre29aa1prWmtaa1prWmtaa1prWmtaa1prWmtaa1lrWWtZazhnemsZYxljGmOVUsgYTCmNMVtrW2t8bzlnW2s6ZxljjTErJUspbS2vNRljO2d9b51zfG87Z1trOmcaYxtnPGf6XndS0T2OMU0tbjFtMfE9dE75YjpnW2s6ZzlnOmdaa1lnWWtZa1prWmtbazxr2FpNKQsh6hzxPVtrXG87a1trW2tca7A1hxDqHE0t8kF9b1trW2t7bzlnWWtZa1lrWmtaa1prWmtaa1prWms5Z1prOWdaa1prWms5Z1prOWdaazlnWms5ZzlnOWc5Z/deOWc5Z1prOWc5ZzlnWms5Z1prOWdaazlnWms5ZzlnOWdaazlnWmtaa1prWmtaazlnWms5Z1prOWdaazlnWmtaa1prOWdaazlnWms5Z1prOWdaazlnWms5Z1prOWdaa1prWmtaa1prWmtaa1prWmtaa1prOWdaazlnOWc5ZzlnOWdaazlnWms5Z1prOWdaazlnWms5Z1prOWdaa1prWms5Z1prOWdaazlnWms5Z1prOWdaazlnOWc5ZzlnOWdaazlnAAB7b1pre29aa3tvem97b3pve296b3tvWmt7b1pre29aa3tvem97b1prem9aa3pvem97b1pre29aa3tvWmt7b1pre29aa3tvWmt7b1pre29aa3tvWmt7b1pre29aa1prWWt6b1hrWWt6azlnGWM6Z5ZSyBhMKY4xO2d8b3xve2ucc3xv91rxPekc6RwSQrA1bi0aYztnfW9ca31vXG99b1xrXWs8a11rPGcbY5dWM0bQOU0tTC1tMY41EkJ1UhpjXGtba1prWmtaa3pvWmtba1trfW/5Xo816hzpHK81fW9ba51zOmdca1xrKyXJGOogsDXQOVxrW2s6a3tvOGd7b1lrWmtaa1trWmtbb1prW2taa1prWmtba1prW29aa1prOmtaa1prWms5a1prOmc6Zxlj8D1USvleOmdbazpnWmtaa1prWWtaa1lnWms5Z1prOWdaa1prWmtaa1prWmtaa1prWmtaa1prWmtaa1prWmtaa1prWmtaa1prWmtaa1prWmtaazlnWms5Z1prWmtaa1prWmtaa1prWmtaa1prWmtaa1prWmtaazlnWms5Z1prOWdaa1prWmtaa1prWmtaazlnWms5Z1prOWdaa1prWmtaa1prWmtaazlnWmtaa1prWmtaa1prWms5Z1prOWdaa1prWmsAAFpre29aa3tvWmt7b1pre29aa3tvWmt7b1pre29aa3tvWmtaa1prWmtaa1prWmt6b1prWmtaa3tvWmt6b1prWmtaa1prWWt6b3pve29aa1prWmt6b1prWmtZa1prWWtaa1lrWWs4Z1lrWWs5Z/hi+F5NKQohjzG3Vn1zWmt7b3pvWWs5Z1ROCiHqHPNBkDVOKW4tVU7YWhpjXGt+b11rfnN9b31vW2s7ZzpnO2cZY9dadU5USvE9jzEtKU4tsTUUQvleGWMaYzpnGmM6ZztnXGs7Zxpj0T3pHAohKyVba1trfG9baztn2FqHEAshCyGwNdA5W2tbazpnWmtba3tvW2s6a1prOmtbazprWms6a1prOmtaazprW2s6a1prOmtaazlrWW85azprO2tcbxpjuFYMJeoc0TkbX/peO2NcZxlfWmdZZzlnWms5Z1pnOmdbazpnW2s6a1prOWdaa1lrWms5Z1prWmtaazlnWmtaa1prOWdaazlnWms5Z1prOWdaa1prWmtaa1prWmtaa1prWms5Z1prWmtaa1prWms5Z1prWmtaazlnWms5Z1prOWdaazlnWms5Z1prOWdaazlnWmtaa1prOWc5ZzlnWmtaa1prOWdaazlnWms5Z1prOWdaazlnOWc5ZzlnOWc5ZzlnOWc5ZwAAe29aa3tvWmt7b1pre29aa3tvWmt7b3tve29aa3tve297b1pre29aa3pvWmt7b1prem9aa3tve297b3pve29aa3tvWmtaa1pre297b3tvWmt7b1prem9aa1prWWtaa1prWWtZa1lrWWtZazlnGWP5XrA56hyPNXZOnnNba5tzem96bxhjtlbpHCwlsTlWSrI580FuMU0t8T35XjxnXW+eczpne2+9d3xvW2s6Z1trOmdbaxpn+V6XUjRGsTVwMS0pLCmuNXRO+V5ca1xrXGs7Z1xrGmMSQqcU6RwrJRpjXGt7bzpnXGt1TmYQyRixObdWVEp8b3xvWmd8b1prfG9ba1trOmtbb1prW286a1trOmtbazprW286a1trOmtbbzprOWs5a1pvOmtba1xvPGfaWnAxTynsHE4puVZ+a11nO2M5Y1lrm29ZZzlnOmd7a1trW2taa1trWmtaa1prWmtaa1prWmtaa1prWmtaa1prWmtaa1prWmtaa1prOWdaa1prWmtaa1prWmtaa1prWmtaa1prWmtaa1prWmtaa1prWmtaa1prWmtaa1prOWdaa1prWmtaa1prWmtaazlnWms5Z1prOWc5ZzlnWmtaa1prWmtaazlnWms5Z1prOWdaazlnOWc5Z1prOWc5ZzlnWms5Z1prAABaa3tvWmt7b1pre29aa3tvWmt7b1pre29aa3tvWmt7b1pre29aa1prWmtaa1prWmtaa3tvWmt7b3pve29aa3pvWmtaa1lrWmt6b3tvWmtaa1prem9aa1prWWtaa1lrWms4Z1lrWWtZazlnOWf4YhljE0LJHG4tE0Z9b3xvem+bc3pvOWfXWgohLSVvMdted04MJY8xsDVuMUwp8j3ZWn1vW2ucb3tve297b5tvemtaaxljOmcaYztnG2PZWlVKE0KOMY4xTClNLY4xE0aXVhtjG2M8Z3ZSyRyoGAshVU5ca1trW2tcazNGhxDJGPI9+V63Vn1vW2taa3trW2s6Z1trOmtaazprWms6a1prOms6azprWms6a1prOmtbazprWms4Z1lrOWs6azprXG87Zxtjdk7yOQwh6xiPLZhSPGN9azpjWmc5Z1pnOWNaZzpnW2taZ1prOmdaa1prWms5a1prWmtaazlnWmtaa1prOWdaa1prWms5Z1prOWdaazlnWmtaa1prWmtaa1prWmtaa1prWmtaazlnWms5Z1prOWdaa1prWms5Z1prOWdaazlnWmtaa1prOWdaazlnWms5Z1prOWdaazlnOWc5Z1prWmtaazlnWms5Z1prOWdaazlnWms5Z1prOWc5ZzlnWms5ZzlnOWcAAHtve297b1pre297b3tvWmt7b3tve29aa3tve297b1pre296b3tvWmt6b1prem9aa3tvem97b1pre296b3tvWmt7b1prWmtaa3tvem97b1pre29aa3pvWmtaa1prWmtaa1lrWWt6a1lrWWs5ZzlnGWOWUskYbi3QOXxvfG96b3pvem85ZxljTS0tKS4pXmvbXhRGTS1NLa81rzWOMfJBVU5ba1pre297a5tve297b1lne2taZ1prOmd8bztrGmf5XrdaVErxPW0tTClNKa810Tk1SlZOVk7qHMocyhzSORxnW2s6ZztrjjHJGAwhuFYbYxpjW2tbazpnfG9ba1trW2tba1prW29aa1tvWmtaazlrWm86a1prOmtabzprWms6a1lrWWtabzprW2tba1xrO2c8Z3ZO0TlNJescTil3Tl1nnm86YxljWmd8bzpnOWdaZ1prWmtaa1lrWmtaa1prWmtaa1prWmtaa1prWmtaa1prWmtaa1prWmtaa1prWms5Z3tvWmtaa1prWmtaa1prWmt7b1prWms5Z1prWmtaa1prWmtaa1prOWdaazlnWms5Z1prWmtaa1prWmtaa1prOWdaazlnWms5Z1prWmtaa1prWms5Z1prOWdaazlnWms5Z1prOWdaazlnWms5Z1prOWdaawAAWmt7b1pre29aa3tvWmt7b1pre29aa3tvWmt7b1pre29aa3tvWmt6b1prWmtaa3pvWmtaa1prWmtaa1prWmt6b1prem9aa3pvWmt6b1prem9aa3pvWmtaa1lrWmtZa1prWWtZazlnWWtZa1prGWMZY5dW6hwsJY81GmN8c1prem85Z1pr+F7xQQwlTin7Yj1rHGcSQkwpbS2vNRNG8j1tLfA9lVI5Z5xzem9aa1lrm2+bb5tvWmtaazlnOmc6ZzpnGmMaY/le2Fp1ThNCjzVuLS0lDCUtJYgUqhjLHC4pulp9b31zO2cLIYgQDCX7YlxrO2c7ZzpnWmtaa1trOmd8bzprWmtaa1prOWtaazlnWms5Z1prOWtaazlnWms5a1prOWtab1prWms5Z1prOmdbaxpjG2PyPS0lTiktIS4ld0obYztnO2dbazpnWmc5Z1lnWWdZa1lrWms5Z1prOmtaazlnWmtaa1prOWdaa1prWmtaa1prWmtaazlnWms5Z1prWmtaa1prWmtaa1prWmtaa1prWms5Z1prOWdaa1prWmtaa1prOWdaazlnWms5Z1prOWdaazlnWms5Z1prOWdaazlnWms5Z1prOWdaa1prWms5Z1prOWdaazlnWms5Z1prOWdaazlnWms5Z1prOWdaazlnAAB7b3tve297b3tve297b3tve29aa3tve297b1pre297b3tvWmt7b1pre29aa3tvem96b1prem9aa1prWmt6b1pre29aa3tvWmt6b1pre29aa3tvWmt6b1prWmtZa1prWmt6b1lrWWtZa3pvWms6axlj2V4sKSwljjHYWnxve29Za1lrWmsZZ3VSTSlOKZhSPWv6Xlxr2FpMKccYjjEzRq81KiWNMXROOWOcc5xznHN6b1lrWWt7b3tve296a3tve29ba1trW2s6Zxpj2Fq3VnZOE0JOLQ0lqRTsHOwcDSHTPfpeO2cbZwwlyhwMIRxnXGt9bztnfG9aa1tre2tba1trWmtZa1pvWmtaa1lrWmtZa1prWWtaa1lrWmtZa1prWWtab1prWm9aa1prOWdaazpnOmNbZ9ha8j2QMU8pLiUNIRRCG1+/c1xnGWNaa5xvWWdZa1lrWWtZa1prWmtba1prWmtaa1prWmtaa1prWmtaa1prWmtaa1prWmtaa1prWmt7b1pre29aa1prWmtaa1prWmtaa1prWmtaa1prWmtaa1prWmtaa1prWms5Z1prWmtaa1prWmtaa1prOWdaazlnWmtaa1prWmtaazlnWmtaa1prOWdaazlnWms5Z1prOWdaazlnWms5Z1prOWdaazlnWmsAAFpre29aa3tvWmt7b1pre29aa3tvWmt7b1pre29aa3tvWmt6b1prWmtaa3tvWmt7b1prem9aa1prWmtaa1prem9aa3tvWmtaa1prWmtaa3pvWmt6b1prWmtZa1prWWtaa1prWms5Z1lrWWtaazlnOmf5XtA56RyOMXROfG97b1prWWtaazpnt1qPMW4t80Feb11vXGv5XnROjTEKIW0xllauNWwtbC0yRvhenG97b1prWmt6b3tvm3N6b3prWWdaazlnOmc6Z1trO2c7Zxpj+l4bY7hWFEJwMQ0h7SDtHE8tjzHxPfI9CyEtJU4pHGOfc1xrOmd7b1prOmd8bzpnW2taa1prWWtaa1lrWms5Z1lrWWdZazlnWWtZZ1lrOWdZa1prWms5Z1lrWWtZazlnWWdaZzpnXGv6XtI1sjWSMcwYDCE1RhtjPGcaY1tremtZZ1hnWWtYZ1lrWWtaazprWmtaa1prOWdaa1prWms5Z1prWmtaa1prWmtaa1prOWdaa1prWmtaa1prWmtaazlnWms5Z1prOWdaa1prWms5Z1prWmtaazlnWms5Z1prOWdaa1prWms5Z1prOWdaazlnWms5Z1prWmtaazlnWms5Z1prOWdaazlnWms5Z1prOWdaazlnWms5ZzlnOWdaazlnOWc5ZwAAe297b3tve297b3tve297b3tve297b1pre297b3tvWmt6b1prem9aa3tve297b3tve296b3pvWmt6b1pre296b3tvem97b1prem9aa3pvWmt7b1prem9aa1prWmtaa1prWmtaa3pvWWtaazlnWms6ZxpjEkLqHG4xU0pbb713Wmt7bzlnfG/YWtI9Ti3SOV5vXW87aztrW2vXWq41zznYWrdW8T1MKUwpEkK2VjpnfG98b1tremtaa3pvemubb3tve296a3prWmt7b1trW2s7ZxpjPGf7YhRGLiXsHFApcC2xOW4tLCWIEA0l7CCYVhtjXGsZY3xvOmc6Z3xvO2c6Z1trWmtaa1prWmtZa1prOWdaa1lrWmtZa1prWWtZa1lrW2s5ZzlnWWd6b1lrWWs4Z1lrOWM6Yxpf+lpWStM5cS2qFC4lVko8Z55zW2c5Z1lneWtYa1lrWWtaa1prW2taa1trWmtaa1prWmtaa1prWmt7b1prWmtaa1prWmtaa1pre29aa3tvWmtaa1prWms5Z1prWmtaa1pre29aa1prOWdaa1prWms5Z1prOWdaazlnWmtaa1prWmtaa1prWms5Z1prWmt7b1prWms5Z1prWmtaazlnWms5Z1prOWdaazlnWms5Z1prOWdaazlnWms5Z1prAAB7b3tve297b1pre29aa3tvWmt7b1pre29aa3tvWmt7b1prem9aa3pvWmt6b1pre29aa3tvWmt6b1prem9aa3tvWmt7b3pve29aa3tvWmt6b1prWmtZa1prOWdaa1lrWms5Z1prWWtaa1lrWWs5Zzpr+WKXVqgYbi2uNVxvWmucc1pre29baztnVUotJW8xHGd9b1xrW2tbaxljGWMZYzpnGmO4WjNGrzUrJW0tM0Y7Z1xrfG9ba3tvWmt7a1prWmtZZ3pvemt6b5tve285Z1prO2d9b/pe+17LHMsc7SAvKZhSNUrROcoY7CDsIJAxbjEzRrZWOmd8b5VSVEpca3xvOmc6Z1tvnXNaazlnOWd7b1prWms5ZzlnOGdZa1lrWms6Z1prOWdZazhnWWtZa3lrWWdaZzljOmMbYxxjeE7TOXAtqhTrHDRG+l46Z1prWWc3Y1lrWWt6a1lnWms6Z1prOmdaa1prWms5Z1prOWdaazlnWmtaa1prOWdaa1pre29aa1prWmtaa1prWmtaa1prOWdaa1prWmtaa1prWmtaazlnWmtaa1prOWdaa1prWmtaa1prOWdaazlnWms5Z1prWmtaazlnWms5Z1prOWdaazlnWms5Z1prOWc5ZzlnWms5Z1prOWdaazlnOWc5ZzlnOWcAAHtve297b3tve29aa3tve297b1pre297b3tvWmt7b3tve29aa3tvWmt7b1pre296b3tvem97b1prem9aa3tve297b3pve297b3tvWmt7b1prem9aa3pvWmtaa1prWmtaa1prWmt6b1premtZa1prOmc6Z5dW6RxNKa81O2t8b3tve29aa1trO2eXUk4tbzGXVp5zXG98b3tvOms6Z1trW2s7Zxtj+mJVSq81LCWOMfE9GmMaY1trW2t8b1trfG97b5tvem95a1lnem96a3tve2t8b1trXWvaXuscyxzMHA0l+2L7YphSDSUNJewgFEbxPUwpbS2uNa41jTFMKTNGGmNcbzpnOmc6Z1tvW2tbazprWms5Z1prWmt7b1prWms5Z1prOmdaa1lrWWtYZ3lrWWtZZ1lnW2s6Z1xnPGf6XndOsjWxNaoUCyFVSn1vOmc5Z3tvOWc5Z1lnWmtZa1tvW29aa1prWmtaa1prWmtaa1prWmtaa1prWmtaa1prWmtaa3tvWmt7b1prWmtaa1prWmtaa1prWmtaa1prWmtaa1prWmtaa1prWmtaa1prWmtaa1prWmtaa1prWms5Z1prWmtaa1prWms5Z1prOWdaa1prWms5Z1prWmtaazlnWms5Z1prOWdaazlnWms5Z1prOWdaawAAe297b1pre29aa3tvWmt7b1pre29aa3tvWmt7b1pre29aa3tvWmt6b1pre29aa3tvWmt7b1prem9aa3tvWmt7b1prem9aa3pvWmt7b1prem9aa3pvWmtaa1prWmtZa1prWmtba1premtZa1prOWdaazpnt1rqICsljjUaY1trfG96b3tvOmdba7hasDUtKRNCfW+dc3xve29aa3tvW2t8b1trXGsbZ/lellIzRo4xKyWOMRJCllIaY1trfG87Z1pnWWt6b1lrWWtZa5tve297b3trGmN+bzxnTikuJc0cTym4Vn5z2l5OKescDCG5WpdW0D3QOWwtKiUrJQohLCWXUhpjXGs7ZztnO2dbaxpjOmcZY1tre297bzlnGWMZY1prOWdaazlnWWs5Z1lrWWdZazhnWmtaazpnOmdcaxtj+l6YUm8tLSXKGEwpEkJcazpnOWc6Z1pre29aazlnOWd6b1prWmtaa1prWmtaazlnWms5Z1prOWdaazlnWms5Z1prWmt7b1prWmtaa1prWmtaa1prWmtaa1prWmtaa1prWmtaa1prOWdaa1prWms5Z1prOWdaazlnWms5Z1prOWdaazlnWms5ZzlnOWdaazlnOWc5Z1prOWdaazlnWms5ZzlnOWdaazlnWms5ZzlnOWc5ZzlnAAB7b3tve29aa3tve297b3tve29aa3tvWmt7b3tve297b3tvem97b1pre296b3tvem97b3pve29aa3tvem97b1prWmtaa3pvWmt7b1pre29aa3tvWmt7b1pre29aa1prWmtbb1tre29aa3pvWmtaa1prW2vYWk0t6iCvNddafG97b5tze29ba1tr+mLSPU0pjzVca3xznHNaa3tve297b3tvfG9caztnGmdcaxpjdlLQOa81jjFuLW0t0DlUShljfG96a3tvnHN6b1premt7bzpndE4SQtlePGfTPe0g7iAvKRRGfnMbYy0pyhwMIV5rGmMaZ9dalVKOMUwpLCXrIE4tLCXRPZZS2V5da31vXGs6Z51zO2cZYxljW2t8b3xvWmdaa1prWmtZa1prWWtaazlnWmtaa3tvOmc6ZzpnW2c6Y/pad05NKSwhqBRNKfI9XGtba1trfG9aa1prWWtZazlrWmtaa1prWmtaa1prWms5Z1prWmtaa1prWms5Z1prWmt7b1pre29aa3tvWmt7b1prWmtaa1prWmt7b1prWmtaa1prWmtaa1prWmtaa1prWmtaazlnWms5Z1prWmtaa1prWms5Z1prOWdaazlnWms5Z1prWmtaazlnWms5Z1prOWdaa1prWms5Z1prOWdaazlnWmsAAFpre29aa3tvWmt7b1pre29aa3tvWmt7b1pre29aa3tvWmt6b1prem9aa3pvWmt7b1prem9aa3tvWmt6b1pre285Z1prWmt6b1prWmtaa3pvWmtaa1prem9aa1prWmtaa1prW2taa3pvWWtZa1lrWms7a/herzXpHI4xdVJ8b3xvWmt7b1trXGv6YhRGTS2OMflefG+cc3pvWmt7b1pre285Z3tve2taaxpjOmf5XthaE0LxPY4xTCkrJWwtrzURQvheWmucb3xvOWdbazpn11orJU0p0j0dZ1hOzRzvIA4lsTmecxxnTi3JGCwlXm88Z1xrGmMaZ/JB6hyQNU8tiRQMJU0pLCUMIW4tNEbYVjxnG2Nca1xrfG87ZztnOmdaZ1pnemtaa3prWmdaZzlnWmdaa1trWmdaZzlnWWs4ZzlnOmPZWlRG6hwLIagUbi0TQjxrfW87ZxljOWebc3pvOGc5Z1prWmtaazlnWms5Z1prOWdaazlnWms5Z1prOWdaa1pre29aa3tvWmtaa1prWms5Z1prWmtaa1prWmtaa1prOWdaa1prWms5Z1prWmtaazlnWms5Z1prOWdaa1prWms5Z1prOWc5ZzlnOWc5Z1prOWdaazlnWms5Z1prOWdaazlnWms5Z1prOWc5ZzlnOWc5ZwAAe29aa3tvWmt7b1pre297b3tvWmt7b3tve29aa3tve297b1pre29aa3tvWmt7b3pve29aa3tvem97b1pre29aa1prWmt6b1pre29aa3tvWmtaa1pre29aa3tvWmtaa1prW2tba3tvWmt6b1lrWmtaa1tr+V4TRsgYjjEyRp1zfG96b3tve287azxnVU6wNW4xllZba713em+bc3tvem97b3preWt6b1lnWmtaZ1trGmNba/ledU7QOY4xTClMKUwp8D1TShpjfW99b51zW2tTSskYDCVwMbpW3V7OHDEp7iCQMTtnPGtuLescLSlebzxrfW8aY55zVErqHLI5V07sIA0hby01RhRCby0sJW4tTSnyPXVOG2Nca1xnGmNca3xvWmtZZ3prWmt7a1pnW2s6Z1trWmdaa1lnemtZa3lrWGecb/hat1a3VgshyhjrHAwhNUrZWn1vXGtaa1prem9Ya1prWmtaa1prWmtaa1prWmtaazlnWmtaa1prOWdaa1pre29aa3tvWmt7b1pre29aa1prWmtaa1prWmtaa1prWmtaa1prWmtaa1prWmtaa1prWms5Z1prOWdaa1prWmtaa1prOWdaazlnWms5Z1prOWdaazlnWms5Z1prOWdaa1prWmtaa1prWmtaazlnWms5Z1prAABaa3tvWmtaa1pre29aa3tve297b1pre29aa3tvWmtaa1pre29aa3pvWmt7b1pre29aa3pvWmt7b3pve29aa1prWmt6b1prem9aa3pvWmtaa1lrWmtaa3pvWmtaazlnWms6a1trWmtaa1lrWWs5Z1prOmcZY1RKqBhtMfE9fG98b1prnHNaaztrPGu4VrA1bS0SQjpnnHN6b5tzm3Naa5tzmm94azdneWt7b5tvWms6Z/leOmc6Zztn+F50Tq81TCksJW4tE0bYWhpjnnM7Z/JBiBQtJS4l1DmbVvAkzxytGC0p2FobY24tyhxOKRxnfm9caztnXGuWUsoYTy2aUtQ9DiVwMXhS/GI1RtI5sTVOKS0lLCVNKfI9uFZcazxnOmM4Y1hnOGdaZ1pnW2s6Z1tnO2daazlnWWtZa3lrWGt5azljW2c6Y9hWuFYtJYgQLSXsIPI92V59b1trOWc3Z1lrWWtaa1prWmtaa1prOWdaazlnWmtaa1prWmtaa1prWmtaa1prWmtaa1prWmtaa1prWmtaa1prWmtaa1prWmtaa1prWms5Z1prWmtaazlnWmtaa1prOWdaazlnWms5Z1prWmtaazlnWms5Z1prOWdaazlnWms5Z1prOWdaazlnWmtaa1prOWdaazlnWms5ZzlnOWcAAHtvWmt7b1pre29aa3tve2+cc3tve297b3tvWmt7b1pre296b3tvWmt7b3pve296b3tvWmt7b3pve296b3tvWmt7b3pve29aa3tvWmt6b1prWmtaa3pvWmt7b1prWms5Z1prWmtaa1lremtZa1prOWdbaxljllKnFI4xzzl9c3xve2+bc1trOmd9c9le8T1MKdA5GWOdc1prnHObb1prmnOac3lvmm+ab3pvOGc5Z1trnG9bazpnGWM6Z/he11qWUtE9bS1uLa81NEobZzxnE0IMIXAtkjFRKZxWczERJc4cTy2XVl1rbzHrIC0p+mJ9b31vW2t8b9haLCUNJdxau1qSMQ0hFEI9Z15rPWe5Vk4tsTWxNbE1TiktJU0p0jlUShljGGM6ZzpnW2tba1xrW2dcazpnW2tZZ1lrWGd5a3lvWms6YzpnO2fZWpdSsDWHEAwlCyGwObdWfG9ba1lrWWtaa1prWmtaa1prWWtaazlnWmtaa1prWmtba1prW2taa3tvWmtba1prW2taa1prWmtaa1prWmtaa3tvWmtaa1prWmtaa1prWmtaa1prWmtaa1prWmtaazlnWms5Z1prOWdaa1prWms5Z1prWmtaazlnWms5Z1prOWdaa1prWmtaa1prWmtaa1prWms5Z1prOWdaawAAWmtaa1pre29aa3tve297b3tve297b3tvWmt7b3tve29aa3pvWmt6b1prem9aa3pvWmt6b1prem9aa3pvWmt6b1prWmtaa1prOWdaa1prWmtZa3pvWmt6b1lrWmtaa3tvWWdZa1lrWmtZa1prWmtbaxljO2d1UukcbS3wPRpnfG9ba3tvWmt7b1trOmd2Uk0tsDlVTp93W2t8b5tzWGe7d3pvm3N6b3tvWmtaa1prWmtba3tvWmtbazpnOWcZYzln+F51To4xTSltLfI9d041Rg0hDyXVOZQxrhR8Tq4UECHsHDVGPWexOeocTSk6Z51ze2taazlnGWMrJS0peFIeZ7M1kjFwLV5rG2N2Tgsh6xzsHO0cDiFxLZExcC0tJQwlCyFuMfI9dlLZXlxrXGs8a/liXGt8b3xvWmdaa1pre286Z1pnWmtbazpnOWeVUs85hRBLKSslTCl0TlxrO2dbazpnWms5ZzlnOWd6b3pvWms5Z1prWmtba1prW2taa1trOmdbazprW2s6a1trWmtba1prWmtaa1prWmtaa1prWms5Z1prWmtaa1prWmtaa1prWmtaazlnWms5Z1prOWdaazlnWmtaa1prOWdaazlnWms5Z1prOWc5ZzlnOWc5Z1prWmtaa1prWms5Z1prOWc5ZzlnAAB7b1pre297b3tve2+cc3tve297b3tve297b3tve297b3tvWmt7b1pre29aa3tvWmt7b1pre29aa3tvWmt7b1prem9aa3pvWmtaa1prWmtaa1prWmt7b1prWmtZa1prWmtaa1lrem9aa1prWmtbb1trOms7a7dWCSFtLdA5Gmd8b3xve29aa1pre285Z7dWjjGQNTRGn3c8a3xzm295a5pzm3N7b5xze297b1pre29aa3tvWmt7b1prWms5Z1prOWcYYxlj+FpUSq81LSWPLS4lzBhxLTlGtTVTKbY18BwQIe0g0zlea7E56yBMKVtrnHObb3prWmsZY20xLCVXSh1jmVJvKTVCuFZ9a/E5yhhOKU8pDiHNHM0cLyWSMTZKmVY1Sm8tDCEtKY8xjzETQpZSXGs7ZztnOmdba1trfG97b3tvWmtbazlnOWdaZ1pr916VUmQM6ByvOQohsDV/b11vnXM5Zzpne2+cczlnOGdZa1lrWWtaa1pre29ba1tvW2tba1prW2tba1trWmtbb1trW2taa1trWmtaa1prWmtaa3tvWmt7b1prWmtaa1prOWdaa1prWmtaa1prOWdaa1prWmtaa1prWmtaazlnWmtaa1prOWdaazlnWms5Z1prWmtaa1pre29aa1prWmtaazlnWmsAAFpre29aa3tve297b3tve297b3tve297b1pre29aa3tvWmt6b1prem9aa3pvWmt6b1prem9aa3pvWmt6b1prem9aa1prWmtaa1prWmtZa1prWWtaa1prWmtZa1prWWtaa1lremtZa1prWmtba1prW2s6Z1trt1pMKUsprznYWp1ze2+cc1lre29aazpr11rQOSwpE0Jda1xrW2ubc1hrmnN6b3tve297b1pre29aa3tvWmt7b1prWmtaa1prOWdaazlne286ZxljVErQNU0pqRSqFHEtOEb2PXMtcy2uFBAhzBgvKfxisjWqGE0pGmd8b3tvm3M5Zzln0DksJdM9HWP8XrE18zmXTn9vby3KGBRC2lp4TpI1DiWrGOwgcC30QblW+16YUtI9LSlNKSwpLCVuLa81EkK2VvleOmc6Z1trGmNba1xrfG9ba1trOmc6Z/het1YsJagYTi0tJQ0hd1L6Yltre29aazlne296b3pvWWdZa1lrWmtZa1prWWtaazprW2s6Z1trWmtba1prWmtaa1prWmtaa1prWmtaa1prWmt7b1prWmtaa1prOWdaa1prWms5Z1prOWdaazlnWms5Z1prOWdaazlnWms5Z1prOWdaazlnOWc5Z1prOWdaazlnWms5Z1prOWdaazlnOWc5ZwAAe297b3tve297b3tvnHN7b5xze297b3tve297b3tvWmt7b3pve29aa3tvem97b1pre29aa3tvWmt7b1pre29aa3tvWmt7b3pve29aa3pvWmt6b1pre29aa3tvWmt7b3prem9aa3pvWmt7b1pre29ba1trW2v5Xq41KyWOMZdWfXOcc5xzem96b3tvWmsZYxNGCyXRORxnXGt8b5tzem96b3tve297b3tve297b3tve297b3tve29aa3tvWmtaa1pre29aaxljOmc7Z9haVUotJQ0hLiUWQllKUim1Na4Y7yDuIMwc/V6zOcoYLSk8Z3xve2+bc1prOWdUSgshkTUcYxxjmFJvKblWXmdOKQ0hd05+axxjuVYUQpA1DSUNIewgsjkUQrlaHGf6XjRG0TnROW4tTS1tLW0tjjGuNRFCdE4aZztnXGtca3xvO2c7Z1xrPGv6Xtla0jnLHOwcUC3sIBNC2V59bztnOmd7b5xzWmtaa1lrWWtZa3prWWtaa1lrWmtaa1prWmtaa1prW2taa1trWmtaa1prWmtaa1prWmtaa1prWmtaa1prWmtaa1prWmtaa1prOWdaazlnWms5Z1prWmtaazlnWms5Z1prWmtaazlnWms5Z1prOWdaazlnOWc5Z1prOWdaa1prWms5Z1prAABaa3tve297b3tve297b3tve297b3tve29aa3tvWmt7b1prem9aa3tvWmt6b1pre29aa3pvWmt6b1prem9aa3pvWmt7b3pve296b3tvWmt6b1prWmtaa3pvWmt7b1prem9Za3pvWmt6b1prWmtaa1trOms6a/liEULpHG0tNEqdc3tvnHNaa3tvWmtbaxpndlLrII81uFZ9b1trm3N6b5pvWmt7b1pre29aa3tve297b1pre29aa3tvWmt7b1pre29aa3tvOmd7bztnGmPZWjVGLSUNJdM1HmO0NbQ1ci3OHA8lzRx6UvVBqhhOKTxnfW9aa5xzOWc6Z5ZSLCVOLfteXGs8Z28td06ZUnEt7Bx3ThtjO2c7ZxpjuFZVStI5kTEMJQwhTi01StpeG2P6YhtjdlJVSvE9rzVMKSslKiVMKQohjjHxPXZS2Vq4WpdS+2IcY15rf3PcXlAtzBzuIA4lLSWxNXZOPGtdb1trGWM5Z1lrWWtZa1lrWGtZa1hrWWtZZ1prWWtaa1lrWmtaa1prWmtaa1prWmtaa1prWmtaazlnWmtaa1prWmtaa1prWms5Z1prOWdaazlnOWc5Z1prOWdaazlnWms5ZzlnOWdaazlnWms5ZzlnOWc5ZzlnWmsYY1prOWdaazlnWmtaa1prOWcAAHtve297b3tve297b3tve297b3tve297b3tvWmt7b3tve296b3tvem97b3pve296b3tvWmt7b1pre29aa3tvWmt7b3tve297b3tvem97b3pvWmtaa1prWmt6b1pre29aa3pvWmt6b1prWmtaa1prWmtbazlnOmdUSukcTC0SQn1vfHOcc3tve297b1trXGu3Vk0pbi1VTl1vfG97b5tzem96b1pre297b3tve297b3tve297b3tve297b1pre29aa1prem97b3tvW2saYztnt1JNKS0lsjU/Z7tWLyU4RosQMSnOHPZB9kGrGC4pPGdca3tve29aazpn+V4sJU4puFaec/hadkqyNTdG1DntHHdOfW98b5xzemtba/peuVZXThRG8j1vMQwlkDWXUjxnPGc8Zxtj+l7YWthadU4SQo8xbS1tLW4tjzGwNQshqRgMJTZKmVIeZz9ru1rVPTEpqxTtIOwgcDEURvpePGt9b1tre29aa3prWWtZa1hreWtZa1prWWtaa1lrWmtaa3pvWmtaa1prWmtaa1prWmtba1pre29aa3tvWmtaa1prWms5Z1prOWdaazlnWms5Z1prOWdaazlnWmtaa1prOWdaa1prWms5Z1prOWc5ZzlnWms5ZzlnOWdaazlnWmtaa1prOWdaawAAWmt7b1pre29aa3tvWmt7b1pre29aa3tvWmt7b1pre29aa3tvWmt7b1pre29aa3tvWmt6b1prem9aa3pvWmt6b3pve29aa3pvWmt6b1prem9aa1prOWdaa1pre29aa1prWmt6b1prWmtZa1prOWdaa1trOmcaZ5ZW6BxtLdA5fW97b5xzem+cc3pvW2tba9hejjFNKdE5XGtba3tvem96b1pre29aa3tvWmt7b1pre29aa3tvWmt7b1pre29aa1prWWt6azhnWmtaZ1trW2vYWo8xLCFvLfteHWOzNdM5rBgQJRAlMSn3QWoQLiX6Xlxre2ubb1lnWmsZY0wpLSVVSnxr+Fr6XrE19kH2Qe0cVkp8b3tvWWtYazlnW2scZxxn+2JVSrA1jzFNKU0p0T3ZWl1vnnNdaztnG2M8Z/pi2Fp1TjRKjjFtLW4tCyUtJTVK7BxwLbM5N0q7WrxatTnOHO4g7iTNHA0lsTWYVjtnfW9ba1trWmtZa1lnWWtZZ1lrWWtZa1lnWWtZa1prWWtaa1lrWmtaa1prWmtaa1prWmtaa3tvWmtaa1prWms5Z1prOWdaazlnOWc5ZzlnOWc5ZzlnWms5Z1prOWc5ZzlnWms5Z1prOWc5ZzlnOWc5Z1prOWdaa1prWms5Z1prWmtaazlnAAB7b1pre29aa3tve297b3tve29aa3tvWmt7b3tve297b3tvem97b3pve296b3tvem97b1pre29aa3tvWmt7b1pre296b3pvWmt6b1prem9aa3tvWmtaa1pre297b3tvem97b1prWmtaa1prWWtaazlne28ZZ1trt1rpIG0t0Tldb3xvm3N7b5tze29aa3xv+F7QOSwljzU8a3xve296b1lre297b3tve297b3tve297b3tve297b1pre29aa3tvWmtaa3pvem9aa1prOmd8b/liVUoLIW4td04dY/teLiUvJVItMi3wIBhGqxgvKRxnfW+dc3tvemtaZzpnTCktKRNCe2t7azxnVko4StU9DiHSOXxvem+Zb3hrWWtba11rHGd+bxtnl1bRPY4xTS1uLW4tVEr6Xn5zXWs8a1xrXW87ZztnOmf5XthauFbROW8xNUaxOQ0lDiUvKTApcTG0OXIxUi3uIM4gDyUvKU8pFEb6Yn1vXGtba1prWmtZa1prWWtaa1lrWmtZa3prWmt6a1lrWmtaa1prWmtba1prW2taa1prWmtaa1prWmtaa1prWmtaazlnWms5Z1prOWdaazlnWms5Z1prOWdaazlnWms5Z1prOWc5ZzlnOWc5Z1prOWdaa1prWmtaa1prWmtaazlnWmsAAFpre29aa3tvWmt7b1pre29aa3tvWmt7b1pre297b3tvWmt7b1pre29aa3pvWmtaa1prem9aa3pvWmtaa1pre29aa3pvWmt6b1prWmtaa1prWmtaa1lrWmtaa3tvem97b1pre29aa1prOWdZZzlnWWs6Z1prGWPYXukgTCnROTtnfG97b3tvm3N7b3tvOmcaZ1VOCiFuMXVOO2fee1lrem9aa3tvWmt7b1pre29aa3tvWmt7b1pre29aa3tvWmt6b1lrem9Za3pvWmtbazpnOmfXWkwpLCWwNT1nHGNWSssYECUyKVMx90FqEFAtHGN9b3xvWmucc1trGWPROU0psDVaZ3prO2McYzhKkzFxLS0lGF96b7pzV2eac1prO2dda/peO2c7Zxtjl1ISQm4tKyVNKY81M0b6Xl1rXWs8Z1xrO2dbazpnGmMaY/peE0IsJZAx0z2xNbI5DSUNJasY7SAQJc8cbBSUNbM5kjUuKU4pVUrZXjtrW2s6Z1trW298bzhnWmt6b5tvWWtZazlnWmtaa1prWmtaazlnWmtaa3tvOWdaa1prWms5Z1prWmtaa1prWmtaa1prOWdaazlnWms5Z1prWmtaazlnWms5Z1prOWc5ZzlnWms5ZzlnOWc5ZzlnWms5Z1prOWdaazlnWms5ZwAAe297b3tve297b3tve297b3tvWmt7b3tve297b3tve297b1pre297b3tvem97b3pve29aa3tvWmt6b1pre296b3tvWmt7b1prem9aa3pvWmt6b1prem9aa3tvem97b3pve29aa3tvWmtaa1lrWmtZa1prWms6Z/heTC0LIdE9+V58c3tve297b5tzem9bazpnt1bqII81EkJ8b5xze296b3tve297b3tve297b3tve297b3tve297b3tvWmt7b1prem9Za3pvWm97b1prW2s6Z/le8T0LIdA1+l48Z7lWLinOHHQxMil0Ne4gDiU8Z31vnXNaa713W2saY/JBLCWOMXtrWWedbz1nulb1PVAtLSmVUnpveG94b3pvOWt9bzxrnnc7Z/leGmNcaxpjdU6vNY4xLCUsKa81VU7ZWl1rnnNba3tvnXNba1trGmOXUtE9kDGxNblaVko1Rm8tkDGKFO8kMikQJe8k7iBQLdM90jmpGI812Fpca31vO2c7ZzpnnXNaazhnGGM5Z1pre297b3tvWmtaa1prWmtaa3tvWmtaa1prWmtaa1prWmtaa1prWmtaa1prWmtaazlnWms5Z1prWmtaa1prWms5Z1prOWdaazlnWmtaa1prOWdaazlnWms5Z1prWmtaa1prWmtaa1prAABaa3tvWmt7b1pre29aa3tvWmt7b1pre29aa3tvWmt7b1prem9aa3tvem97b3pve29aa3pvWmt6b1prem9aa3pvWmt6b1prWmtaa1prWmtaa1prWmtaa3pvem97b1prWmtaa1trWmt6b1prem9Za1prWmt7bxljGWOvNckcsDm3Vltre296a3pvem97b1prOmfYWgslbi2wNVxvW297b3pvWmt7b1pre297b3tvWmt7b3tve297b3tve297b1prem9Za1lvWWtab1pre286ZzprGWPXWukc0DV2Tl1r+l7zPWsQlTXvIBAlLykNIRtjfm98b3tvnHN7axpjdk7rHG4tGF9ZZ55zPWf8YnhSLilNKc85em83Z5pzOGdZa5xzO2t8b1trGWM6Z1xrXGv4XrZW8T2vNUwpCyUKIW4xVUo7Z3xvnG9ba1xrfG99b/pellIMJS0pNUY9a9pa2Vp3TrI57iDvIK0cDyVxMVAtTy0NJbA1LSkKIdA52Vqec31vO2sZYzprW2t8b1prWms6Z1trWmtbazlnWms5Z1prWWtaa1prWms5Z1prWmtaazlnWmtaa1prOWdaazlnWms5ZzlnWmtaa1prWms5Z1prOWc5ZzlnOWc5ZzlnOWc5ZzlnOWc5ZzlnOWdaa1prWmtaa1prOWcAAHtve297b3tve297b3tve297b3tve297b3tve297b3tve296b3tve2+bc3tve297b3tvem97b1pre296b3tvWmt7b3pve29aa3tvWmt6b1prem9aa3pvem97b3tve29aa1trW2t7b3pve296a3pvWWt6b1prOWcZYzNKpxSwNVRKfG97b5tzem97b3pve286ZxpjTClMKW4xO2tba5xzWmt7b3tve297b3tve297b1prnHN7b3tve297b1pre29aa3pvWWtaa1lre29aa1trOms6ZxljbS1tLTNGXWs8Z5hSzRwyLRElzhwwKQ0hHGd9b3xve2ucc1trW2v5Xiwlbi2VUlpnnXM7Z15v2l6xOQslbS34Xnpvm3M4Z1prnXc6azpnW2ucc3trOmcZYzpnO2dba5ZS0DlNLW0tTS1uLW0tlVL4Xp1znXN9bztnPGcbZ/I9LCVNKfpePGdda9lauVZ4TpI17CDLHLE1bzGxOU0pTS1NLW4xTS1NKY8xllJ9b31vW2s7azpnW2tba1trOmtbb1prWmtaa1prWmtaa1prWmtaa1prWmtaa1prWmtaa1prWmtaa1prWmtaa1prOWdaa1prWmtaa1prOWdaazlnWms5Z1prOWdaazlnOWc5Z1prOWdaa1prWmtaa1prWmtaawAAWmt7b1pre29aa3tvWmt7b1pre29aa3tvWmt7b1pre296b3tve297b3pve29aa3tvWmt6b1pre29aa3tvWmt6b1prem9aa3pvWmtaa1prem9Za1prWmt7b3pve29aa1prWmtba1tre29aa1prWWtZa1lrWmsZYxpndU6oGG4t8j06Z3tvm2+bb1lrem9aa1tr+F6vNeocjzG3Vn1zW2t7b3tve297b3tve297b1pre29aa3tvWmt7b1prWmtaa1prWWtZb1lrWm9aa1pvWmtbazpnGWMSQisp0Dk8axpj+2JRLc4cUS3uIO0gLikbY1xvW2t7b3tve287ZxtnTi1NKfA9nG9baztnfW8bZ1VOCiFMKVRKnXd7bzlre3N6b1prWmt7b3tve29aa1prOmc6Z/heOmcaY7dW8T1tLSslTS1MLc85U0r5XlxrnnNdazxn2VqQNesgjzFda11rO2c8Z/ti+2JWTo8x0DkzRrdadU7xPa81TCksKQshCyVNLbA5llL5XlxrfW87azpnOmdbb1prW2taa1prOWdaa1lrWms5Z1prWmtaazlnWmtaa1prOWdaazlnWms5Z1prOWdaazlnWmtaa1prOWdaazlnOWc5ZzlnOWc5ZzlnOWc5ZzlnOWdaazlnWms5Z1prOWdaazlnAAB7b3tve297b3tve297b3tve297b3tve297b3tve297b3tve2+bc3tve296b3tvWmt7b1pre297b3tvem97b1pre29aa3tvem97b1pre29aa3pvWmt7b3pve296b3tvWmt7b1tre296b3pvWWtZa1lrem9ZazpnGmO3WgshTSmPNTpne2+cc3tvem96b3tvWmv5YjNG6hyOMVRKnXNba3xve297b5xze297b3tve297b3tvWmt7b1pre29aa3tvWmt6b1lrWm9Za3pvWmtbb1prW2v4XtdaKyWvNfleO2M8ZzdKjBRyMQ8lzBxPLTxnXGucb3tve29aa1xrG2PzPSwlzzWdc1trW2t9bztnGmNMKU0trzWecztrfG+bc3lvWWt7b3pre296a3tvW2tbazpnW2saYxpjGmMaY7dWE0aOMUwpCiELIY81l1IcY15vPWscY5hWby0MIblan3N+c11rGmNba1trGWMZY/heWmv4XvhellZUTvE9jjErJQsh6iAsJdE5uFo7Z11vO2tca1trW2taa1trWmtaa1lremtZa1prWmtaa1prWmtaa1prWmtaa1prWmtaa1prOWdaa1prWmtaa1prWmtaazlnWms5Z1prOWdaazlnWms5Z1prOWdaa1prWmtaa1prOWdaazlnWmsAAFpre29aa3tvWmt7b1pre297b3tvWmt7b1pre29aa3tvWmt7b1pre296b3tvWmt6b1pre29aa3tve297b1prWmtaa3tvWmt6b1prem9aa3pvWmt6b1prWmtaa3tvWmtaa1tre29aa3pvWmt6b1lrem9aa1prGWcaZ7dabjELIW4x+F5aa3tvem9Za3pvWmtbaxljl1bqHG0t8T19bzprfG97b3tve297b3tve29aa3tvWmt7b1prWmtaa3tvWmt6b1pvem9Za1prWmtabzprWms6Zzpn+F6NMW0tllI7Zz1rmlbuIO4gLynsHE8tO2d8b5xznHNaa3trXGsbY3dOLSmOMTpnW2t7a1pnWms7ZxJCCyVOLbhaXW9bb5xzWGt5b1hremt6a3pvWWdaazpnW2sZY1trXGtcaxpj+V63VrdWsDWQNW4tTiktKZE1VkodY7paPmv0QW8xkDEcZxtjO2d7b1lr1lp6b3pvWWtZZ3prF2MZY/hi2F51UhJCTS3qHG4tLSkLIY8xVU4bZ1trW2s6a1trOmtaa1prWmtZa1lrWWtaazlnWmtaa1prOWdaazlnWms5Z1prOWdaazlnWms5Z1prOWdaa1prWms5Z1prWmtaazlnOWc5Z1prOWdaazlnWms5Z1prWmtaazlnWms5ZwAAe297b3tve297b3tve297b3tve297b3tve297b3tvWmt6b1pre29aa3tvem97b3pve296b3tve2+bc3tve29aa3tvem97b1pre29aa3tvWmt7b1prem9aa3tvem97b1prfG9ba3tvWmt7b3pvm296b5tvWWtaaxpj2F7QOQshbi3YWjlne296b3pvem97b1prOmfYWiwlLCXQOVtrW2t8b5xze2+cc3tvnHN7b3tvWmt7b1pre29aa3tve297b3pve3N6b1pvWmtab1prWms5a1prW2sYX885bC1TSnxvXGvbWjApzBguJS4lLik8a3xvvXecc3tve2+dcxpjHGdOLW4tl1Z9b3tvOWdaZ3tvt1bqIC0pFEZ+b3xve295b3lvm3N6a1prWWt6b3pre29aa5xvW2s6ZxpjW2tbaztn+WIaY1VKsDVOLY8xby1PLS4p0jk1RlZOLSluLTRGfm99c3pvm3M4Z3lvWWubc5tvOGdaa1prW2sZZzpnGWO3VjNGLCVNLW4xTSlNKY81llJca1xrW2tba1trW29aa1prWmtaa1prWmtaa1prWmtaa1prWmtaa1prOmdaa1prWmtaa1prOWdaa1prWmtaa1prWmt7b1prWms5Z1prOWdaa1prWms5Z1prWmtaa1prWmtaa1prAABaa3tvWmt7b1pre29aa3tvWmt6b1pre29aa3pvWmt7b3tve29aa3tvWmt7b3pve29aa3tvem97b1pre29aa3pvWmt7b1prem9aa1prWmt6b1prem9aa3tvWmt6b1prWmtba1trWmt7b1prem96b3pvOWd6bzpnOmfZXvJBhxCPNXVSt1qcc5xzWWebc1lre29ba/hejjHpHK81GV98a3xvW2t7b3tve29aa3tvWmt7b1pre29aa3tve297b1pre29aa1prWmtaa1lrWmtZa1prWWs5ZzlnMUaMMa41+F58b/peVk6JFOwg7CAuKRtjnnN8b3xve297bzpnOmfYXlVKTy02Sl1vnXMYY7x39146Z24x6xyRNT1rGmecc5pzWWtZa1prOWdZazlnWmtaa3tvWmtaazpnWms6Z1prOWc6ZxpnGmfYWnVO0DluMUwpTSksKSwlCyEMJQshbzFWTl1vnHNZa3pvnHNZZ1pre2tba1trW2taZ1pnOWM5ZxhjOWf4XjNGbTFMKQslCyVtLfJBuFo7Z1xrO2s7Z3xvW2s6ZzlnWmtaa3tvOWc5Zzpne29aa1prOWc6ZzpnWmtaa1trOWdaazlnWms5Z1prWmtaazlnWms5Z1prOWc5ZzlnOWc5Z1prWmtaa1prWms5ZzlnOWcAAHtvem97b3pve296b3tvem97b1pre296b3tvWmt7b3pve29aa3pvWmt7b3pve29aa3tvem97b3tve296b3tvWmt7b1pre29aa3pvWmt7b1prem9aa3tvem97b1prem9aa3xvW2t7b1tre296b3tvem9Za1prW2s6ZxpjE0apGI8xVErYXp13fG96b3pvemtaa3tr+V7xPekcrzGWUnxrfG98b3tve297b3tve297b3tve297b3tve2+cc3tve29aa1trWmtaa1prWmtZa3prWWtaazhnWWtSSgghbC1SSltrO2eXVgshyhgMIQwl+l5db31zfG+cc3tvW2taaxljdlKRMdQ9Xmtca1prm29ZZzpnE0LrHJAx2l59b1trm3NZa3pvWmtaazlnWmtaa3tvWmt7b1prWmtaa1prWmtaazpnWmsZZzpnGWMZY7dWM0avOY4xLCkLJQsh6iDrINE5llJ8b1prm3N7b3tvfG+cb1pne29ba1trWmtaazlnWWs5Z1pr+GLYXpVS8T0sKQslLCVNLTRGG2ddb1xrO2tca1trW29aa1trWmtaazlnWms6Z1trOmdaazpnWmtaa1trWmtaazlnWmtaa1prWmtaa1prWmtaa1prWmtaazlnWms5Z1prOWdaa1prWmtaa1prOWdaawAAem97b1pre296b3tvWmt7b1pre29aa3tvWmt7b1pre29aa1prWWtaa1pre29aa1prWmt7b1pre296b3tvWmt6b1pre29aa1prWmt6b1prem9aa3tvWmt7b1prem9aa1prW2t7b1prWmtaa3tvWmt6b1lnem86ZztrGmNVTskcjzXQPRpjfG97b3pvem9aa1prW2saYzRG6hxtKRJCOmOdc3tve297b3tve297b1pre297b3tve297b3tve29aa1prWmtba1prWmtZa1prWWtZazlnOGc5Z5RShRQqKWwtW2s8a/pibi2IFOsgDCW4WlxrfG98b3tve29aa3tvOme4WrM5kjX7Ylxre296b1prWmeXUi0pLSlVSn1vWmt5a3lremtaazlnWmtaa3tvWmt7b1prWmtaa1prWmt7b1prWms6Z1trW2t8b1trOmf4XthadVIzRvE90T1uMSwpLCmPNRljfG98b1tre2udc3trWmtaa1trWmtaa1prWmtaa1prWmtbazprW2v5XnVOrzVNKQshLCVuLTNG+V59c1xvO2tba1prOmdaazpre297b3tvWmtaazlnOmc6Z1prOmtaazlnWms5Z1prOWdaazlnWms5Z1prOWdaazlnWms5ZzlnOWdaazlnWmtaa1prOWc5ZzlnAAB7b3tve296b3tve297b3pve296b3tvem97b3pve296b3pvWmtaa1pre297b3tvWmt6b1pre296b3tve297b3pve29aa3tvWmt7b1pre29aa3tvem97b1pre29aa3tvWmt8b1tre29aa3tvem96b1lrem9aa1trOmc7Z5dWLCmPNY81Gmd7b1prm3NZa3tvWmt8bxpjt1IKIUwprzU6Y51vfG97b3tve297b3tve297b5xze297b3tve297b3tvWmt7b1prWmtaa3pvWmtaa1lrOWc5Zzpn1loJIegcbC06Z11vO2fzQWcQDCUtJdlaXW+dc1tve296b3tve29ba/leFUZQLblWXG+cc1prem85ZxpjsTUtJbE1G2dba3pvWWt7b1prWmtaa3tve297b3tve29aa3tvWmt7b3tve29aa3tvW2tbazpnOmc6Z1trXGtcaztnGmPZXrhWM0aPNSslllJca55zW2t8b3xve29ba3tvWmt7a1pre29aa3tvW2tbazpnOmc6a31vXGv5XnVO0DluMW0tTCmOMfE92Fp9c1trW2t7bzprOms6Z1trWmt7b1prWms5Z1prWmtaa1prWmtaa1prOWdaa1prWmtaa1prWmtaazlnWms5Z1prOWdaa1prWmtaa1prWmtaazlnWmsAAHpve296b3tvem97b3pve29aa3tvem97b1pre296b3tvWmtaa1pre296b3tvem97b1prWmtaa3tvWmt7b1pre29aa3pvWmt6b1prem9aa3tvWmt7b1pre29aa3pvWmt7b1tre29ba3tvWmt6b1lrWmtaa1prOmc6Zxpj2F5uLbA1jjEaZ1trWmt6b1lremt7b3trOme4VkwpKyWOMRlfnW97b3tve297b3tve297b3tvWmt7b1pre297b3tve297b1prWmtaa1prWWtaa1lrWms5Z3tvGWMZY885pxhuMdhaPGs8a1VKiBTrHC0pl1Jcb3xve29aa3tvWmtbb1trG2M2RlAtE0J9b3trm29ZZzpnGmNWTi0lbi1VSnxvemt6a1prWmtaa1prWmt7b1pre29aa3tvWmt7b1pre297b3tve29aaxhjOmt7b5xzWmsZYxpnXGtbaztnG2caYzNGTSmPMbhaXWt9b3xve29aa3tvWmt6a1premtaa1trWmtba1prfG97b1trOmdbaztrW2v5YpZS8D2NMSolKymuNTJG+F5ba51znXNba1prOmdaa1prWms5Z1prOWdaa1lrWms5Z1prOWdaazlnWms5Z1prOWdaazlnWms5Z1prOWdaazlnWms5Z1prOWdaazlnWms5ZwAAe297b3tve297b3tve297b3tvem97b3tve296b3tve297b3pve297b5xze2+bc3tvem9aa3tvem97b1pre29aa3tvWmt7b1prem9aa3tvem97b3pve296b3tvWmt7b3tvfG9ba3tvWmt7b1prem9Za3tvWmtbazpnO2f5Xo81bjGvOfhefG96b3pvWWt6b3prfG86Z/lejzFMJY4tGV98b3xve2+cc3tve297b3tve297b1pre297b3tve297b3tve29aa3tvWmt6b1lrWmtaa1pre286ZxljllKnFI81NEZcbztnuFbKHMocLSlVThtnnXNba3tvem9aa1trW28aY1dOcC2wNTtne2+cc3trW2s7Z9lakDUtJbA5O2d8b1pre29aa3tvWmt7b3tve29aa3tvWmt7b1pre297b3tve297b1prWmtaa3tve297bzpnOmdba1trGWM7a1tr11rRPS0l80H6Xn5vvnd8b3tre297b3pre29aa1trWmtba1tre297b3tvW2t7b1trW287Z/liOmd8b/heEUJLKUspbC2uNRJCtlb4XltrfG+cc1tre29aa1prWWtaa1lrWmtZa1prWmtaa1prWms5Z1prWmtaazlnWms5Z1prOWdaazlnWmtaa1prWmtaazlnWmtaa1prAAB7b3tvem97b3tve296b3tvem97b1pre296b3tvWmt7b3pve296b3tve2+bc3pve29aa3pvWmt6b1prem9aa1prWmt6b1prWmtaa3pvWmt7b3tve29aa3pvWmt7b1pre297b3tvWmtaa1prWmtZa1lrWmtaa1prW2s6ZxpjbS0KJW0xdE46a3tvWWt6b1lre29ba1xr+l7yPSshjjHYVnxre297b3tve297b3tve297b3tve29aa3tvWmt7b1pre29aa3tvWmtaa1prWmtaa1prW2t7bzpnGmO4WgshTS3yQVxrO2vYWk0tqBhuLTNGGmN8b3tvWmt7b1pre29baztnmFaRMU4tt1Z8b3tvWmt7bztnG2MTQiwlTSm3Vnxve29aa1prWmtaa1pre29aa1prWmtaa1prWmtaa3tvWmtaazlnem9aa1prGGM5Z1prnHN7b3xvWms6ZzpnW2v4XpdWbzGRMRVGPGd+b3xvWmt7b3prem9aa3prWmtba1trW2taa1lrOGd7b5xznHNbazpnW2s6ZxljOmc6Z/deEUKNMQohKyVLKc85lVJba1trOmdaa1prOWdaa1lrWmtZZ1lrWWtaazlnWms5Z1prOWdaazlnWms5Z1prOWdaazlnWms5Z1prOWdaazlnWms5Z1prOWcAAJtze297b3tvm3N7b3tve297b3tve296b3tve297b3pve297b3tve2+cc3tve29aa3tvem97b1pre29aa3pvWmt7b1prem9aa3tvWmt7b3pvm3N7b3tvWmt7b3pve297b5xze297b1pre29aa1prOWd7b1pre29ba1trGWNsLccYTCnPOTlnWmtZa5tzemt7b3xrfGs8ZzRGLCWOMdhWXGucc3tve297b3tve297b3tvnHN7b3tvWmt7b3tve29aa3tvem97b1prem9aa1prWmt8bzpnXG8aY9leTi1NKfJBfW86ZxpjrzXJHI8xVEoaZ51zWmt7b3tve297b3xvO2f7YrE1bi1USp1zWmd7b3trXGsaY5dSLCVNKTRGfW98b3tvWmtaa1pre297b3tvWmt7b1prWmtaa3tvWmt7b1pre29aa1prWmt7b3tvWms6Z3tvWmtba1trW2s5ZzpnO2c2SnAtsTm5Wl1rXGt8b3pve296a3tvWmt7b1trfG9ca3tvem+bc3tve285Z1pre297b1trWms5ZzpnGWcZY/hedVLxPW0xjjGVUltvnXM5Z3tvWmtaa1lrem9Za1lrOWdaa1prWmtaa1prWmtaazlnWms5Z1prOWdaa1prWms5Z1prWmtaazlnWmtaa1prWmtaawAAWmt7b1pre29aa3tvem97b1pre296b3tvWmt7b1pre29aa3tvem97b3tve296b3tvWmt7b1pre29aa3tvem97bzlnWmtaa3tvWmt7b1prem9aa3pvWmt6b1prem9aa3tve298b3tve29aa1prWWtaa1prWms6Z1trOme2Wq41xxgqJVNKWmubc1lrem96b3tvfG98a/lel1IsJY4t8T2db3tve297b3tve297b3tve297b3tvWmtaa1pre29aa3tvWmt6b1prWmtZa1prWmt7bzpnW2s7Zztn+V7ROeoc8T23Vp1zO2cSRukcKyWWUn1ze297b3pve29aa3tvW2tcbxtj80ELIRFCnXNaa1pre286Zxpj2FqwOQslsDU8a55zW2t7b1pre29aa1prWmt7b1pre29aa3tvWmt7b1pre29Za1prWmt6a1lrWmtaa3tvWmtaa1prWmtaa1trOmc7Zxxj9D0uKbA12V5ca3xvWmtaa1prWmt7b1trW2tba3xvWmt6b3pvem9Za1prOWdaa1pre29aa1trOmc6ZzlnOmcZY/li+F4aYzpnW2taa1prWmtaa1lrWmtZZ1lrWWtaa1lrWms5Z1prOWdaazlnWms5Z1prOWdaazlnWms5Z1prOWdaazlnWms5Z1prOWdaazlnAAB7b3tve297b3tvem97b3tve296b3tve297b3pve296b3tvem97b3tve297b3tvem97b3pve296b3tvem97b3tve29aa3tvem97b1pre29aa3tvWmt7b1pre29aa3tve298b3tvfG97b3tvWmt6b1prWmtaa1prWmtbaxljtlYyRrZWOme9d5tzeWtZa3pvWmudb1xrGmOXUk0pbi0SPn1vnG97b5xze2+cc3tvnHN7b5xze297b1pre29aa3tvWmt7b1prem9aa1prWmt7b1prfG9ba1trO2caY9E9CyHQOfhefG86ZxJCLClNLbdWfG98b3tve296b3tvWmt7b1xrPGdWTiwpbS34XltrnXNaa3xvO2caY9E9TSmPMftifnN8b1pre29aa3tvWmt7b1pre29aa3tve297b1pre29aa1prWmt6b1prWmtaa3pvWmt7b1prWmtaa3tvWmtaazpn+166WrI5jzGvNRpjfG97b3tre298b1pre2t7b3xvWmt7b3pvm296b3pvWWtaa1lrem9aa3tvWmt7b1prW2s6aztnGmc6ZzpnW2tba1trWmtba1prWmtZa1prWWt6a1lrWmtaa1prOWdaazlnWmtaa1prOWdaa1prWms5Z1prWmtaazlnWmtaa1prOWdaazlnWmsAAHtvm3N7b3tvem97b3pve29aa3tvWmt7b3pve29aa3tvWmt7b1pre296b3tvWmt7b3pve29aa3pvWmt7b1pre296b3tvWmt6b1prWmtaa1prWmt6b1prem9aa3tvWmt7b1tre29aa3tvWmt7b1pre29aa3tvWms6ZzlnOmcZYzlne2+cc3tvem9Ya3lrWWt7b3xrfGv6XrhWTSluLdE5fW97b3tve297b3tve297b3tve297b1prWmtaa3tvWmtaa1prWmtZa1prWWtaa1lrWmtaa1trOmc7ZxpjEkLqII4x1lp8b1tr2F5UTpZSO2udd3tve29aa3pvWmtaa1prW2s7Z7haTCkrJVNKfG+cb1prW2t8b/le8kFNKU4pVkp+b1tre29aa3tvWmt7b1prWmtaa1prWmt7b1pre29aa1prWWtaa1prWmtZa1prWmtaa1prWmtaa1prWmtaazlnOmsaYxxnuVosJU0p8T07Z3xvW2t7b1tre2tba3tvW2tba1pre29aa3tvWWtaa1lnWWtZa3pvWmt7b1tre29ba1tvW2tbaztnW2s6Z1trOmdaa1prWms5Z1lrWWtaa1lrWmtZa1prOWdaazlnWms5Z1prOWdaazlnWms5Z1prOWdaazlnWms5Z1prOWdaazlnWms5ZwAAnHN7b3tve297b3tve296b3tve297b3tve297b3tvem97b3pve296b3tve297b3pve297b3tvWmt7b3pve296b3tve297b1prem9aa3tvWmt7b1pre29aa3tvem97b3pve297b3tvWmt7b1pre29aa3tve297b1prOWcYYzlnOWd8b1prWmtZa3pveWt6b3tvfG9caztj2VqOLW4t0Tlca5xze297b3tvnHN7b3tve2+cc3tve29aa3tvWmt7b1pre29aa1prWmtaa1lrWmtZa1prOmdbazprW2tUSkwtbTHXWlprW2s6ZxpnGmN9c3tve296b3pvWmt6b1prW2s7a1xr2FpuLWwtU0p7b3tvWmt7a3tvOmczRrA1LSX0PX9zfG97b3tvWmt7b1pre29aa1prWmt7b1pre29aa1prWmtaa1pre29aa1prWmtaa1pre29aa3tvWmt7b1prWms6a1xrPGvZXlRKbS1uMVRKXGudcztnW2t8b5xzOmdaa3tve297b3tvWmt6b1premtZa3pvWmt7b1trfG97b3xvW2t8b1trfG9ba1trOmtba1prW2taa1prWWtaa1prWmtaa1prWmtaa1prWmtaa1prWmtaa1prWmtaa1prWmtaa1prWmtaa1prOWdaa1prWms5Z1prAAB6b3tvem97b1prem9aa3tvWmt7b3pve296b3tvem97b1pre29aa3tvWmt7b1pre296b3tvem97b1prem9aa3tvWmt6b1prem9aa3pvem97b1prem9aa3pvWmt6b1pre297b3tve297b1prWmtaa1trWmtaa1pre29aa1prWmt7b1tvW2taa3pveW95b1lre29ba1xrG2P6Xm4tbi2wNX1re297b3tve297b3tve297b3tve29aa1prWmtaa1prWmtaa1prWmtaa1lrWWtZa1lrWmtaa1prW2tba9heEkZTSjlne285ZzpnGWMaZ1xrW2taa3pvWWt6b1lrWms6a1trO2f5Xo41TCnwPVtrW2t7b1pre286Z5ZS0TlvLbI5n3dca3tvWmt7b1prWmtaa3tvWmtaa1prWmtaa1prWmtaa1prWmtaa1prWmtaa1pre29aa1prWmt7b1prWmtaa1prW2s6Z/heGmcSQm0tbS11TjtnXGt8b3xvWmtaa1prem9ba3tvWmt7b1prem9Za1prWWt6a1pre29ba1trW2tca1prW2tba1trOmdaazprW2s6Z1prOmdaazlnWmtaa1prWmtaa1prWms5Z1prOWdaazlnWmtaa1prOWdaa1prWms5Z1prOWdaazlnWms5Z1prOWcAAHtvem97b3pve296b3tve297b3tvm3N7b3tve297b3tve296b3tvWmt7b1pre297b3tve297b3pve29aa3tvem97b1pre29aa3tvem97b3tve29aa3tvWmt7b1pre297b3tve297b3tve29aa3tvWmt7b1prWmtaa3tvemt7b3tvfG9bb3tvem96b1lrem97b3trXGtcZxtjjzFNKdE5XGucb3tvnHN7b3tve297b3tve29aa3tvWmt7b1pre29aa1trWmt7b1prem9Za1prWWt7b1lrWms5Z1prOmf4Yjpne2+bc1trW298b1trnXNba3tvem96b1lrem9aa1trW2tbaztnM0YKIa81Omecc3tvemtaa1tr11oTQpExsjV/b3xvWmt7b1pre29aa3tvWmtaa1pre29aa3tvWmt7b1prW2taa3tvWmtba1pre29ba1trWmt7b1pre29aa3tvWmt6bxhjnG8ZYxpjrzWPMU0pt1Zca793W2s5Z5tvm3M4Y3tvW2t7b3tve296b3pvWWt6b1pre29ba3tvW2tca1trW2taa1trWmtba1prW2taa1prOmdaa1prWmtaa1trWmtaa1pre29aa1prWmtaa1prWmtaa1prWmtaa1prWmtaa1prWmtaa1prWms5Z1prWmtaawAAWmt7b1pre296b3tvem97b3pve296b3tve297b3pve296b3tvWmt6b1pre29aa3tve297b1pre29aa3pvWmt6b1pre29aa3tvem97b1pre29aa3pvWmt6b1pre29aa3tvem97b1pre29ba3tvWmtba3tvWms5Z1prWmtaazlnWmtaa3tvWmtZa1lreW96a3tvW2t8azxnG2NvLU0psDF9a3xve297b3tve297b1pre29aa1prWmtaa1pre29aa1prWmtba1prem9aa3prWWtZa1lrWWdZazlnGGNaazlnnHMYY1lrOWd8b3xvW2tbazprem96b1lrem9aa1prOmtbaztnW2u3Vq81U0pca3tre29aa1prWmv5XvNBsjlRLR1nXGt7b1pre29aa3tvWmtaa1prWmtaa1prWmtaa1prWmtaa1trWmtba1prW2taa1trWmtba1pre29aa1prWmt6bzhnem8YY5xv2FrZXrA1LSmxObhWO2dbazlne296b1hne297b1pre296b3tvWWtaa1prem9aa3tvW2tbaztrW2taa1prOWc5Z1prW2s6Z1prOmdaazpnOms6Z1trOmtba1prWmtaa1prWmtaazlnWms5Z1prOWdaazlnWms5Z1prWmtaazlnWms5Z1prOWdaa1prAAB7b3pve296b5tze2+cc3tve297b3tve2+bc3tve297b3tvem97b1pre29aa3tvem+bc3tve296b3tvWmt7b1pre297b3tve297b3pvem9aa3tvWmt7b1pre296b3tvem97b1pre29aa3tve297b3tve29aa1prem97b1prWmtaa1tve2+cc3pvem96b3pvOWd7b1xrXGsaY48xTCmwNXxrnHN7b3tve297b3tve29aa3tvWmtaa1pre297b3tvWmt7b1tre29aa3tvWmt6a1lrWWdZZ5xzWmtaa1prOmdaa5xze29aa1trW2s6Z3xve297b3pvem96a3tvWmtba1prW2saY1trtlZca3xvWmt6a5xzWmt8bxljM0bSOZAx+l58b3tve29aa3tvWmt7b1pre29aa3tvWmt7b1pre29aa1trW2t7b1prW2taa1trWmtba1pre29ba3tvWmt7b1premtZZ1prGGN8bxpjl1KQNS0psTm4VlxvnXM5Z1lrmm97b1tve29aa3tve296b1lrem9aa3tvW2t8b1trfG9ba3tvWms5ZzlnWmtaa1prOWdaazpnWms6Z1trWmtba1prW2taa3tvWmt7b1prWms5Z1prOWdaazlnWms5Z1prOWdaa1prWmtaa1prWmtaa1prWmsAAHpve296b3tvem97b3tve29aa3tve2+bc3pve296b3tvWmt7b1pre29aa3tve297b1pre297b3tve297b3tve297b3tve297b3tve297b3tvWmtaa1prWmtaa3tvWmtaa3tve297b3tvWmt7b3tve29aa3tve297b1prWmtaa3tvWmt7b1prem9aa1prWmt7b1prW2tbaxljzznoHK41OWd7b3tve297b3tve29aa3tvWmt7b1pre29aa3tvWmt7b1pre29aa3tvWmtaazlnWWs4Z1prWmtaazlne297b1prWmtaa1prW2taa1trWmtaa1prem9aa3tvWmt7b1tre286ZzpnGWdaa1trfG9ba1prWmucczlnOmfXWo4xTCn5XlprWmtaa3tvWmtaa1prWms5Z1prWmt7b1pre29aa1prWmtaa1pre29aa3tvWmt7b1pre297b3tvWmtaa1pre285Z1prWmtaazpnO2v5XrlayxwuKU4tG2Ndb1trWmt7b1pre29aa3tvWmtaa1prWmtZa1prWmtaa1prWmtaa1trWmtaa1prWmtaa1prWmtaazlnWms6Z1prOmdaa1prWmtaa1prWmtaazlnWmtaa1prWmtaazlnWms5Z1prWmtaazlnWmtaa1prOWdaa1prWms5ZwAAe297b3tve297b3tvm3N7b3tve2+cc3tvm3N7b3tve297b3tve297b3tve297b3tve297b3tve297b3tve297b3tve297b3tve297b5xze297b1pre29aa3tve297b3tvnHN7b3tve297b3tve297b1prWmucc3tvnHN7b3tve297b1pre29aa3tvWmt7b3tve29aa1prGGO1VlJK1lp7b3tve297b3tve297b3tvWmt7b1pre297b3tvWmt7b3tve29aa3tve297b1prWmtaa1prWmt7b1prWmt7b5xzWmt7b1pre29aa3tvWmt7b1pre29aa3tvWmt7b1pre29aa1prOWdaa1pre297b3tvWmt7b5xze29aa1prc05zTntve29aa3tvWmt7b1pre29aa1prWmt7b3tve29aa3tvWmtaa1pre29aa3tvWmt7b1prWmtaa3tvWmt7b1prWmtaa1prWmtaa1prW2tbaztn2V7SPesgsTnSPV1rfW98b1pre29aa3tvWmt7b1pre29aa1prWmt7b1prWmtaa3tvWmtaa1prWmtaa1prWmtaa1prWmtaa1prWmtaa1prWmtaa1prWmtaa1prWmtaa3tvWmtaa1prWmtaa1prWmtaa1prWmtaa1prWmtaa1prWmtaa1prAAB6b3tvem97b3tve297b3tve2+bc3tvm3N7b3tvem97b3tve29aa3tvWmt7b1pre29aa3tvWmt7b3tve297b3tvWmt7b1pre297b3tve297b3tve29aa3tvWmt7b1pre297b3tve297b1pre29aa3tvOWd7b3tvnHOcc5xzWmt7b1pre29aa3tvWmtaa1pre297b3tvOWc5ZxhjWmt7b3tve297b1pre297b3tvWmt7b1pre29aa3tvWmt7b1pre29aa3tvWmt7b1prWms5Z1prWmt7b1prWmtaa3tve29aa1prWmtaa1prWmtaa1prWmtaa3tvWmtaa1prWmtaa1prWmtaazlnWmtaa1prWmt7bzlne29aa1prWms5ZzlnnHNaa3tvWmtaa1prWmtaa3tvWmtaa1pre29aa3tvWmtaa1prWmtaa1prWmt7b1prWmtaa1prWmtaa1prWms5Z1prOWdaa1lrWmtaa3tvO2cbZ5hW0j1OLW8tNEqdc1tre29aa3tvWmtaa1pre29aa1prWmtaa1prWmtaa1prWmtaa1prWmtaa1prWmtaa1prWms5Z1prOWdaazlnWms5Z1prWmtaazlnWmtaa1prWmtaa1prWms5Z1prOWdaazlnWmtaa1prOWdaa1prWms5Z1prWmsAAHtve297b3tvm3N7b5tze2+bc3tvnHN7b5tze297b3tve297b3tvWmt7b3tve297b3tve297b3tve297b3tve297b3tve297b3tve2+cc3tve297b3tvWmtaa1pre297b5xze297b3tve29aa3tvWmtaa3tvnHOcc5xze297b1pre297b3tvWmt7b1pre297b3tve2+cc1prWmtaa3tvWmt7b3tve297b3tve297b1pre297b3tvWmt7b3tve29aa3tve297b1pre29aa1prWmtaa3tve29aa3tve297b1pre29aa3tvWmt7b1pre29aa3tve297b1pre29aa1prWmt7b1pre29aa1prWmt7b3tve29aa3tvWmtaa1pre29aa3tve297b1prWmtaa3tve297b1pre29aa3tvWmt7b1pre29aa3tvWmt7b1pre29aa1prWmt7b1pre29aa1prWmtaa1prWmtZa3tvW2tbaztnG2f6Xm8xbi2PNbdWnHN7b3tvWmt7b1pre29aa3tvWmt7b1prWmtaa3tvWmtaa1pre29aa1prWmtaa1prWmtaa1prWmtaa1prWmtaa1prWmtaa1prWmtaa1prWmtaa1prWmtaa1prOWdaa1prWms5Z1prWmtaa1prWmtaa1prWmtaawAAem97b3pve296b3tve297b1pre297b3tvWmt7b1pre29aa3tvWmt7b1pre297b3tvWmt7b1pre29aa3tve297b1pre29aa3tve297b3tve29aa3tvWmt7b1prWmtaa3tve297b3tve29aa1prWmt7b3tve297b5xze297b1pre29aa3tve297b1prWmtaa3tvWmt7b3tve29aa1pre2+cc1pre29aa3tve297b1pre29aa3tvWmt7b1pre29aa3tvWmt7b1pre29aa1prWmtaa1prWmtaa1prWmtaa1prWmtaa1prWmt7b1prWmtaa3tve297b1pre29aa1prWmtaa1pre29aa1prOWdaa1pre297b1prWmt7bzlnWmtaa1prWmt7b1prWmtaa1prWmt7b1prWmtaa3tvWmtaa1prWmtaa1prWmt7b1prWmtaa1prWmt7b1pre29aa1prWmt7b1prWmtZa1prWWtaazprW2sbZxtnVUpuMdE9U0qcc1lrWmtaa1prWmtaa1prWmt7b1prWmtaa1prWmtaa1prWmtaa1prWmtaa1prWmtaa1prOWdaazlnWms5Z1prOWdaazlnWms5Z1prOWdaa1prWms5Z1prOWdaazlnWms5Z1prOWdaa1prWms5Z1prWmtaazlnAAB7b3tve297b3tve2+bc3tve296b5tze297b1pre296b3tve297b3tve297b3tve297b1pre297b3tve297b3tve297b3tve297b3tve297b3tve2+cc3tve29aa3tve2+cc3tve297b3tvWmt7b1prnHN7b5xze297b1pre297b3tve297b3tve29aa3tve297b1prWmt7b5xze2+cc5xze29aa3tve297b3tve29aa3tvWmt7b3tve29aa3tve297b1pre29aa1prWmt7b1pre29aa3tvWmtaa1prWmtaa1prWmt7b3tvWmtaa3tve297b3tve297b3tvWmt7b1pre297b3tvWmtaa1pre297b3tvWmt7b3tve29aa3tve297b1pre29aa3tvWmt7b3tve29aa3tvWmt7b1pre29aa3tvWmt7b1pre29aa3tvWmt7b1pre297b3tvWmt7b1prem9Za1prWWt6a1lnWmtba1xr+mIbZ1RKllI6Z1lrWmtaa1pre29aa3tvWmt7b1prWmtaa3tvWmtaa1pre29aa3tvWmt7b1prWmtaa1prWmtaazlnWmtaa1prWmtaa1prWms5Z1prWmtaa1prWmtaa1prWmtaa1prWmtaa1prWmtaa1prWmtaa1prWmtaa1prWmsAAHpve296b3tve297b3tve29aa3tve297b3pve29aa3tve297b1pre29aa3tvWmt7b1pre29aa3tvWmt7b1pre297b3tvWmt7b1pre29aa3tvWmt7b3tvnHN7b3tvWmt7b3tve29aa3tvWmt7b1pre297b3tve297b1pre29aa3tvWmt7b1pre29aa3tvWmt7b3tve29aa1pre2+cc1prWmtaa3tvWmt7b3tve29aa3tvWmt7b1pre29aa3tvWmt7b1pre29aa1prWmtaa1prWmtaa3tvWmtaa1prWms5Z1prWmt7b3tve29aa1prWmt7b1pre29aa3tvWmt7b1pre29aa3tvWmt7b1pre29aa3tvOWdaa1prWmtaa3tvWmt7b1pre29aa3tvWmt7b1pre29aa3tvWmtaa1prWmtaa1prWmt7b1pre29aa1prWmtaa1pre29aa3tvWmtaa1prWmtaa1lrWWd5b1lrWWs5Z1tvXGtbaxpnW2v4Xt57OGN6b1lrWmtaa1prWmtaa1prWmtaa1prWmtaa1prWmtaa1prWmtaa1prWmtaa1prOWdaazlnWms5Z1prOWdaazlnWms5Z1prOWdaazlnWms5Z1prWmtaa1prWmtaa1prWmtaa1prWms5Z1prWmtaazlnWms5ZwAAe297b3tve2+bc3tvm3N7b3tve2+cc3tvm3N7b3tve297b3tve29aa3tve297b3tve29aa3tvWmt7b3tve297b5xze297b3tve297b3tvWmtaa3tvnHN7b3tvWmtaa1pre297b3tvWmt7b1pre29aa3tve297b3tve297b3tvWmt7b3tve297b3tvWmt7b3tvWmt7b5xze297b5xznHNaa3tvWmt7b1pre297b3tvWmt7b3tve29aa3tve297b1pre29aa3tvWmtaa1pre29aa3tve297b1pre29aa1prWmtaa3tve297b3tvWmt7b3tve29aa3tvWmt7b1pre29aa3tve297b3tve297b3tvWmtaa5xze285Z1pre29aazlne29aa3tve297b3tve29aa3tvWmt7b1pre29aa3tvWmt7b1pre29aa3tvWmtaa1prWmtaa3tvWmt7b1prWmtaa1prWWtZa3lvem9Za3pre29ba1xvO2s6Z3xv916bc1lrWmtaa1prWmt7b1pre29aa3tvWmtaa1pre29aa1prWmt7b1pre29aa1prWmtaazlnWms5Z1prOWdaa1prWms5Z1prWmtaazlnWmtaa1prWmtaa1pre29aa3tvWmtaa1prWmtaa1prWmtaa1prWmtaa1prAAB7b3tve297b3pve297b3tve297b3tve296b3tve2+bc1pre29aa3tvWmt7b1pre297b3tvWmt7b3tve29aa1prWmt7b3tve29aa3tvWmt7b1pre29aa3tvWmt7b1pre29aa1prWmtaa1pre297b3tve297b3tve297b3tvWmt7b1pre29aa3tvWmt7b1pre29aa3tvWmt7b1pre297b3tvWmt7b1pre29aa3tvWmt7b1prWmtaa3tvWmt7b1pre29aa3tvWmt7b1prWmtaa3tvWmtaa1pre29aa1prWmtaa1pre297b3tvWmtaa1pre29aa3tvWmt7b1pre29aa3tvWmtaa1prWmtaa1prWmt7b1prWmtaa1prOWdaa1pre29aa3tve297b1pre29aa1prWmt7b1prWmtaa1prWmt7b1pre29aa3tvWmtaa1prWmtaa1prWmtaa1prWmtaa1prOWdaa1lreWtYa1lrWWtaa1prW2s7Z1trWmtaa1lrem9aa3tvWmtaazlnWmtaa1prWmtaa1prWmtaa1prWmtaa1prWmtaa1prOWdaazlnWms5ZzlnOWdaazlnWmtaa1prOWdaazlnOWc5Z1prWmtaa1prWmtaa1prWmtaa1prWms5Z1prWmtaazlnWmtaa1prOWcAAJtze2+bc3tve297b5xze2+bc3tvm3N7b3tve2+bc3tve297b3tve297b3tve297b3tve297b1pre29aa3tvWmt7b3tve297b3tve297b1pre297b3tve297b1pre29aa3tvWmtaa1pre297b3tve297b3tve297b3tve297b3tve297b3tve297b3tve297b3tvWmt7b3tve297b3tve297b1pre297b3tve297b1pre29aa3tvWmt7b1pre297b3tvWmt7b1pre29aa3tvWmt7b1pre29aa3tvWmt7b1pre297b5xze29aa1pre297b3tvWmt7b1pre29aa3tvWmtaa1pre29aa3tvWmt7b1prWmtaa3tvWmtaa1pre29aa3tve297b1prWmtaa3tvWmt7b1pre29aa1prWmt7b1pre29aa3tvWmt7b1pre29aa3tvWmt7b1prWmtaa1prWmtaa1prem9Za3lrWWt6a1lre29ba1trWmtba1prem9Za3pvWmt7b1prWmtaa1prWmt7b1pre29aa3tvWmt7b1prWmtaa1prWmtaa1prWmtaa1prOWdaa1prWmtaa1prWmtaa1prWms5Z1prOWdaa1prWmtaa1prWmtaa1prWmtaa1prWmtaa1prWmtaa1prWmtaawAAem97b3pve297b3tve2+bc3tve297b3tve297b3tve29aa3tvWmt7b1pre29aa3tve297b1pre29aa3tvWmt7b1pre29aa3tve297b1pre297b3tve297b3tve29aa3tvWmt7b1prWmtaa3tvWmt7b3tve297b3tve297b1pre297b3tvWmt7b1pre29aa1prWmt7b1pre297b3tvWmt7b1pre29aa3tve297b1pre29aa3tvWmt7b1pre29aa3tvWmt7b1prWmtaa3tvWmt7b3tve29aa1prWmtaa1prWmtaa3tvWmt7b1prWmtaa3tvWmtaa1prWmtaa1prWmtaa1prWmtaa1prWmt7b1prWmtaa1prWmtaa1prWmtaa3tve297b1prWmtaa3tvWmtaa1prWmtaa1prWmtaa1prWmtaa3tvWmtaa1prWmtaa1prWmt7b1prWmtaa1prWmtaa1prWmtZa1lrWWt5a1hrWmtaa1trOmdaa1premtZa1lrWWtaa1prWmtaa1prWmtaa1pre29aa1prWmt7b1prWmtaa1prOWdaazlnWms5Z1prOWdaazlnWmtaa1prOWdaazlnWms5ZzlnOWdaazlnWmtaa1prOWdaa1prWms5Z1prWmtaazlnWmtaa1prOWdaazlnAAB7b3tve296b5tze2+cc3tvm3N7b5tze2+cc3tvm3N7b3tve297b3tve297b3tve2+cc3tve297b5xze2+cc3tve297b3tve297b3tve29aa3tve297b3tve297b3tve297b3tve29aa3tve297b1pre297b3tve297b3tve29aa3tve297b3tve29aa3tvWmt7b1pre297b3tve297b1pre297b3tve297b3tve297b3tvWmt7b1pre29aa3tvWmt7b1pre29aa3tvWmt7b3tvnHN7b3tvWmt7b1pre29aa1prWmt7b1pre29aa3tvWmt7b1prWmtaa3tvWmtaa1pre29aa3tvWmt7b1pre29aa1prWmtaa1prWmtaa3tve297b3tve29aa3tve297bzlnWmtaa1prWmt7b1prWmtaa3tvWmt7b1pre29aa3tvWmt7b1pre29aa3tvWmtaa1prW2taa1prWWt5b1lreWtZa3tvW2tba1pre29aa1lrWWtaa1prWmtaa3tvWmtaa1pre29aa3tvWmt7b1pre29aa3tvWmtaa1prWmtaa1prWmtaa1prWmtaa1prWmtaa1prWmtaa1prOWdaa1prWmtaa1prWmtaa1prWmtaa1prWmtaa1prWmtaa1prWmtaa1prWmsAAFpre29aa3tvem97b3tvnHN6b3tve2+bc3tve297b3tvWmt7b1pre29aa3tvWmt7b1pre297b5xznHOcc3tve29aa3tvWmt7b1pre29aa3tve297b3tve297b3tvWmt7b1pre29aa3tvWmt7b1pre29aa3tvWmt7b1pre29aa3tvWmt7b3tve29aa1prWmtaa1prWmtaa3tvWmt7b1pre29aa3tve297b1pre29aa3tvWmt7b1pre29aa3tvWmt7b1prWmtaa1prWmt7b1pre297b3tvWmtaa1prWmtaa1prWmtaa1pre29aa1prWmt7b1prWmtaa1prWmtaa1prWmtaa1prWmt7b1prWmtaa1prOWdaa1prWmtaa1prWmt7b1pre29aa1prWmt7b1prOWc5Z1prWmtaa1prWmtaa1prWmtaa1prWmtaa1prWmt7b1pre29aa3tvWmtaa1prW2taa1trWmt6a1lreWtZa1prWmtba1prW2taa1prWWtZazlnWmtaa1prWmtaa1prWmtaa1prWmtaa1prWmtaa1prWmtaa1prWms5Z1prOWdaazlnWmtaa1prWmtaa1prWms5Z1prOWdaazlnWmtaa1prOWdaa1prWms5Z1prWmtaazlnWmtaa1prOWdaa1prWms5ZwAAe296b3tve297b3tvm3N7b3tve2+cc3tvnHN7b5tze297b3tve297b3tve297b3tve29aa3tve2+cc3tve29aa3tvWmt7b3tve297b3tve297b3tve297b3tve297b3tve297b3tve297b1pre297b3tvWmt7b3tve297b3tve297b3tve297b3tvWmt7b1pre29aa3tve297b1pre297b3tvWmt7b3tve29aa3tvWmt7b1pre29aa3tvWmt7b1pre29aa3tvWmt7b1pre297b3tvWmt7b1prWmtaa3tvWmt7b1pre29aa3tvWmt7b1pre29aa3tvWmt7b1pre29aa3tvWmt7b1pre29aa3tvWmtaa1pre29aa1prWmt7b3tve29aa3tvWmt7b3tvWmsYY1prWmt7b1pre29aa3tvWmt7b1pre29aa3tvWmt7b1pre29aa3tvWmt7b1pre29aa1trW2t7b1prem9Za3pvWWt7b1prW2tba3tvWmt6a1lrWmtaa1prWmtaa1prWmtaa1prWmt7b1prWmtaa3tvWmtaa1prWmtaa1prWmtaa1prWmtaa1prWmtaa1prWmtaa1prOWdaa1prWmtaa1prWmtaa1prWmtaa1prWmtaa1prWmtaa1prWmtaa1prWmtaa1prAAB6b3tvWmt7b3pve296b3tvem97b3tvm3N7b5tzem97b1pre29aa3tvWmt7b1pre29aa3tvWmt7b3tve297b3tvWmt7b1pre297b3tvWmt7b1pre29aa3tvWmt7b1prWmtaa3tve297b1pre29aa3tvWmt7b1pre29aa3tvWmt7b1pre29aa3tvWmt7b1prWmtaa3tvWmt7b1pre29aa3tvWmt7b1pre29aa3tvWmtaa1pre29aa3tvWmt7b1prWmtaa3tvWmtaa1pre29aa3tvWmtaazlnWmtaa1prWmtaa1pre29aa1prWmtaa1prWmtaa3tvWmtaa1pre29aa1prWmt7b1prWmtaa1prWmtaa1prWmtaa1prWmtaa1pre29aa3tvWmtaa1pre285ZxhjWmtaa1pre297b3tvWmt7b1prWmtaa1prWmt7b1pre29aa3tvWmt7b1pre29aa1trW2tca1prWmtZa3lvWWtaa1prW2s6a1trWmt6b1lrWWs5Z1prOWdaazlnWmtaa1prWmtaa1prWmtaa1prWmtaa1prWms5Z1prOWdaazlnWmtaa1prWmtaa1prWms5Z1prOWdaazlnWms5Z1prOWdaazlnWms5Z1prOWdaazlnWmtaa1prOWdaa1prWms5Z1prOWcAAJtze297b3pve297b3tve297b3tvm3N7b5xze297b3pve297b3tve297b3tve297b5xze297b1pre297b5xze297b1pre297b3tve297b3tve297b3tve297b1pre29aa3tve2+cc3tve29aa3tvWmt7b1pre297b3tve297b3tve29aa3tvWmt7b3tve29aa3tvWmt7b1pre297b3tvWmt7b1pre29aa3tvWmt7b1pre297b3tvWmt7b1pre29aa3tve297b1pre29aa3tvWmtaa1prWmtaa3tvWmtaa1pre29aa3tvWmt7b1prWms5Z3tvWmt7b1pre29aa3tvWmt7b1pre29aa3tvWmtaa1pre29aa3tvWmtaa1prWmtaa3tvWmtaazlne297b1prGGNaa1pre297b5xze297b1pre29aa3tvWmt7b1pre29aa3tve297b1pre29aa3tvWmtbb1tre29aa3pvWWt6b1lrWmtaa1trW2t7b3pvem9Za1prWmtaazlnWmtaa1prWmtaa1prWmtaa1prWmtaa1pre29aa1prWmtaa1prWmtaa1prWmtaa1pre29aa1prWmtaazlnWmtaa1prWmtaa1prWmtaa1prWmtaa1prWmtaa1prWmtaa1prWmtaa1prWmtaawAAe297b3tve29aa3tve297b3tve297b3tve297b3tvnHNaa3tvWmt7b1pre29aa3tvWmt7b3tve297b3tve297b1pre297b3tve297b3tve29aa3tvWmt7b1prWmtaa1prWmt7b3tve297b3tvWmt7b3tve29aa3tvWmt7b3tve29aa1pre297b3tve29aa1prWmtaa1pre29aa3tvWmt7b1prWmtaa1prWmtaa1prWmtaa1prWmt7b1pre29aa3tvWmtaa1pre29aa3tvWmt7bzlnWmtaa3tvWmtaa1prWmtaa1prWmt7b1prWmtaa1prWmtaa1prWmtaa1prWmtaa1prWmtaa3tvWmtaa1prWmtaa1prWmtaa1prWmtaa3tvWmtaa1prWmtaa1prWmt7b1pre29aa3tvWmtaa1prWmtaa1prWmt7b1pre29aa3tvWmt7b1pre29aa1prWmtaa1prW2tba3tvWmt6b1prWmtaa1prOWdaa1pre29aa1prWmtaa1prWmtaa1prWmtaa1prWmtaa1prOWdaazlnWmtaa1prWmtaa1prWmtaa1prOWdaa1pre285Z1prOWdaazlnWms5Z1prOWc5ZzlnWms5Z1prOWdaazlnWms5Z1prWmtaa1prWms5Z1prWmtaa1prAAB7b3tve297b3tve297b3tve297b5xze2+cc3tvnHN7b3tvWmt7b1pre29aa3tve297b3tve297b3tve297b3tve297b3tve297b3tve297b3tve297b3tve29aa3tvWmt7b3tve297b3tve297b1pre297b3tve297b3tve297b1prWmt7b3tve297b3tvWmt7b1pre297b3tve297b3tve29aa3tvWmt7b1pre29aa3tvWmt7b1pre29aa3tve297b1pre297b3tvWmt7b1prWmtaa3tvWmtaa1pre29aa3tvWmt7b1pre29aa3tvWmt7b1pre29aa1prWmtaa1pre29aa3tvWmt7b1pre29aa3tvWmt7b1prWmtaa3tvWmt7b1pre29aa1prWmt7b1pre297b3tve297b1pre29aa1prWmt7b1pre29aa3tve297b1pre29aa3tvWmt7b1pre29aa3tve297b1pre29aa1prWmtaa1pre29aa3tvWmtaa1prWmtaa1prWmtaa1prWmtaa1prWmtaa1prWmtaa1prWmtaa1prWmtaa1prWmtaa1pre29aa1prOWdaa1prWmtaa1prOWdaazlnWms5Z1prWmtaa1prWmtaa1prWmtaa1prWmtaa1prWmtaa1prWmsAAFpre29aa3tve297b3tve297b3tve297b3tve297b3tve297b1pre29aa3tvWmt7b1pre29aa3tvWmt7b1pre297b3tvWmt7b3tve29aa3tvWmt7b1pre297b3tvWmt7b1pre29aa3tvWmt7b1pre297b3tvWmt7b1pre29aa3tvWmt7b1pre297b3tvWmtaa1pre29aa3tvWmt7b1pre29aa1prWmtaa1prWmtaa1prWmt7b1pre29aa3tvWmt7b1pre29aa3tvWmt7b1prWmtaa1prWmtaa1prWmtaa1prWmtaa1prWmtaa3tvWmtaa1pre29aa1prWmtaa1prWmtaa1prWmtaa1pre29aa3tvWmtaa1prWmtaa1prWmtaa1prWmtaa1prWmtaa1prWmtaa3tvWmt7b1pre29aa3tvWmtaa1prWmtaa3tvWmt7b1pre29aa1prWmtaa1prWmtaa3tvWmt7b1pre29aa1prWmtaazlnWmtaa3tvWmtaa1prWmtaa1prWmtaa1prWmtaa1prOWdaazlnWms5Z1prWmtaa1prWmtaa1prWmtaazlnWmtaa1prWmtaazlnWmtaa1prOWdaazlnWms5Z1prOWdaazlnWms5Z1prOWdaa1prWms5Z1prWmtaa1prWmtaawAAe297b3tve297b3tvnHN7b3tve297b3tvnHN7b5xze297b3tve29aa3tve297b3tve29aa3tvWmt7b3tve297b3tve297b3tve297b3tve297b3tve297b5xze297b3tve29aa3tvWmt7b3tve29aa3tve297b3tve297b3tve297b1pre297b3tve297b1pre29aa3tvWmt7b3tve29aa3tvWmt7b1pre29aa3tvWmt7b1pre29aa3tvWmt7b1pre29aa3tvWmt7b1pre29aa3tvWmt7b1pre29aa1prWmt7b1pre29aa3tvWmt7b1pre29aa3tvWmt7b1prWmtaa1prWmtaa1pre29aa3tvWmt7b1prWmtaa3tvWmt7b1pre29aa1prWmt7b1pre29aa3tvWmt7b1pre297b3tve297b1pre29aa3tvWmt7b1pre29aa3tvWmt7b1pre29aa3tvWmt7b1pre29aa1prWmt7b1pre29aa3tvWmtaa1prWmtaa1prWmtaa1prWmtaa3tvWmtaa1prWmtaa1prWmtaa1prWmtaa1prWmtaa1prWmtaa1prWmtaa1prWmtaa1prWmtaazlnWmtaa1prWmtaa1prWmtaa1prWmtaa1prWmtaa1prWmtaa1prWmtaa1prAABaa3tvWmt7b3tve297b5xzWmt7b3tve297b3tve297b3tve297b3tvWmt7b1pre29aa3tvWmt7b1pre29aa3tve297b3tve29aa3tvWmt7b1pre29aa3tve2+cc3tve29aa1prWmt7b1pre29aa3tvWmt7b1pre29aa3tvWmt7b1pre29aa3tvWmt7b1pre29aa1prWmt7b1pre29aa1prWmtaa1prWmtaa1prWmtaa1pre29aa3tvWmt7b1pre29aa1prWmt7b1pre29aa3tvWmt7b1pre29aa1prWmt7b1prWmtaa3tvWmtaa1prWmtaa3tvWmt7b1prWmtaa1prWmtaa1prWmtaa1prWmt7b1prWmtaa1prWmtaa1prWmtaa1prWmtaa1prWmtaa3tvOWdaa1prWmtaa3tvWmt7b1prWmtaa1prWmtaa1pre29aa1prWmtaa1prWmtaa3tvWmtaa1pre29aa1prWmtaa1prWmtaa1prWmtaa1prWmtaa1prWmtaa1prWmtaa1prWmtaa1prWms5Z1prOWdaa1prWmtaa1prWmtaa1prWms5Z1prOWdaazlnWmtaa1prOWdaazlnWms5Z1prOWdaazlnWms5Z1prOWdaazlnWms5Z1prOWdaazlnWmtaa1prOWcAAHtve297b3tve297b5xze297b3tve297b3tve2+cc3tvnHN7b3tve297b1pre297b3tvWmt7b3tve297b3tve297b3tve297b3tvWmt7b1pre29aa3tve2+cc3tvnHN7b3tvWmt7b1pre29aa3tve297b3tve297b3tve297b3tve29aa3tve297b1pre29aa3tvWmt7b1pre29aa3tvWmtaa1pre29aa1prWmt7b1pre29aa3tvWmt7b1pre29aa3tvWmt7b3tve29aa3tvWmt7b3tve29aa1prWmt7b3tve29aa3tvWmt7b1pre29aa3tvWmt7b1pre29aa3tvWmt7b1pre29aa3tvWmt7b1pre29aa1prWmtaa1pre29aa1prWmtaa1prWmtaa3tvWmtaa1prWmtaa3tvWmt7b1pre29aa3tvWmt7b1pre29aa3tvWmt7b1pre29aa3tvWmt7b1pre29aa1prWmt7b1pre29aa3tvWmtaa1prWmtaa1prWmtaa1prWmtaa1prWmtaa1prWmtaa1prWmtaa1prWmtaa1prWmtaa1prWmtaa1prWmtaazlnWmtaa1prWmtaa1prWmtaa1prWmtaa1prWmtaa1prWmtaa1prWmtaa1prWmtaa1prWmtaa1prWmtaawAAe297b1pre297b3tve297b3tve29aa3tve297b3tve297b3tve297b1pre29aa3tvWmt7b1pre297b3tve297b3tve29aa3tvWmt7b1prWmtaa1prWmt7b3tvnHN7b3tve297b1pre29aa3tvWmt7b1pre29aa3tve297b1pre29aa3tvWmt7b1pre29aa3tvWmt7b1pre29aa1prWmtaa1prWmtaa1prWmtaa1prWmtaa3tvWmt7b1pre29aa1prWmt7b1pre29aa3tvWmtaa3tve29aa1prWmtaa1pre29aa1prWmtaa1pre29aa1prWmt7b1pre29aa3tvWmtaa1pre29aa1prWmtaa1prWmtaa1prWmtaa1prWmtaa1prWmtaazlnWmtaa1prWmt7b1prWmtaa1prWmt7b1pre29aa1prWmtaa1prWmtaa1prWmtaa1prWmtaa3tvWmt7b1pre29aa1prWmtaa1prWmtaa1prWmtaa1prWmtaa1prWmtaa1prWmtaa1prWmtaa1prWms5Z1prOWdaazlnWmtaa1prWmtaa1prWmtaa1prWmtaazlnOWdaa1prWmtaazlnWms5Z1prOWdaa1prWms5Z1prOWdaazlnWms5Z1prWmtaazlnWms5Z1prOWdaazlnAAB7b3tve297b3tve297b3tve297b3tve297b3tve297b5xze297b3tve297b3tve297b3tve297b3tve297b3tve297b3tve297b1pre29aa3tvWmtaa1prnHOcc5xze2+cc3tve29aa3tve297b3tve297b3tve297b3tve29aa3tve297b1pre297b3tvWmt7b1pre29aa3tvWmtaa1prWmtaa1prWmtaa1prWmtaa3tve297b1pre29aa3tvWmt7b1pre29aa3tvWmt7b1pre297b3tvWmtaa1pre29aa3tvWmt7b1pre29aa3tvWmt7b3tve29aa3tvWmt7b1pre297b3tvWmt7b1prWmtaa3tvWmtaa1prWmtaa1prWmtaa1prWmtaa1prWmt7b1pre29aa3tvWmt7b1pre29aa3tvWmt7b1pre29aa1prWmt7b1pre29aa3tvWmt7b1pre29aa3tvWmtaa1prWmtaa1prWmt7b1prWmtaa1prWmtaa1prWmtaa1prWmtaa1pre29aa1prWmtaa1prWmtaa1prWmtaa1prWmtaa1prWmt7b1prWms5Z1prWmt7b1prWmtaa1prOWdaa1prWmtaa1prWmtaa1prWmtaa1prWmtaa1prWms5Z1prOWdaazlnWmsAAFpre297b3tve297b3tve29aa3tvWmt7b1pre297b3tve297b3tve297b3tvWmt7b3tve297b3tve2+cc3tve297b3tve297b1pre29aa3tve297b1pre297b5xze297b3tve297b3tvWmt7b1pre29aa3tve297b3tve297b3tvWmt7b1pre29aa3tve297b1pre29aa3tvWmtaa1pre29aa1prOWd7b1prWmtaa3tvWmtaa1prWmtaa1prWmt7b1pre297b3tvWmt7b1pre29aa3tvWmt7b1pre29aa3tvWmt7b1pre29aa1prWmt7b1pre29aa3tvWmtaa1pre29aa3tvWmt7b1prWmtaa3tvWmtaa1prWmtaa1prWmtaa1prWmtaa1prWmtaa1pre29aa1prWmtaa1prWmtaa1prWmtaa1prWmtaa1prWmtaa1prWmtaa1prOWdaa1prWmtaa1prOWdaazlnWmtaa3tvOWdaa1prWmtaa1prWmtaa1prWmtaa1prWmtaa1prWmtaa1prOWdaazlnWmtaa1prWmtaazlnWms5Z1prOWdaazlnWms5Z1prOWdaa1prWms5Z1prWmtaazlnWmtaa1prOWdaazlnWms5Z1prOWdaazlnWms5Z1prOWdaazlnWms5ZwAAe297b5xze2+cc3tvnHN7b3tve297b3tve297b5xze297b3tvnHN7b3tve297b1pre297b3tve2+cc3tvnHN7b3tve297b3tve29aa3tve297b3tve297b5xze2+cc3tvnHN7b5xze297b3tve297b3tvWmt7b3tve297b3tve297b3tve297b3tve297b3tve29aa3tvWmtaa1pre29aa3tvWmtaa1pre29aa1pre29aa1pre29aa3tvWmt7b1pre29aa3tve297b3tve297b3tvWmt7b1pre29aa3tvWmt7b1pre29aa3tvWmt7b1pre29aa3tvWmt7b1pre29aa3tvWmt7b1pre29aa3tvWmtaa1pre29aa1prWmt7b1prWmtaa1prWmtaa1pre29aa1prWmt7b1pre29aa3tvWmtaa1pre29aa1prWmt7b1prWmtaa1prWmtaa1pre29aa1prWmtaa1prWmtaa3tvWmtaa1pre29aa3tvWmt7b1pre29aa3tvWmtaa1pre29aa3tvWmtaa1prWmtaa3tvWmtaa1prWmtaa1prOWdaa1prWms5Z1prWmtaa1prWmtaa1prWmtaa1prWmtaa1prWmtaa1prWmtaa1prOWdaazlnWms5Z1prOWdaazlnWms5Z1prAAB7b3tve297b3tvnHN7b3tve297b3tve297b3tve2+cc3tve297b3tve297b1pre297b3tvWmt7b3tve297b3tve297b1pre29aa3tvWmt7b3tve29aa3tve297b3tve297b3tve297b3tve29aa3tvWmt7b1pre29aa3tvWmt7b1pre29aa3tvWmt7b1pre29aa3tvWmtaa1prWmtaa1prWmtaazlnWmtaa1prWmt7b1prWmtaa1prWmt7b1prWmtaa3tvWmt7b1pre29aa3tvWmt7b1prWmtaa3tvWmtaa1pre29aa1prWmt7b1pre29aa3tvWmtaa1pre29aa3tvWmt7b1prWmtaa1prWmtaa1prWmtaa1prWmtaa1prWmtaa1prWmtaa1prWmtaa1prWmtaa1prWmtaa1prWmtaa1prWmtaa1prWmtaa1prWmtaa1prWmtaa1prWmtaa1prWmtaazlnWmtaa1prWmtaa1prWmtaa1prWmtaa1prWmtaa1prWmtaa1prWmtaa1prWmtaa1prWms5Z1prWmtaa1prWms5Z1prOWdaazlnWms5Z1prOWdaazlnWms5Z1prWmtaazlnWmtaa1prOWdaa1prWms5Z1prOWdaazlnWms5Z1prOWdaazlnWms5ZzlnOWcAAHtve297b3tvnHN7b3tve2+cc3tve297b3tve297b3tve297b3tve297b3tve29aa3tve297b1pre297b3tvWmt7b3tve297b3tve297b3tve297b3tve297b3tve297b3tve297b3tve297b3tvWmt7b1pre29aa3tvWmt7b1pre297b3tvWmt7b3tve29aa3tvWmt7b1pre29aa1prWmt7b1prWmtaa3tvWmtaa1prWmtaa1prWmt7b1pre29aa3tvWmt7b1pre297b3tvWmt7b1pre29aa3tvWmt7b1pre29aa3tvWmt7b1pre29aa3tvWmt7b1pre29aa3tvWmt7b3tve29aa3tvWmtaa1prWmtaa1prWmt7b1pre29aa1prWmtaa1prWmtaa1prWmtaa1pre29aa3tvWmtaa1prWmtaa1prWmt7b1pre29aa1prWmtaa1pre29aa1prWmtaa1prWmtaa1prWmtaa1prWmtaa1prWmt7b1pre29aa1prWmtaa1prWmtaa3tvWmt7b1prWmtaa1prWmt7b1prWmtaa1prOWdaazlnWms5Z1prOWdaazlnWmtaa1prWmtaa1prWmtaa1prWmtaa1prWmtaa1prWmtaa1prWms5Z1prWmtaazlnWms5Z1prOWdaawAAWmt7b1pre297b3tve297b3tve29aa3tvWmt7b1pre29aa3tve297b3tve29aa3tve297b1pre29aa3tvWmt7b1pre29aa3tvWmt7b3tve29aa3tve297b1pre297b3tvWmt7b1pre29aa3tvWmt7b1pre29aa3tvWmtaa1pre29aa3tvWmt7b1pre29aa3tvWmt7b1pre29aa3tvWmtaa1prWmtaa1prWmtaa1prWmtaa1prWmtaa1prWmtaa1prWmtaa1pre29aa3tvWmtaa1prWmtaa1prWmtaa1prWmtaa1prWmtaa1prWmtaa3tvWmt7b1pre29aa3tvWmt7b1pre29aa1prWmtaa1prWmtaa1prWmtaa1prWmtaa1prWmtaa1prWmtaa1prWmtaa1prWmtaa1prWmtaa1prWmtaa1prWmtaa1prWmtaa1prWmtaa1pre29aa1prWmtaazlnWmtaa1prWmtaa1prWms5Z1prWmtaa1prWmtaa1prOWdaa1prWms5Z1prWmt7b1prWmtaa1prWmtaa1prWmtaa1prOWdaazlnWms5Z1prOWdaazlnWms5Z1prWmtaazlnWmtaa1prOWdaa1prWms5Z1prOWdaazlnWms5Z1prOWdaazlnWms5Z1prOWdaazlnAAB7b1pre297b3tve297b3tve297b3tvWmt7b1pre297b3tve297b3tve297b3tve297b3tve297b3tve297b1pre29aa3tve297b3tve297b3tve2+cc3tve29aa3tve297b3tve297b3tvWmt7b3tve29aa3tvWmt7b1pre29aa3tve297b3tve29aa3tvWmt7b3tve297b3tve297b1prWmtaa3tvWmtaa1pre29aa1prWmtaa1prWmtaa3tvWmtaa1pre29aa3tvWmt7b1pre29aa3tvWmt7b1pre29aa1prWmtaa1prWmtaa3tve297b1pre29aa3tvWmt7b3tve29aa3tvWmtaa1prWmtaa1prWmt7b1prWmtaa3tvWmtaa1prWmtaa1prWmtaa1prWmtaa3tvWmt7b1pre29aa1prWmt7b1prWmtaa3tvWmtaa1pre29aa3tvWmt7b1prWmtaa1prWmtaa1pre29aa1prWmt7b1pre29aa3tvWmtaa1pre29aa1prWmt7b3tvWmtaa3tvWmtaa1pre29aa1prWmtaa1prWms5Z1prWmtaazlnWmtaa1prWmtaa1prWmtaa1prWmtaa1prWmtaa1prWmtaa1prWms5Z1prOWdaazlnWms5Z1prOWdaazlnWmsAAFpre29aa3tve297b1pre297b3tvWmt7b1pre29aa3tvWmt7b3tve297b3tvWmt7b3tve29aa3tve297b1pre29aa3tvWmt7b3tve29aa3tvWmt7b3tve29aa3tvWmt7b1pre29aa3tvWmt7b1pre29aa3tvWmt7b1pre29aa1pre297b1pre29aa1prWmtaa1pre29aa3tve297b1prWmtaa3tvWmtaa1pre29aa1prWmtaa1prWmtaa1prWmtaa1prWmtaa1prWmtaa1prWmtaa1prWmtaa1prWmtaa1prWmtaa1prWmtaa3tvWmt7b1pre29aa1prWmt7b1pre29aa3tvWmtaa1prWms5Z1prWmtaa1prWmtaa1prWmtaa1prWmtaa1prWmtaazlnWmtaa1prWmtaa1prWmtaa1prWmtaa1prWmtaa1prWmtaa1prWmtaa3tvWmt7b1prWms5Z1prWmtaa1prWmtaa1prWmtaa1prWmtaa1prWmtaa1pre29aa1prOWdaa1pre29aa1prWmtaa1prWms5Z1prWmtaazlnWms5Z1prOWdaazlnWms5Z1prOWdaazlnWmtaa1prOWdaa1prWms5Z1prWmtaazlnWms5Z1prOWdaazlnWms5Z1prOWdaazlnOWc5ZwAAe297b3tve2+cc3tve297b5xze297b3tve297b3tve297b3tve297b5xze297b3tvnHN7b3tve297b3tve29aa3tve297b3tve297b3tve297b3tvnHN7b3tvWmt7b3tve297b3tvWmt7b3tve297b3tve297b3tve29aa3tvWmt7b3tve29aa3tvWmtaa1pre29aa3tve297b1prWmtaa1pre297b1prWmtaa3tvOWdaa1prWmtaa1prWmtaa1prWmtaa3tvWmt7b1prWmtaa3tvWmtaa1pre29aa1prWmtaa1prWmtaa3tvWmt7b1pre29aa3tvWmt7b1pre297b3tve297b1prWmtaa1prWmtaa1prWmtaa3tvWmt7b1prWmtaa1prWmtaa1prWms5Z1prWmt7b1pre29aa1prWmtaa1prWmtaa3tvWmt7b1prWmtaa3tvWmt7b1prWmtaa1prWmtaa1pre29aa1prWmtaa1prWmtaa3tvWmt7b1prWmtaa3tvWmtaazlnWmtaa1prWmtaa1prWmtaa1prOWdaa1prWms5Z1prOWdaazlnWms5Z1prOWdaa1prWmtaa1prWmtaa1prWmtaa1prWmtaa1prWmtaa1prWmtaazlnWmtaa1prOWdaazlnWms5Z1prAABMAAAAZAAAAAAAAAAAAAAAlAAAAEwAAAAAAAAAAAAAAJUAAABNAAAAKQCqAAAAAAAAAAAAAACAPwAAAAAAAAAAAACAPwAAAAAAAAAAAAAAAAAAAAAAAAAAAAAAAAAAAAAAAAAAIgAAAAwAAAD/////RgAAABwAAAAQAAAARU1GKwJAAAAMAAAAAAAAAA4AAAAUAAAAAAAAABAAAAAUAAAA</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2026-08-13T20:34:11Z</xd:SigningTime>
          <xd:SigningCertificate>
            <xd:Cert>
              <xd:CertDigest>
                <DigestMethod Algorithm="http://www.w3.org/2001/04/xmlenc#sha256"/>
                <DigestValue>Z09FfJIPU49iaJ2dKwd8xo+ZniD7zuLQinbgiUeEqpk=</DigestValue>
              </xd:CertDigest>
              <xd:IssuerSerial>
                <X509IssuerName>C=PY, O=ICPP, OU=Prestador Cualificado de Servicios de Confianza, SERIALNUMBER=RUC 80113823-0, CN=CONFIRMA S.A.</X509IssuerName>
                <X509SerialNumber>6344096911337137794</X509SerialNumber>
              </xd:IssuerSerial>
            </xd:Cert>
          </xd:SigningCertificate>
          <xd:SignaturePolicyIdentifier>
            <xd:SignaturePolicyImplied/>
          </xd:SignaturePolicyIdentifier>
        </xd:SignedSignatureProperties>
      </xd:SignedProperties>
    </xd:QualifyingProperties>
  </Object>
  <Object Id="idValidSigLnImg">AQAAAGwAAAAAAAAAAAAAAKgBAADQAAAAAAAAAAAAAAC/HQAAqw4AACBFTUYAAAEAPBcBAMs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OMAAAAFAAAAMQEAABsAAADjAAAABQAAAE8AAAAXAAAAIQDwAAAAAAAAAAAAAACAPwAAAAAAAAAAAACAPwAAAAAAAAAAAAAAAAAAAAAAAAAAAAAAAAAAAAAAAAAAJQAAAAwAAAAAAACAKAAAAAwAAAABAAAAUgAAAHABAAABAAAA7////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MAAAAFAAAAMgEAABwAAAAlAAAADAAAAAEAAABUAAAAhAAAAOQAAAAFAAAAMAEAABsAAAABAAAAVVWPQSa0j0HkAAAABQAAAAkAAABMAAAAAAAAAAAAAAAAAAAA//////////9gAAAAMQAzAC8AOAAvADIAMAAyADYAAAAJAAAACQAAAAcAAAAJAAAABwAAAAkAAAAJAAAACQAAAAkAAABLAAAAQAAAADAAAAAFAAAAIAAAAAEAAAABAAAAEAAAAAAAAAAAAAAAqQEAANEAAAAAAAAAAAAAAKkBAADR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JAAAAAAAAABQAAAAIQDwAAAAAAAAAAAAAACAPwAAAAAAAAAAAACAPwAAAAAAAAAAAAAAAAAAAAAAAAAAAAAAAAAAAAAAAAAAJQAAAAwAAAAAAACAKAAAAAwAAAADAAAAJwAAABgAAAADAAAAAAAAAAAAAAAAAAAAJQAAAAwAAAADAAAATAAAAGQAAAAAAAAAAAAAAP//////////AAAAACQAAABAAQAAAAAAACEA8AAAAAAAAAAAAAAAgD8AAAAAAAAAAAAAgD8AAAAAAAAAAAAAAAAAAAAAAAAAAAAAAAAAAAAAAAAAACUAAAAMAAAAAAAAgCgAAAAMAAAAAwAAACcAAAAYAAAAAwAAAAAAAAAAAAAAAAAAACUAAAAMAAAAAwAAAEwAAABkAAAAAAAAAAAAAAD//////////0ABAAAkAAAAAAAAAFAAAAAhAPAAAAAAAAAAAAAAAIA/AAAAAAAAAAAAAIA/AAAAAAAAAAAAAAAAAAAAAAAAAAAAAAAAAAAAAAAAAAAlAAAADAAAAAAAAIAoAAAADAAAAAMAAAAnAAAAGAAAAAMAAAAAAAAAAAAAAAAAAAAlAAAADAAAAAMAAABMAAAAZAAAAAAAAAB0AAAAPwEAAHUAAAAAAAAAdAAAAEABAAACAAAAIQDwAAAAAAAAAAAAAACAPwAAAAAAAAAAAACAPwAAAAAAAAAAAAAAAAAAAAAAAAAAAAAAAAAAAAAAAAAAJQAAAAwAAAAAAACAKAAAAAwAAAADAAAAJwAAABgAAAADAAAAAAAAAP///wAAAAAAJQAAAAwAAAADAAAATAAAAGQAAAAAAAAAJAAAAD8BAABzAAAAAAAAACQAAABAAQAAUAAAACEA8AAAAAAAAAAAAAAAgD8AAAAAAAAAAAAAgD8AAAAAAAAAAAAAAAAAAAAAAAAAAAAAAAAAAAAAAAAAACUAAAAMAAAAAAAAgCgAAAAMAAAAAwAAACcAAAAYAAAAAwAAAAAAAAD///8AAAAAACUAAAAMAAAAAwAAAEwAAABkAAAACwAAAEUAAAAnAAAAcwAAAAsAAABFAAAAHQAAAC8AAAAhAPAAAAAAAAAAAAAAAIA/AAAAAAAAAAAAAIA/AAAAAAAAAAAAAAAAAAAAAAAAAAAAAAAAAAAAAAAAAAAlAAAADAAAAAAAAIAoAAAADAAAAAMAAABSAAAAcAEAAAMAAADW////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EUAAAAmAAAAcwAAAAEAAABVVY9BJrSPQQwAAAB0AAAAAQAAAEwAAAAEAAAACwAAAEUAAAAoAAAAdAAAAFAAAABYAAAAGwAAABYAAAAMAAAAAAAAACUAAAAMAAAAAgAAACcAAAAYAAAABAAAAAAAAAD///8AAAAAACUAAAAMAAAABAAAAEwAAABkAAAANgAAACgAAAA0AQAAcwAAADYAAAAoAAAA/wAAAEw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JwAAABgAAAAEAAAAAAAAAP///wAAAAAAJQAAAAwAAAAEAAAATAAAAGQAAAA2AAAAKAAAADQBAABvAAAANgAAACgAAAD/AAAASAAAACEA8AAAAAAAAAAAAAAAgD8AAAAAAAAAAAAAgD8AAAAAAAAAAAAAAAAAAAAAAAAAAAAAAAAAAAAAAAAAACUAAAAMAAAAAAAAgCgAAAAMAAAABAAAACEAAAAIAAAAYgAAAAwAAAABAAAASwAAABAAAAAAAAAABQAAACEAAAAIAAAAHgAAABgAAAAAAAAAAAAAAKkBAADR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CCdtPwAAAAAAAAAAfj9sPwAAWEIAACBCJAAAACQAAAAIJ20/AAAAAAAAAAB+P2w/AABYQgAAIEIEAAAAcwAAAAwAAAAAAAAADQAAABAAAAA2AAAAK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JUAAABNAAAAAAAAACEAAAAIAAAAYgAAAAwAAAABAAAAFQAAAAwAAAAEAAAAFQAAAAwAAAAEAAAAUQAAAHj6AAA2AAAAKAAAAL8AAABuAAAAAAAAAAAAAAAAAAAAAAAAAPkAAACAAAAAUAAAACgAAAB4AAAAAPoAAAAAAAAgAMwAlQAAAE0AAAAoAAAA+QAAAIAAAAABABAAAAAAAAAAAAAAAAAAAAAAAAAAAAAAAAAAOWdaa1pre29aa1prWmt7b1prWmtaa3tvWmt7b1pre297b3tvWmt7b1prWmtaa1prWmt7b1pre29aa1prWmtaa1prWmtaa3tvWmt7b1pre29aa1prWmtaazlnWmtaa1prWmtaa1prWmtaa3tvWmt7b1prWmtaa1prWmtaa1prWmtaa1prOWdaazlnWmtaa1prOWdaa1pre29aa1prWmtaa1pre29aa1prOWdaazlnWmtaa1prWmtaa1prWmtaa1prOWdaazlnWms5Z1prWmtaa1prWmtaa3tvWmtaa1prWms5Z1prWmtaa1prWmtaa1prOWdaa1prWms5Z1prOWdaa1prWms5Z1prOWdaazlnWms5Z1prOWdaazlnWms5Z1prOWdaa1prWmtaa1prOWdaazlnOWc5Z1prOWdaazlnWmtaa1prWmtaa1prWmtaa1prOWdaazlnWms5Z1prOWdaazlnWms5Z1prOWdaazlnWms5Z1prOWdaazlnWmtaa1prOWdaa1prWms5Z1prOWdaa1prWms5Z1prOWc5ZzlnWms5ZzlnOWc5ZzlnOWc5Z1prWms5Zzlne297b3tvOWdaazlnOWc5ZzlnOWc5ZzlnOWc5Z1prWmtaazlnOWc5Z3tvOWdaazlnOWc5ZzlnOWdaaxhjAAB7b1pre297b3tvWmt7b3tve29aa3tve297b1pre29aa3tve297b1prWmtaa3tvWmt7b1pre29aa3tvWmt7b1prWmtaa3tvWmt7b1pre29aa3tvWmtaa1prWmtaa1prWmt7b1pre29aa3tvWmt7b3tve29aa3tvWmtaa1pre29aa1prWmtaa1prWmtaa1prWmtaa1pre29aa3tvWmt7b1pre297b3tvWmtaazlnWmtaa1prWmt7b1pre29aa3tvWmtaazlnWmtaa1prWmtaa1prWmtaa3tvWmt7b1pre29aa1prWmt7b1pre29aa3tvWmtaa1pre29aa1prWmtaa1prWmtaa1prWmtaa1prWmtaa1prOWdaa1prWmtaa1prWmtaa1prWmtaa1prWmtaa1prWms5Z1prOWdaa1prWms5Z1prWmtaa1prWmtaa1prWmtaa1prWmtaa1prWmtaa1prWmtaa1prWmtaa1prWmtaa1prWmtaa1prWmtaa1prWmtaa1prWmtaa1prOWdaa1prWms5Z1prWmtaazlnWmtaa1prOWdaazlnOWc5Z1prWmtaazlnWmt7b3tvWmtaazlnWms5ZzlnOWc5ZzlnWms5Z1prWmt7b1prWms5Z1prWmtaazlnWms5Z1prOWdaazlnWmsAAFpre297b3tvWmt7b1pre29aa3tvWmt7b1pre29aa1prWmt7b1prWmtaa1prWmtaa1pre29aa1prWmtaa1prWmtaa1prWmtaa1prWmtaa1prWmtaa1prWmtaa1prWmtaa1pre29aa1prWmt7b1pre29aa3tvWmtaa1prWmtaa1prWmtaa1prWmtaa1prWmtaa1pre29aa1prWmtaa1prWmtaa3tvWmtaazlnWms5Z1prOWdaa1prWmtaa1prOWdaa1prWms5Z1prWmtaa1prWmtaa1prWmtaa1prWmtaa1prWmtaa1prWmtaa3tvWmt7b1prWmtaa1prWmtaazlnWmtaa1prWmtaa1prWmtaa1prOWdaa1prWmtaa1prWmtaa1prWms5Z1prOWdaazlnWms5Z1prOWdaazlnWms5Z1prWmtaazlnWmtaa1prOWdaazlnWms5Z1prOWdaazlnWms5Z1prOWdaazlnWms5Z1prWmtaa1prWms5Z1prOWdaazlnWms5Z1prOWdaazlnWmtaa1prOWdaazlnOWc5Z1prOWdaazlnOWc5Z1prOWdaazlnWmtaa3tvWmtaazlnWms5ZzlnOWc5ZzlnOWc5ZzlnOWdaazlnWms5ZzlnOWdaazlnWms5ZzlnOWc5ZzlnOWc5ZwAAe29aa3tve297b1pre29aa3tvWmt7b1pre29aa3tvWmtaa1prWmtaa3tvWmt7b1pre29aa3tvWmt7b1pre29aa1prWmtaa1prWmtaa1prWmt7b1prWmtaa1prWmtaa1pre29aa1prWmt7b3tve29aa3tvWmt7b1pre29aa3tvWmt7b1pre29aa3tvWmt7b1pre29aa1prWmtaa1prWmtaa3tvWmt7b1prWmtaa1prWmtaa1prWmtaa3tvWmtaazlne29aa1prWmt7b1pre29aa1prWmtaa1prWmtaa1prWmt7b1pre29aa3tvWmt7b1prWmtaa3tvWmtaa1prWmtaa3tvWmtaa1prWmtaa1prWmtaa1prWmtaa3tvWmtaa1prWmtaa1prOWdaazlnWmtaa1prWmtaazlnWmtaa1prOWdaa1prWmtaa1prWmtaa1prWmtaa1prWmtaa1prWmtaa1prWmtaa1prWmtaa1prWmtaa1prWmtaa1prWmtaazlnWms5Z1prOWdaa1prWmtaa1prWmtaa1prWms5Z1prOWdaa1prWms5Z1prWmtaa1prOWc5Z1prWmtaazlnWms5Z1prOWc5ZzlnWms5Z1prOWdaa1prWms5Z1prOWdaa1prWms5Z1prOWdaazlnWms5Z1prAABaa3tve297b1prWmtaa3tvWmtaa1pre29aa3tvWmt7bzlnWmtaa1prWmtaa1pre29aa1prWmtaa1prWmtaa3tvWmtaa1prWms5Z1prWmtaa1prWmtaa1prOWdaa1prWmtaa1prWmt7b1pre29aa3tvWmtaa1prWmtaa1prWmt7b1prWmtaa1prWmtaa1pre29aa1prWmtaazlnWms5Z1prWmtaa1pre29aa1prWmtaa1prWmtaa1prWmtaazlnWmtaa1prWmtaa1prWmtaa1prOWdaazlnWmtaa1prWmtaa1prWmtaa1prWmtaa1prWms5Z1prWmtaazlnWms5Z1prOWdaazlnWms5Z1prWmtaazlnWms5Z1prOWdaazlnWms5Z1prOWc5ZzlnWmtaa1prWmtaazlnWms5Z1prOWdaazlnWmtaa1prOWdaa1prWms5Z1prOWdaazlnWms5Z1prOWdaazlnWms5Z1prOWdaazlnWms5Z1prOWdaa1prWms5Z1prOWdaazlnWmtaa1prOWdaa1prWms5ZzlnOWdaazlnWms5Z1prOWdaazlnWmsYY1prWmtaazlnOWc5Z1prOWc5ZzlnOWc5ZzlnOWdaazlnWms5Z1prOWc5ZzlnWms5Z1prOWc5ZzlnOWc5Z1prOWcAAHtve2+cc3tve29aa3tve297b1pre297b3tvWmt7b1prWmtaa3tvWmt7b1pre29aa3tvWmt7b1pre29aa3tvWmtaa1pre29aa1prWmtaa1prWmtaa1prWmtaa1pre29aa3tvWmt7b1pre297b3tvWmt7b1pre29aa3tvWmt7b3tve29aa3tvWmt7b1pre29aa1prWmtaa1prWmtaa1prWmtaa1pre29aa1prWmtaa1pre29aa3tvWmtaa1prWmtaa3tvWmt7b1prWmtaa1prWmtaazlnWmtaa1prWmtaa1prWmtaa1prWmtaa1prWmtaa1prWmtaa1prWms5Z1prWmtaazlnWms5Z1prOWdaa1prWmtaa1prWmtaazlnWms5Z1prWmtaa1prWmtaa3tvWmtaa1prWmtaa1prWmtaazlnWmtaa1prWmtaa1prWmtaa1prWmtaa1prWmtaa1prWmtaa1prWmtaa1prWmtaa1prWms5Z1prOWdaa1prWmtaa1prOWdaa1prWmtaa1prWmtaa1pre29aa1prOWdaazlnWmtaa1prWmtaazlnWms5ZzlnWmtaazlnOWc5Z1prOWdaazlnWms5ZzlnOWdaazlnWms5Z1prOWc5ZzlnOWc5Z1prOWdaazlnWms5Z1prOWdaawAAe297b3tve297b3tvWmt7b1pre29aa3tvWmt7b1prWmtaa1prWmt7b1pre29aa1prWmtaa1prWmtaa3tvWmt7b1prWmtaa1prWmtaa1prWmtaa1prOWdaa1prWmtaa1prWmtaa1pre297b3tvWmtaa1pre29aa1prWmt7b1pre29aa1prWmtaa1prWmtaa1prWmtaa1prWmtaa1prWmtaa1prWmtaa3tvWmtaazlnWmt7b3tvWmtaa1prWmtaa1prWmtaa1prWmtaa1prOWdaazlnWms5Z1prWmtaa1prWmtaa1prWmtaa1prWmtaa1prOWdaa1prWmtaa1prOWdaazlnWms5Z1prOWdaa1prWmtaa1prWmtaa1prWms5Z1prOWdaazlnWmtaa1prWmtaa1prWms5Z1prWmtaazlnWms5Z1prOWdaazlnWms5Z1prOWdaazlnWms5Z1prOWdaazlnWms5Z1prOWdaazlnWms5Z1prOWdaazlnWms5Z1prOWdaazlnWms5Z1prOWdaazlne29aa1prOWdaazlnOWc5Z1prOWdaazlnWms5ZzlnOWdaazlnOWc5Z1prOWc5ZzlnWms5ZzlnOWc5ZzlnWms5Z1prOWc5ZzlnOWcYYzlnOWdaazlnOWc5ZzlnOWc5ZzlnAAB7b3tve297b3tvWmt7b1pre29aa3tvWmt7b1pre29aa3tvWmt7b3tve297b3tvWmt7b1pre29aa3tvWmt7b1pre29aa3tvWmt7b1prWmtaa1prWmtaa1prWmtaa3tvWmt7b1pre29aa3tve297b1pre29aa3tvWmt7b1pre297b3tvWmtaa1prWmtaa1prWmtaa1pre297b3tve297b1prWmtaa3tvWmt7b1prWmtaa5xze297b1prWmtaa3tvWmt7b1prWmtaa1prWmtaa1prWmtaa1prWmt7b1pre29aa3tvWmt7b1pre29aa1prWmtaa1prWmtaa1prWmtaa1prWmtaa1prWmtaa1pre29aa3tvWmtaa1pre29aa1prOWdaa1prWmtaa3tvWmt7b1pre29aa1prWmtaa1prWms5Z1prWmtaa1prWmtaa1prWmtaa1prWmtaa1prWmtaa1prWmtaa1prWmtaa1prWmtaa1prWmtaazlnWms5Z1prOWdaa1prWmtaa1prOWdaazlnWmtaa3tvOWdaazlnWms5Z1prOWdaazlnWms5ZzlnOWdaa1prWms5Z1prWmtaazlnWms5Z1prOWdaazlnWms5Z1prOWc5ZzlnOWc5ZzlnOWdaazlnWms5Z1prOWdaazlnOWcAAFprWmtaa3tvWmt7b1pre29aa3tvWmt7b1prWmtaa1prWmtaa1pre29aa1prWmtaa1prWmtaa1prWmtaa1pre29aa1prWmtaa1prWmtaa1prWmtaa1prWmtaa1prWmtaa1prWmtaa3tvWmtaa1prWmtaa1prWmtaa1prWmtaa1prWmtaa1pre29aa1prWmt7b1prWmtaa1prWmtaa1pre29aa1prWmtaa1prWmtaa1prWmtaa1prWmtaa1prWmtaa1prWmtaa1prOWdaazlnWmt7b3tvWmtaazlnWmtaa1prOWdaa1prWmtaa1prWmtaa1prWmtaa1prWmtaa1prWms5Z1prWmtaa1prWms5Z1prOWdaazlnWms5Z1prWmtaazlnWmtaa1prWmtaa1prWms5Z1prOWdaazlnWmtaa1prOWdaazlnWms5Z1prWmtaazlnWms5Z1prWmtaa1prWms5Z1prOWdaazlnWms5Z1prWmtaa1prWms5ZzlnOWc5ZzlnOWc5Z1prOWdaazlnWmtaa1prOWdaazlnWms5Z1prWmtaazlnOWc5Z1prOWdaazlnOWc5ZzlnOWc5ZzlnOWc5ZzlnOWc5ZzlnWms5Z1prOWc5ZzlnOWc5ZzlnOWc5ZzlnOWc5ZzlnOWc5ZzlnOWcYYwAAe29aa3tve297b1pre29aa3tvWmt7b3tve29aa3tvWmt7b1pre29aa3tvWmt7b1prWmtaa3tvWmt7b1pre29aa1prWmt7b1prWmtaa3tvWmtaa1pre29aa1prWmt7b1prWmtaa3tvWmtaa1prWmtaa1prWmtaa1prWmtaa3tvWmt7b1pre29aa3tvWmt7b1pre29aa3tvWmt7b1pre29aa3tvWmt7b1pre29aa3tvWmtaa1pre29aa1prWmt7b1prWmtaa1prWmtaa1prWmtaa3tvWmtaa1prWmtaa3tvWmtaa1prWmtaa1prWmt7b1prWmtaa3tvWmtaa1pre29aa1prWmtaa1prWmtaa1prWmtaazlnWms5Z1prWmtaa1prWms5Z1prWmt7b1pre29aa1prWmtaa1prWmtaa1prWmtaazlnWmtaa1prWmtaa1prWms5Z1prWmtaa1prWmtaa1prOWdaa1prWmtaa1prWmtaa1prWmtaa1prOWdaazlnOWc5Z1prOWdaa1prWmtaa3tvWmtaazlnWms5Z1prWmtaazlnWms5Z1prWmtaazlnWms5Z1prOWdaazlnWms5Z1prOWdaazlnWmtaa1prOWdaazlnWms5Z1prOWdaazlnWms5Z1prOWdaazlnWms5ZzlnAABaa3tvWmt7b1pre29aa1prWmt7b1pre29aa3tvWmt7b1pre29aa3tvWmtaa1prWmtaa1prWmtaa1pre29aa1prWmtaa1prWmtaa1prWmtaa1prWmtaa1prWmtaa1prWmtaa1prWmtaa1prWms5Z1prWmtaa1prWmtaa1prWmtaa1pre29aa1prWmt7b1prWmtaa3tvWmt7b1pre29aa3tvWmt7b1pre29aa3tvWmtaa1prWmtaa1prWmtaa1prWms5Z1prOWdaazlnWms5Z1prOWdaa1prWmtaa1prWmtaa1prWms5Z1prWmtaa1prWmtaa1prWmtaa1prWmtaa1prOWdaa1prWmtaa1prOWdaazlnWms5Z1prOWdaazlnWms5Z1prOWdaa1prWmtaa1prWmtaa1prWmtaa1prOWdaazlnWms5Z1prOWdaazlnWms5Z1prOWdaa1prWmtaa1prOWdaazlnWmtaa1prOWdaazlnWms5Z1prOWdaazlnOWc5ZzlnOWdaazlnWmtaa1prWmt7b1prWms5Z1prOWdaazlnWms5Z1prWmtaazlnWms5Z1prOWc5ZzlnWms5ZzlnOWdaazlnOWc5Z1prOWdaa1prWms5ZzlnOWdaazlnOWc5ZzlnOWc5ZzlnOWc5ZzlnOWcAAHtvWmt7b1pre29aa3tvWmt7b1pre29aa3tve297b1pre29aa3tvWmt7b1prWmtaa3tvWmt7b1pre29aa3tvWmt7b1prWmtaa3tvWmtaa1prWmtaa1prWmt7b1pre29aa1prWmtaa1prWmtaa1prOWdaa1prWmtaa1prWmtaa1pre29aa3tvWmt7b1pre29aa3tve297b3tve29aa3tvWmt7b1pre29aa3tvWmt7b1pre29aa1prWmt7b1prWmtaa1prOWdaazlnWmtaa1prWmtaa1pre29aa3tvWmtaa1prWmtaa1prWmtaa1prWmtaa1prWmtaa1prWmtaa1prWmtaa1prWmtaa3tvWmtaa1prWmtaa1prOWdaa1prWmtaa1prWmtaa1pre29aa1prWmt7b1prWmtaa1prWmtaa1prWmtaa1prWmtaazlnWms5Z1prWmtaa1pre29aa1prOWdaazlnWmtaa1prWmtaa1prWmtaa1prWmtaa1prWms5Z1prOWdaazlnWmtaa1prWmt7b1prWms5Z1prOWdaazlnWms5Z1prWmt7b1prWmtaa1prOWc5ZzlnWms5Z1prOWdaazlnWms5Z1prWmtaazlne29aa1prOWdaazlnWms5Z1prOWdaazlnWms5Z1prOWdaawAAWmtaa1pre29aa3tvWmt7b1prWmtaa3tvWmt7b1pre29aa3tvWmtaa1prWmtaa1prWmtaa1pre29aa1prWmtaa1prWmtaa1prWmtaa1prWmtaa1prWmtaa1prWmtaa1prWmtaa1prWmtaa1prWmtaazlnWmtaa1prWmtaa1prWmtaa1prWmt7b1prWmtaa3tvWmt7b1pre29aa3tvWmt7b1prWmtaa3tvWmtaa1prWmtaa1prWmtaa1prWmtaa1prOWdaazlnWms5Z1prWmtaa1pre297b3tvWmtaa1prWmtaa1prWmtaa1prWmtaa1prWmtaa1prWmtaa1prWmtaazlnWmtaa1prWmtaa1prWmtaa1prWmtaazlnWmtaa1prOWdaa1prWmtaa1prWmtaazlnWmtaa1prWmtaa1prWmtaa1prWmtaazlnWms5ZzlnOWdaazlnWmtaa1prOWdaazlnWms5Z1prOWdaazlnWms5Z1prOWdaazlnWms5Z1prOWc5ZzlnWms5Z1prWmtaa1prWmtaa1prOWdaazlnWms5Z1prWmtaa1prWmtaa1prOWc5ZzlnOWc5Z1prOWdaazlnWms5Z1prOWc5ZzlnWmtaa1prOWdaazlnOWc5ZzlnOWc5ZzlnOWc5ZzlnOWc5ZzlnAAB7b1pre297b3tvWmt7b1pre29aa3tve297b1pre29aa3tvWmt7b1prWmtaa3tvWmt7b1pre29aa3tvWmt7b1prWmtaa3tvWmtaa1pre29aa1prWmt7b1prWmtaa3tvWmt7b1pre29aa3tvWmtaa1prWmtaa1prWmtaa1prWmtaa3tvWmt7b1pre29aa3tvWmt7b1pre29aa3tvWmt7b1prWmtaa3tvWmt7b1pre29aa1prWmt7b1prWmtaa3tvWmtaa1prWmtaa1prWmtaa1prWmt7b5xze297b1prWmtaa1prWmt7b1prWmtaa1prWmtaa1prWmtaa1prWmtaa1prWmtaa3tvWmt7b1prWmtaa1prWmtaa1prWmtaa1prWmtaa1prWmtaa1prWmtaa1prWms5Z1prWmtaa1pre29aa1prWmtaa1prWms5Z1prOWdaa1prWmtaa3tvWmtaazlnWms5Z1prWmtaa1prWmtaa1prOWdaa1prWmtaa1prWmtaazlnWmtaa1prWmtaa1pre29aa1prWmtaazlnWmtaa1prWmtaa1prWms5Z1prWmtaazlnWms5Z1prWmtaazlnWms5Z1prWmtaazlnWmtaa1prWmtaazlnWms5Z1prOWdaazlnWms5Z1prOWdaazlnWmsAAFpre29aa3tvWmt7b1prWmtaa3tvWmt7b1pre29aa1prWmt7b1prWmtaa1prWmtaa1pre29aa1prWmtaa1prWmtaa1prWmtaa1prWmtaa1prWmtaa1prWmtaa1prWmtaa1prWmtaa1prWmtaazlnWms5Z1prOWdaa1prWmtaa1prWmt7b1prWmtaa3tvWmtaa1pre29aa1prWmt7b1pre29aa1prWmtaa1pre29aa1prWmtaa1prWmtaa1prWmtaa1prWmtaa1prWmtaa1prWms5Z1prWmt7b1prWms5Z1prWmtaa1prWmtaa1prOWdaa1prWms5Z1prWmtaazlnWmtaa1prWmtaa1prWmtaa1prWmtaa1prWmtaa1prOWdaa1prWmtaa1prWmtaazlnWms5Z1prOWdaazlnWms5Z1prWmtaazlnWms5Z1prOWdaazlnWms5Z1prWmtaazlnOWc5Z1prOWdaa1prWms5Z1prOWdaazlnWms5Z1prOWdaazlnWms5Z1prWmtaazlnWmtaa1prOWdaazlnWms5Z1prOWdaa1prWms5ZzlnOWdaazlnWms5ZzlnOWdaazlnWms5Z1prOWdaazlnOWc5Z1prWmtaazlnOWc5Z1prOWc5ZzlnOWc5ZzlnOWc5ZzlnOWc5ZwAAe29aa3tvWmt7b1pre29aa3tve297b1pre29aa3tvWmt7b1tre29aa1trWmt7b1pre29aa3tvWmt7b1prWmtaa3tvWmtaa1pre29aa1prWmtaa1prWmtaa3tvWmt7b1prWmtaa1prWmtba1prWms5Z1prWmtaa1prW2taa1trW2t8b1tre29aa3tvWmt6b1prWmtaa1trWmt7b1tre29aa3tvWmt7b1pre29aa3tvWmt7b1prWmtaa3tvWmtaa1pre29aa3tvWmt7b1prWmtaa1lrWWt6b1prWms5Z1prWmt7b1prWmtaa1prWmtaa1prWmtaa1prWmtaa1prWmtaa1prWmt7b1pre29aa1prWmt7b1prWmtaa1prWmtaa1prWmtaa1prWmt7b1prWmtaa1prWmtaazlnWms5Z1prOWdaa1prWmtaa1prWmtaazlnWmtaa1prWmt7b1prWms5Z1prOWdaa1prWmtaa1prWmtaa1prWmtaa1prWmtaazlnWmtaa1prWmtaa1prWmtaa1prWmtaa1prWmtaa1prWmtaa1prWms5ZzlnOWc5ZzlnWms5ZzlnOWdaa1prWms5Z1prWmtaa1prWms5Z1prOWdaazlnOWc5Z1prOWdaazlnWms5Z1prOWdaazlnWms5Z1prAABZa1prWmt6b1prem9aa3tvWmt7b1prem9aa1prWmtaa1trW29ba3tvWmtba1prW2taa3tvWmtaa3pve285Z1prOWdaa1prWmtaa3tvWms5Z1lrWmtaa1prWWtaa1lrWmtaa1prWmtbazpnWms5Z1prOWd6b3tvWms7aztnXW/ZXjRK2V6dc1trWmtZZ3pvem9aa3tvW2t7b1trW29aa3tvWmt7b1prWmtaa1prWmt7b1prWmtaa1prWmtaa1prWmtZa1prOWdaazlnWmtZa3pvWWdZa1lrWmtZa1prWmtaa1prWmtaa1prWmtaa1prWms5Z1prWmtaazlnWmtaa1prWmtaa1prWmtaa1prWmtaa1prWmtaa1prWmtaa1prWmtaa1prWmtaa1prWmtaa1prWmtaa1prWmtaa1prWmtaazlnWms5Z1prOWdaazlnWms5Z1prOWdaa1prWmtaa1prOWdaa1prWmtaa1prWmtaazlnWms5Z1prOWdaazlnWms5ZzlnOWdaazlnWms5Z1prOWdaa1prWmtaa1prOWdaazlnWms5Z1prOWdaazlnWms5Z1prOWdaazlnWms5ZzlnOWc5ZzlnWms5Z1prOWdaazlnOWc5ZzlnOWc5ZzlnWms5ZzlnOWdaazlnOWc5Z1prOWcAAFprWmt6b1pre29aa3tve297b3pve29aa3pvWmt6b1pre29ba3tvW2tbb1tre29aazlnWmt7b1pre29aa1prem97b1pre29aa1prWmt7b1prem9aa3pvWmtaa1lrWmtZa3prWmtba1prW2s6Z1trOWdaazlnWms5Z3xvG2faXm8xLSWxNVxrfG+cc3pvem9Za3tvW2t8b1tre29ba3tvWmt7b1pre29aa3tvWmt7b1prWmtaa3tvWmt7b1pre29aa1prWWtaa1lrWmtZa3pvWmtaa1lrWmtZa1prWmt6b1prWmtaa3tvWmt7b1prWmtaa1prWmtaa1prWmtaa1prWmtaa1pre29aa1prWmt7b1prWmtaa3tvWmtaa1prWmtaa1prWmtaa1prWmtaa1prWmtaa1prWmtaa1prWmtaa1prWms5Z1prOWdaazlnWmtaa1prWmtaa1prWmtaa1prOWdaa1prWmtaa1prWmt7b1prWms5Z1prWmtaa1prWmtaa1prOWdaa1prWmtaa1prOWdaazlnWmtaa1prWmtaazlnWms5Z1prOWdaazlnWmtaa1prOWdaa1prWms5Z1prOWc5ZzlnWmtaa1prWmtaa1prOWc5Z1prOWc5ZzlnWmtaa1prOWdaazlnWms5Z1prOWdaawAAWmtaa1prem9aa3tvWmt7b1pre29aa3pvWmt6b1prWmtaa1tvWmtba1prW2taa1trOmd7b1trW2tba1trOWd7b1prWmtaa3tvWmtaa1pre29aa3pvWmtaa1lrWms5Z1lrWWtaa1prWms6Z1trOmdaa1lrWWs5ZzlnXG87a3ZSqRTrIC0pGmNca1pre29Za3pvWmt7b1trW2tba1tvWmtaa1pre29aa3tvWmt7b1prWmtaa1prWmtaa1prWmtaa1prWWtaazlnWmtZa1prWWtaa1lrWmtZZ1prWWtaa1lrWmtaa1prWmtaa1prWms5Z1prWmtaazlnWmtaa1prOWdaa1prWmtaa1prWmtaa1prWmtaa1prWmtaa1prWms5Z1prWmtaa1prWmtaa1prWmtaa1prWms5Z1prOWdaazlnWms5Z1prOWdaazlnWms5Z1prWmtaazlnWmtaa1prOWdaazlnWms5Z1prWmtaa1prWms5Z1prOWdaazlnWms5Z1prWmtaazlnWmtaa1prOWdaazlnWms5Z1prWmtaazlnWms5Z1prOWdaa1prWms5Z1prOWdaazlnWms5Z1prOWc5ZzlnWms5Z1prOWdaazlnWms5Z1prOWc5ZzlnOWc5Z1prOWdaazlnOWc5Z1prOWc5ZzlnAAB7b1pre29aa3tvem97b3pve296b3tvWmt7b1prem9aa3tvW2t7b1tre29ba1tvW2ucc1trGWP4XltrW29ba1prW2s6Z1tre2+cc1pre297b3tvWmt6b1prWmtZa1prWWt6a1lrWmtaa1trWmtaazlnWmtZa3tvOWdbaztnuFrKGG8xLSlca1trOWd6b3pvm3N7b1tre29ba3tvW2t7b1pre29aa3tvWmt7b1prWmtaa1prWmt7b1pre29aa1prWmtaa1lrWmtZa1prWWtaa1lrWmtZa1prWWtaa1prWmtaa3tvWmt7b1pre29aa1prOWdaa1prWmtaa1prWmtaa1prWmtaa1prWmtaa1prWmtaa1prWmtaa1prWmtaa1prWmtaa1prWmtaa1prWmtaa1prWmtaa1prOWdaa1prWms5Z1prWmtaazlnWmtaa1prWmtaa1prWmtaa3tvWmtaazlnWmtaa1prWmtaa1prWmtaa1prWmtaa1prWmtaa1prOWd7b1prWmtaa3tvWmtaazlnWmtaa1prWmtaa1prWms5Z1prOWdaa1pre29aa1prOWdaazlnWms5Z1prOWdaazlnWms5Z1prOWdaazlnWms5Z1prOWdaazlnWms5Z1prOWdaazlnWms5Z1prOWdaazlnWmsAAFprem9aa3tvWmt7b1pre29aa3pvWmt6b1prWmtaa3pvWmtba1prW2taa1trW2tbb3xv+F4RQhFGt1pba1xrXG9ba1trOmt7b1tve29aa1prWmt7b1prWmtZa1prWWtZa1lrWWtZa1prOmdaazpnWms4ZzhnWms5ZxljO2fYWuocLSUMJTxrnXNaa3tvWWd6b1prW2tba1trWmtba1prWmtaa1prWmt7b1prWmtaa1prWmtaa1prWmtaa1prWmtaazlnWWs5Z1prOWdaa1lrWms5Z1prWWtaa1lrWmtZa1prWmtaa1pre29aa1prOWdaazlnWmtaa1prOWdaa1prWmtaa1prWmtaa1prWmtaa1prWmtaa1prWmtaa1prWmtaa1prWmtaa1prWmtaa1prWms5Z1prOWdaazlnWms5Z1prOWdaazlnWms5Z1prWmtaazlnWms5Z1prWmtaa1prWms5Z1prWmtaazlnWms5Z1prOWdaazlnWms5Z1prOWdaazlnWms5Z1prWmtaazlnWms5Z1prOWdaazlnWms5Z1prOWc5ZzlnWmtaa1prOWdaazlnOWc5Z1prOWc5ZzlnOWc5Z1prOWdaazlnWms5Z1prOWdaazlnWms5ZzlnOWdaazlnOWc5Z1prOWc5ZzlnWms5ZwAAe29aa3tvem97b3pve296b3tvWmt7b1pre29aa3tvWmt7b1pre29aa3tvW2t7b1trW2uVUq85jjF0ThpjXG98b31vfG98b1prW2tba3xvWmt7b1pre29aa3pvWWt6b1lrWWtZa1prWmtba1prW2taa3pvOGdaazlnW2tba9hehxQMJU0pXGt9c3tvem9aa1prem9aa3tvW2tbb1tre29aa3tvWmt7b1pre29aa1prWmtaa1pre29aa3tvWmt7b1prWmtZZ1prWmtaa1lrWmtZa1prWWtaa1prWmtaa3pvWmt7b1pre29aa3tvWmtaa1prWmtaa1prWmtaa1prWmtaa1prWmtaa1prWmtaa1prWmtaa1prWmtaa1prWmt7b1prWmtaa1prWmtaa1prWmtaa1prOWdaa1prWmtaa1prWmtaa1prWmtaa1prWmtaa1prWmtaa1prWmtaa1prWms5Z1prWmtaa1prWmtaa1prOWdaazlnWmtaa1prWmtaa1prWms5Z1prWmtaa1prWmtaa1prOWdaa1prWms5Z1prWmtaazlnWmtaa1prWmtaa1prWms5Z1prOWdaazlnWms5Z1prOWdaa1prWms5Z1prOWdaa1prWms5ZzlnOWdaazlnWms5Z1prOWdaazlnWms5Z1prAABaa3tvWmt7b1pre29aa3tvWmt6b1prem9aa3pvWmt6b1prWmtaa1prWmtbb1trW286Z/heM0oSQlRKllKWUrha+F5ba3xvW2s6Z1tvW29ba1prWmtaa1prWWt6b1lremtYa1lrWWdaazprW2s6Z1pre284Z1lrem9aa1trt1qHFCwl0jk7Z1xrWmtZa1lrem9aa1trWmtba1prW2taa1prWmt7b1prWmtaa1prWmtaa1prWmtaa1prWmtaa1prWms5Z1lrOWdaa1prWms5Z1prWmtaazlnWmtZa1prWWtaa1prWmtaa1prWmtaa1prWmtaa1prOWdaa1prWms5Z1prWmtaazlnWmtaa1prOWdaa1prWms5Z1prWmtaa1prWmtaa1prWmtaa1prWmtaa1prOWdaazlnWmtaa1prWmtaazlnWms5Z1prOWdaa1prWmtaa1prOWdaa1prWms5Z1prOWdaazlnWms5Z1prOWc5ZzlnWms5Z1prOWdaazlnWms5Z1prOWdaa1pre29aa1prOWdaazlnWms5Z1prOWdaazlnWms5Z1prWmtaa1prWms5Z1prOWc5ZzlnOWc5ZzlnOWc5ZzlnWms5Z1prOWdaazlnWms5Z1prOWc5ZzlnWms5Z1prOWc5ZzlnWms5ZzlnOWcAAHtve297b3pve296b3tvem97b1prem9aa3tvWmt7b1prem9aa3tvWmt7b1tre29ba1trW2s7Z7dadVLyQbA5sDlUSvlinXNcb1trfG98bzprW2taa1trWmt7b1pre296a1lrWWtaa1prW2taa1trWmt6bxdjem96b1prGWPYXsgY6yDyPTxrXGucc1lrem9ZZ3pvWmtba1trW29ba1trWmt7b1prWmtaa1prWmtaa1prWmtaa3tvWmt7b1prWmtaa1lrWWdaa1lrWmtaa1prOmdba1prWmtaa1prWmt6a1lrWmtaa1prWmt7b1prWmtaa1prWmtaa1prWmtaa1prWmtaa1prWmtaa1prWmtaa1prWmtaa1prWmtaa1prWmtaa1prWmtaa1prWmtaa1prWmtaa1prWmtaa3tvWmt7b1prWmtaa1prOWdaa1prWmtaa1prWmtaa1pre29aa1prOWdaa1prWmtaa1prWmtaazlnWmtaa1prWmtaa1prWms5Z1prWmtaa1pre297b3tvWmtaa1prWms5Z1prOWdaazlnWmtaa1prOWdaa1prWmtaa1prOWdaazlnWms5ZzlnOWc5ZzlnWms5Z1prWmtaa1prWmtaa1prOWdaazlnWms5Z1prOWdaazlnWms5Z1prOWc5ZwAAWmt6b1pre29aa3pvWmt7b1prem9aa3tvWmtaa1prWmtZZ1prWmt6b1prW2tba3xvOmtbaztnO2fYWlROjzUrJW0t0DlUThljO2tbazprW2s6a1trW297b1prWmtaa1prWWt5a1lrWmtaa1trOmc6azlnWms4Z3pvGGM5Z9dayRwMJbE5XGt8b1prem96a3prWmt7b1trW29ba3tvW2taa1prWmtaa3tvWmtaa1prWmtaa1prWmtaazlnWmtaa3pvOWdZZzlnWms6Z1trWmtbazlnW2s6Z1prWmtaa1lnm3NZa1prWmtaa1prWmtaa1prOWdaa1prWms5Z1prWmtaazlnWmtaa1prWmtaazlnWms5Z1prWmtaa1prWmtaa1prOWdaazlnWms5Z1prOWdaazlnOWc5Z1prWmtaazlnWms5Z1prOWdaa1prWmtaa1prWmtaa1prWms5Z1prWmtaazlnOWc5Z1prOWdaazlnWms5Z1prWmt7b1prWms5ZzlnOWdaa1prWmtaa1prWmtaazlnWms5Z1prOWdaazlnWms5Z1prOWdaazlnWms5Z1prGGM5ZzlnOWc5ZzlnOWdaazlnOWc5Z1prOWdaazlnWms5Z1prOWdaazlnOWc5ZzlnOWdaazlnOWc5ZzlnOWdaaxhjAAB7b1pre296b3tvWmt7b3pve29aa3tvem97b1prem9aa1prWmt7b1pre29aa3tvW298b1xrfG9caztr2F51UhJCKyVMLa41zzl0ThljfG86Zzpne298bzpnW2udd51zOWd6b3prWmtaa3xvO2c6Z3xvWmtaa1lrem85Zzpn+F7pHCwlkDV9b3xve29aa3pvWmt7b1pre29ba3tvW297b1prWmtaa3tvWmt7b1pre29aa3tvWmt7b1prWmtaa3tvWmtaa1lrWmtaa1prWmtba1trW2tba1trWmt7b1prWmtZa1prWmtaa1prWmtaa3tvWmtaa1prWmtaa1prWmtaa1prWmtaa1prWmtaa1prWmtaa1prWmtaa1pre29aa1prWmtaa1prWmtaa1prOWdaa1prWms5Z1prWmtaa1prWmtaa1prWmtaa1prWmtaa1prWmtaa1prWmtaa1prWmt7b1prWmtaa1prWmtaa1prWmtaa1prOWdaa1pre29aa1prOWdaa1prWmtaa1prWmtaa1prWmtaa1prWmtaa1prWmtaa1prWmtaa1prWmtaa1prWmtaazlnWmtaa1prOWdaazlnWms5Z1prWmtaazlnWms5Z1prOWdaazlnWms5Z1prOWdaazlnWms5Z1prOWdaazlnOWcAAFprem9aa3pvWmt6b1prem9aa3pvWmt6b1prem9aa1prWWt6a1premtaa1prWmt7b1trW2s6a1trW2tba/li+F5TSq41KiVMLY0x0D1UThpjfW86ZxljfG98bzpnOmd8bzhnem85Z1trfG/5XpVSGmM6a3xvOWd7bzlnWmv4Xgoh6yCQNVxrfG9aa3pvWWt6a1prW2s6a1trW2tbb1prWmtaa1prWmtaa1pre29aa1prWmt7b1prWmtaa1prWmtaa1lrWmtZa1prOmdaazpnW2tba1trOmc6a1prem9Za1lrOWdaazlnWmtaa1prWmtaazlnWmtaa1prWmtaazlnWms5Z1prWmtaa1prWms5Z1prOWdaazlnWmtaa1prWmtaa1prWms5Z1prOWdaazlnWms5Z1prOWdaazlnWms5Z1prWmtaa1prWmtaa1prOWdaazlnWms5Z1prWmtaa1prWmtaa1prWmtaa1prWmtaa1prOWdaazlnWmtaa1prOWdaa1prWmtaa1prWmtaa1prWmtaa1prOWdaa1prWms5Z1prOWdaazlnWms5Z1prOWdaa1prWmtaa1prOWc5ZzlnOWc5Z1prOWdaazlnWms5ZzlnOWdaazlnOWc5ZzlnOWc5ZzlnWms5ZzlnOWdaazlnWms5ZwAAe29aa3tvWmt7b1pre29aa3tvWmt7b1pre29aa3pvWmt6b1prem9aa3pvWmt7b1tre29aazprOmdba1prWms6ZxljGWO2Vo01KyltMdA5rzV0ThpjfW86ZztnfW+dczpne2+cc3tvW2s7axJCTCnQOVtrfG97b3tvW2taa/heKyXrIG8xXGt8b3tvWWt6a1pre29aa1trW2t7b1tre29aa1prWmtaa1pre297b3tvWmt7b1pre29aa1prWmtaa1lrWmtZa3prWmtbazpnXGtba3xvW2tba1prWmtaa3tvWWtaa1prWmtaa1prWmtaa1prWmtaa1prWmt7b1prWms5Z1prWmtaa1prWmtaa1prWmtaa1prWmtaa1prWmtaa1prWmtaa1prWmtaa1prWms5Z1prWmtaa1prWmtaa1prOWdaa1prWmtaa1prWmtaazlnWmtaa1prWmt7b1prWmtaa3tvWmt7b1pre29aa1prWmtaa1prWmtaa1prWmtaa1prWmtaa1prWmt7b1prWmtaa3tvWmtaa1prWmtaa1prWmtaa1prWmtaa1prWmtaa1prWmtaa1prWmtaazlnWms5Z3tvWmtaa1prWms5Z1prOWdaazlnWms5Z1prOWdaazlnWms5Z1prOWdaazlnWms5Z1prAABaa3pvWmt6b1prem9aa3pvWmtaa1pre29aa3pvWmt6b1lremtaa3pvWWtaa1pre29aa1prOWdaa1prWmtaa1prOmcYY/hiOWeVUq41KymNMW0tjjUzRjtnfW87Zztnvnc5Z3tvOmc7Z/lesDXJGG0t+V6cc1pre29aa1pr+F5tMcocTi0aY3xvWmtaa1lrem9aa1prOmdbb1trW2taa3tvOWdaa1pre29aa3tvWmt7b1pre29aa1prWmtaa1prWms4Z1lrWWtaazpnW2s7a1xr+F75YltrnHNaa1lrWmtZa1prWmtaa1prOWdaazlnWms5Z1prWmtaa1prWms5Z1prWmtaa1prWmtaa1prWmtaazlnWms5Z1prOWdaa1prWmtaa1prWmtaazlnWms5Z1prWmtaazlnWms5Z1prOWdaa1prWmtaa1prOWdaazlnWms5Z1prWmtaa1prWmtaa1prWmtaa1prWmtaa1prOWdaazlnWms5Z1prOWdaa1prWms5Z1prWmtaa1prWmtaa1prWmtaa1prWmtaa1prWmtaazlnWms5Z1prOWdaazlnWms5Z1prOWdaazlnOWc5Z1prWmt7b1prWmtaa1prOWdaazlnWms5Z1prOWc5ZzlnOWc5ZzlnOWc5ZzlnOWc5Z1prOWcAAHpvWmt7b1prem9aa3tvWmt6b1pre296b3tvWmt7b1prem9aa3tvemtaa1prem9aa3tvWmt6b1prem9aa3pvWmsYY1prfG8ZZxlj+F6VUtA5SyltLY41jzUzRtlaPGf5XlprW2tbaztr+mLROSwlbjHXWnxvfG9bb1trOmcaY7A56xwtKRpjW2t7b1prem9aa3tvWmtba3xvfHNba1tre29aa1pre29aa3tvWmt7b1pre29aa3tvWmt7b1prWmtZa1lrOWdaa1prW29ba1trO2fQOdA911p8c3tvWWt6b1lrem9aa3tvWmtaa1prWmtaa1prWmtaa1prWmtaa1prWmt7b1prWmtaa1prWmt7b1prWmtaa1prWmtaazlnWmtaa1prWmtaa1prWmtaa1prWmtaa1prWmtaa1prOWdaa1prWmtaa1prWmtaa1prWmtaa1prWmtaa1prWmtaa1prWmtaa1prWmtaa1prOWdaazlnWms5Z1prWmtaa1pre29aa1prWmtaa1prWmtaa1prWmt7b1pre29aa1prWmtaa1prWmtaa1prWmtaa1prWmtaazlnOWdaazlnWms5Z1prWmt7b1pre29aa1prWmtaazlnWms5Z1prOWdaazlnWms5Z1prOWdaazlnWms5Z1prWmtaawAAWmt6b1prWmtaa3pvWmtaa1prWmtaa3pvWmt7b1prem9aa3pvWmt6b1lrWmtZa3prWWtaa1lrWmtZa3pvWWtZa3tvOmcYY1trW2s6Z/heGWN1UvE9bS1uMW4xjzHRPXVOGWM6ZztnXGvZXtI9CyELJVVOXGtba3tvW2tbazpnE0bKHC0l2Fo6Z1prem9Za1prem9aa1prfHN8b3tvWmt7b1prWmtaa1prWmt7b1prWmtaa1prWmtaa1prWmtaa1prWWtZazhnWmtba1xrGmP5YuogCiESRltre29Za1prWmtZa1prWmtaa1prWmtaa1prWmtaazlnWms5Z1prWmtaa1prWmtaa1prWmtaa1prWmtaa1prOWdaazlnWms5Z1prWmtaa1prWmtaa1prOWdaazlnWms5Z1prOWdaazlnWms5Z1prOWdaa1prWms5Z1prWmtaa1prWmtaa1prOWdaa1prWmtaa1prOWdaazlnOWc5Z1prOWdaa1prWmtaa1prWmtaa1prWmtaa1prWmtaa1prWmtaa1prOWdaazlnWms5Z1prOWdaazlnWms5Z1prOWdaazlnWms5Z1prOWdaa1prWmtaa1prWmtaazlnOWc5Z1prOWc5ZzlnOWc5ZzlnOWc5ZzlnOWc5Z1prOWdaazlnAAB7b1prem9aa3tvWmt6b1prem9aa3pvWmt7b3pve29aa3tvWmt7b1prem9Za3prWWt7b3pvem9aa3pvWmt6b1lrWWtaa3tvWms6azpnOmcZYxlj+F63VhJCjjErJW0tjjWuNfA9llL6YvpeFEaQMU0tVEo7a1xvW2t8b1trW29UTusgDCXYWhpje296b3pvWWt7b1pre2+cc513e29ba1tre29aa3tvWmt7b1pre29aa1prWmt7b1pre29aa1trWmt6b1lrWWtaa3xvW2saZ9haTS0KIRJGW2t8bzlnemtZa1prWmtaa1pre29aa3tvWmt7b1prWms5Z1prWmtba1pre29aa1prWmtaa1pre29aa3tvWmtaazlnWms5Z1prOWd7b1prWmtaa1prWmtaa1prWmtaa1prOWdaa1prWmtaa1prWmtaa1prWmtaa1prWmt7b1prWmtaa1prWmtaa1pre29aa1prWmtaa1prWms5Z1prOWdaa1prWmtaa1prWmtaa1prWmtaa3tvWmtaa1prWmtaa1prWmtaazlnWms5Z1prWmtaa1prWmtaa1prWmt7b1pre29aa1prOWdaazlnWmtaa1prOWdaazlnWms5Z1prOWdaazlnWms5Z1prOWdaazlnOWc5Z1prOWdaa1prWmsAAFprem9aa3pvWmt6b1prem9Za1prWmtaa1prWmtaa3pvWmt6b1prWmtaa1prWmt6b1prem9aa3prWWtaa1lremtaa3tvWmtaa1prWmtaa1prOWc6Zxhj+F6UUhFCjDErJQslTSlOKZA10z3SPU4tLSWwNTtnGmN8b3xvWWt6a5RS6iAtKRNCfXNba3tvWWubb1lremtaa3pvWmt7a1tre29aa1prWmtaa1prWmtaa1prWmtaa1tre29aa1trOmtaa1lrWWs5Z1prOmtbaxpn+l5vMesgbi1dbzprWWt5a1lrOWdaa1pre29ba3tve297b1prW2taa1trOmdaazpnWmtaa1prWmtaa1prWmtaa1prOWdaa1prWms5Z1prWmtaazlnWmtaa1prOWdaa1prWms5Z1prWmtaa1prWms5Z1prWmtaazlnWms5Z1prWmtaa1prWmtaa1prOWdaazlnWms5Z1prOWdaazlnWms5Z1prOWdaa1prWms5Z1prWmtaa1prWmtaa1prOWdaazlnWmtaa1prWmtaazlnWms5Z1prOWdaazlnWms5ZzlnOWdaazlnWms5Z1prOWdaazlnWms5Z1prOWdaazlnWms5Z1prOWdaazlnWms5Z1prOWdaaxhjOWc5ZzlnGGM5ZzlnWmtaawAAe29aa3tvWmt7b1pre29aa1prWmt6b1prem9aa3tvWmt7b1pre29aa3pvWmt7b3pve29aa3tvWmtaa1prem9aa3tvWmt7b1prWmtaa1prWmtaa1pre29aa1pr917WWpVSM0YTQrE5LSkMIcoc6xzsIE4pdk7YWlxrnXM4Y1prtlbJHC0pM0Zcazpne29aazhnem9Za3pvWmt7b1pre29ba1trWmt7b1pre29aa3tvWmtba1tre29ba3tvWmtba1prWmtZa1prOWdba1trO2f5XpAxyhxOLTxnXGs5Z3lrWGtaa1pre29ba3tvW2t7b1pre29aa1tvW2tba1prW2s6a1trWmtaa1prWmtaa1prWmtaa1prWmtaa1prWmtaa1prWmtaa1prWmtaa1prWmtaa1prWmtaa1prWmtaa1prWmtaa1prWmtaa1prWmtaa1prWmtaa1prWmtaa1prWmtaa1prWmtaa1prWmtaa1prWmtaa1prWmtaa1prWmtaa1prWmtaa1prWmtaa1prWmtaa3tvWmtaa1prWms5Z1prWmtaa1prWms5Z1prOWdaazlnWmtaa1prWmtaazlnWms5Z1prWmtaa1prWmtaa1prWmtaazlnWms5Z1prOWdaazlnOWc5Z1prOWc5ZzlnWmtaa1prAABaa3pvWmt6b1prem9aa3pvWmtaa1prWmtaa3pvWmt6b1prem9aa1prWmt6b1prem9aa3pvWmtaa1prWmtaa1prWmtaa1prWmtaa1prWmtaazlnOWc5ZzlnOWc5ZxhjGGP4XvlellLyPW4tDCXKGMkY6xzROTRGG2ddaxpjOmcZY+sgTinROV1rGWOdczpnWmtZa3prWWt6a1pre2tba1trWmt7b1pre29aa3tvWmtaa1prW2taa1trWmtba1prWmtaa1prOWdaa1prW2saZ/pekDXrIAwl+l5bazlnOGdZa1lrW2taa1prWmtaa1prWmtaa1prWmtaa1prW2s6Z1prWmtaa1prWmtaa1prWmtaa1prWms5Z1prWmtaazlnWms5Z1prOWdaazlnWms5Z1prOWdaazlnWmtaa1prOWdaazlnWmtaa1prWmtaa1prWmtaa1prOWdaa1prWms5Z1prOWdaazlnWms5Z1prOWdaa1prWms5Z1prWmtaazlnWmtaa1prOWdaa1prWms5Z1prWmtaazlnWms5Z1prOWdaazlnWms5Z1prOWdaazlnWms5Z1prOWdaazlnWms5Z1prOWdaazlnWms5Z1prOWdaazlnWms5ZzlnOWc5ZzlnOWc5ZzlnOWc5ZzlnOWc5Z1prOWcAAHtvem97b1pre296b3tvWmt7b1prem9aa3tvWmt7b1pre29aa3tvWmt7b1pre29aa3tvWmt6b1prem9aa3pvWmt7b1prWmtaa3tvWmt7b1pre29aa1prOWdaazlnOWcYY1prOWc6Z/he2FpVSpA1qRRWSrE1LSmRNZhSG2M8Z7hWkDUtKZA1XW9ca3xvOmd7b3pvWmt6a1pre29aa3trW2t7b1pre29aa3tvWmt7b1pre29aa3tvWmt7b1prW2taa1prWmtaazlnW2tbaztn+mLyPQwlDCWXVn1vOmdZa1lrem9aa1prWmt7b1prWmtaa3tvWmtaa1prW2taa1prWmtaa1prWmtaa1prWmtaa1prWmtaa1prWmtaa1prWmtaa1prWmtaazlnWmtaa1prOWdaa1prWmtaa1prWmtaa1prWmtaa3tvWmt7b1prWmtaa1prWmtaa1prWmtaa1prWmtaa1prWmtaa1prWmtaa1prWmtaa1prWmtaa1prWmtaa1prWmtaa1prWmtaa1prWmtaa1prWms5Z1prOWdaazlnWmtaa1prOWdaazlnWms5Z1prWmtaazlnWms5Z1prOWdaa1prWmtaa1prWmtaa1prWms5ZzlnOWc5ZzlnOWc5Z1prOWdaazlnWms5Z1prOWdaawAAWmt6b1pre29aa3pvWmt7b1prem9aa3pvWmt6b1prem9aa3pvWmt6b1prem9aa3pvWmt6b1prWmtZa1prWmtaa1prWmtaa1prWmtaa1prWmtaa1prWmtaa1prWmtaa1prWGc3ZzhjOWcZY/leE0LrIG8t0z1XStQ9DSVwLdM9NkqRMQ0hTik8ZzxnfW8ZY1trWmtaa1prWmtaa1prWmtba1pre29aa3tvWmt7b1pre29aa1prWmtaa1prWmtaa1prOWdaa1lrWms6Z1trOmcbYxNCTinqHDRGXGtaa1lnem9Za1prWmtaa1prWms5Z1prWmtaa1prWmtaa1prWmtaa1prWmtaa1prWmtaa1prWms5Z1prWmtaazlnWmtaa1prOWdaazlnWms5Z1prOWdaazlnWmtaa1prWmtaazlnWms5Z1prWmt7b1pre29aa1prWmtaa1prWms5Z1prOWdaazlnWms5Z1prOWdaazlnWms5Z1prWmtaazlnWmtaa1prOWdaa1prWms5Z1prWmtaazlnWms5Z1prOWdaazlnWms5Z1prOWdaazlnOWc5Z1prOWdaazlnWms5ZzlnOWdaazlnWms5Z1prOWdaazlnWms5ZzlnOWc5ZzlnOWc5ZzlnOWc5ZzlnOWc5ZzlnOWc5ZzlnAAB7b3pve296b3tvem97b3pve29aa3tvem97b1pre29aa3pvWmt7b3pve29aa3tvWmt7b1pre29aa1prWmt6b1pre29aa3tvWmtaa1pre29aazlnOWdaa1prWms5Z1prWWdYazdneW9Zaxlj+F5VSgwhDSWSNbpW9UEPJVAtUC0OJQ4lyxxPLXdS+mJ9b51zW2tba1prW2taa1trWmtba1pre29aa3tvWmt7b1pre29aa3tvWmt6b1prWmtaa3pvWmtaa1prWmtZa1prWmtbaxpjVU6PMeocjzU7azprWmtZa3prWmt6b1prWmtaa1prWmtaa1prWmtaa1prWWt6a1prWmtaa1prWmtaa1prWmtaa1prWmtaa1prWmtaa1prWmtaa1prWmtaa1prWmtaa1prWmtaa1prWmtaa1prWmtaa1prWmtaa1pre29aa3tvWmtaa1prWmtaa1prWmtaa1prWmtaa1prWmtaa1prWmtaa1prWmtaa1prWmtaa1prWmtaa1prWmtaa1prWmtaa1prWms5Z1prOWdaazlnWmtaa1prWmtaazlnWms5Z1prOWdaazlnWms5Z1prOWdaazlnWmtaa1prWmtaa1prWmtaa1prOWdaazlnOWc5ZzlnOWdaazlnOWc5Z1prOWdaazlnWmsAAFpre29aa3tvWmt7b1pre29aa3tvWmt6b1prem9aa1prWmt6b1prem9aa3pvWmtaa1prem9aa1prWmtaa1prWmtaa3tvWmtaa1prWmtaa1prWmt7b1pre29aa1prOWdaa1hnWGuab5tvGWMaY1VKDCENJbM53F71QYoUDiUvKbM5LynMHA0lsTU1RthaXGtbazpnW2s6Z1prWmdbazpnWmtaa1trWmtba1prWmtaa1prWmt6b1lrWmtZa1prWWtaazlnWmtZa1lrOWdbazpnG2eXUtI9yRgsKRljW2taa1lrWWtaa1prWmtaa1prWmtaa1prWmtZa1prWWtaa1lrWmtZa1prWmtaa1prWmtaa1prWmtaazlnWmtaa1prOWdaa1prWmtaa1prWmtaa1prWms5Z1prOWdaa1prWms5Z1prOWdaazlnWmtaa1prWmtaa1prWms5Z1prWmtaazlnWms5Z1prOWdaazlnWms5Z1prWmtaazlnWmtaa1prOWdaazlnWms5Z1prWmtaa1prWms5Z1prOWc5ZzlnWms5Z1prOWdaazlnWms5Z1prOWdaazlnWms5ZzlnOWdaazlnOWc5Z1prOWdaazlnWms5Z1prOWc5ZzlnOWc5ZzlnOWc5ZzlnWms5ZzlnOWdaazlnOWc5ZwAAe296b3tvem97b3pve296b3tvem97b1pre29aa3tvWmt6b1pre296b3tvem96b1pre29aa3pvWmt6b1prem9aa3tvWmt7b1pre29aa1prWmtaa1prWmtaa1prWmt7b3pvmm84Z3lrWWs6Zztnl1ILIQ0lkTEeZ1dOLiUvKQ4lLikWRg4lDSUMJZAxjzGXUvleXGtba1trWmtba1prW2taa1trW2tba1pre29aa1trWmt7b1prWmtZa1prWWt6a1prWmtaa1prWWdaa1prW2saZ9laE0LqIAohGmNbb3tvWWt6a1prem9aa3tvWmtba1prW2taa1prWWt6a1lrWWtZa1prWmtaa1prWmtaa1prWmtaa1prWmtaa1prWmtaa1pre29aa1prWmt7b1prWmtaa1prWmtaa1prWmtaa1prWmtaa1prWms5Z1prWmtaa1prWmtaa1prWmtaa1prWmtaa1prWmtaa1prWmtaa1prWmtaa1prWmtaa1prWmtaa1prWmtaa1prWmtaa1prWmtaa1prOWdaazlnWms5Z1prWmtaa1prWms5Z1prOWdaazlnWms5Z1prOWdaazlnWms5Z1prWmtaa1prWmtaa1prWmtaazlnWms5Z1prOWc5ZzlnWms5ZzlnOWdaazlnOWc5Z1prAABaa3pvWmt6b1prem9aa3tvem97b3pve29aa3tvWmt7b3pvem9aa3tve297b1prWmtZa1prWmtaa1lrWmtaa1pre297b1prWmtaa1prWmtaa1prWmtaa1prWmtaa1prWms5Z3prOWdaZxpjO2e4Vk0pDCFOKbpa+17zPbE5kDFvLcscyxzsILE1FEJNKY4xTC3QOZZSGWM6ZxljW2t7a3xvGWNaa3tvfG9ba1prWmt7b1prWmtaa1prOWdZa1lrWms5Z1prWWtaazlnWms6ZztrG2fyQcocCyV1TltrOWd7bxhjnHMYY3tvW2sYY3xvOms6azlnWmt6bzhnWWtZa3prWWtaa1prWmtaa1prWmtaa1prWms5Z1prOWdaa1prWmtaa1prWmtaazlnWmtaa1prOWdaa1prWmtaa1prOWc5ZzlnWms5Z1prOWdaa1prWmtaa1prWmtaazlnWms5Z1prOWdaazlnWms5Z1prOWdaa1prWms5Z1prOWdaa1prWms5Z1prWmtaazlnWmtaa3tvOWdaazlnWms5Z1prOWdaazlnWms5Z1prOWdaazlnWms5Z1prOWdaazlnOWc5ZzlnOWc5ZzlnWms5ZzlnOWdaazlnWms5Z1prOWc5ZzlnOWc5ZzlnOWdaazlnOWc5ZzlnOWcAAHtvWmt7b1pre29aa3tve297b3tve297b3tvem97b3pve296b3tvem+bc3tve29aa1prWmt6b1prWmtaa3pvWmt7b3tve29aa1prWmtaa1prWmtaa3tvWmt7b1prWmtaa1prW2tbaztnO2c7Z9laTi0MJU0p2l48a7dWllKWUlRK6xwNJesc6xy4VvpeVUrxPY4xbS2uNTJG+F45ZzpnGWOec1trOmcZY1trW2t8b1trW2taa3tvWmtaazlnOWc4Z1prWWtaa1lrWms5Z1trO2c7ZzRGCyHqHDNGW2tbb1pre297bxhjWmtaazprW2t8b3tvWmucc3pvWWtZa3lvWWtaa1prWmtaa1prWmtaa1prWmtaa1prWmtaa1prWmtaa3tvWmtaa1prWmtaa1prWmtaazlnWms5ZzlnOWd7b3tvWms5Z1prWmtaa1prWmtaa1prWmtaa1prWmtaa1prWmtaa1prWmtaa1prWmtaa1prWmtaa1prWmtaa1prWmtaa1prWmtaa1prWmtaa3tvWmtaa1prWmtaa1prWmtaa1prWms5Z1prOWdaazlnWmtaa1prOWdaazlnWms5Z1prOWdaazlnWms5Z1prOWdaazlnWmtaa1prWmtaazlnWms5Z1prOWdaa1prWms5Z1prOWdaawAAWmt6b1prem9aa3tvWmt7b3pve296b3tvem97b1pre297b3tvWmt6b3tve29aa1prWmtaa1prWmtaa1prWmtaa1pre29aa1prWmtaa1prWmtaa1prWmtaa1prWmtaa1prOmdbazpnO2sbYzxn2VqPMesgTS23Vn1vGWMZY/he11puLescyhgMIbhWfm/ZWhpjllLxPUwpbC2NMa41EUK2VtheGmM7Z1xvW2tbazpnOmd7b3tvOmc5ZxljOWdaa5xzOWdaa1lnWWtZa1prOmc7axpjl1LqHMkYjzVca1trOmd7b1trOWdbbzpn+F7xQXROOmd7b1trWmtZa3lrWWtZa1lrWmtaa1prWmtaa1prWmtaa1prOWdaazlnWms5Z1prWmtaazlnWms5Z1prWmtaa1prWmtaa1prOWc5Zzlne285Z1prOWdaazlnWms5Z1prWmtaazlnWmtaa1prOWdaazlnWms5Z1prOWdaazlnWmtaa1prOWdaazlnWms5Z1prWmtaazlnWms5Z1prOWdaazlnWms5Z1prOWdaazlnWms5Z1prOWc5ZzlnWms5Z1prOWdaazlnWms5Z1prOWc5ZzlnWms5Z1prOWdaazlnWmtaa1prOWdaazlnWms5Z1prOWdaazlnWms5Z1prOWc5ZzlnAAB7b1pre29aa3tvem97b3pve297b3tvem97b3pve29aa3tvem97b1pre297b3tvWmt6b1prem9aa3pvWmt6b1pre29aa3tvWmt7b1pre29aa3tvWmt7b1pre29aa1prWmtba1trO2c7ZztnO2f6XtE56iBMKXVOfG9ba1prOWf3XnZS6hzqHG4tE0LZWn1vfm9ca/let1Z1TvE9TClsLa41rzUSQrdWGmM7aztrXG98bzpnOmt7b3tvfG9aa1prOWdaa1lrWmtZa1prWWtaaztnO2eXVusgyRxNLRpjfG86Z1tvWmt7b3xvW2vwPQkhCiH5YltrW2s5Z3prWWt6b1lremtaa1prWmtaa1prWmtaa1prWmtaa1prWmtaa1prWmtaa1prWms5Z1prWmtaa1prWmtaa1prOWdaa1prWmtaa1prWmtaa1prWmtaa1prWmtaa1prWmtaa1prWmtaa1prWmtaa1prWmtaa1prWmtaa1prWmtaa1prWmtaa1prWmt7b1prWmtaa1prWmtaa1prWmtaa1prWmtaa1prWmtaa1prWmtaazlnWms5Z1prOWdaa1prWms5Z1prOWdaazlnWms5Z1prOWdaazlnWms5Z1prWmtaazlnWms5Z1prOWdaazlnWms5Z1prOWdaazlnWmsAAFprem9aa3pvWmt6b1pre29aa3tvem97b1prem9aa3tvWmt7b1prem9aa3pvWmt6b1prWmtaa3pvWmtaa1prem9aa1prWmtaa1prWmtaa3tvWmtaa1prWmtaa1prWmtaazpnWms6Z1trGmM7Z/piE0aoFCsl8T18b3trnHNaa1pr+V7RPckcCyVNKXVOfm9caxpjOmc7Z1trGWO2VhJCzzltLW4tbi3QOTRK2FoaZ1xvW2tcb1trW286ZzpnOWdaazlnWmtZa1prWWtaa1prW2saZ5dW6hwLIQslt1Zba1trWmt7bztrO2fYXukc6iAKIZZSXGs6Z1prWmtZa3pvWWtZa1prWmtaa1prWmtaa1prOWdaa1prWms5Z1prWmtaazlnWms5Z1prOWdaazlnWms5ZzlnGGM5ZzlnWmtaa1prOWdaazlnWms5Z1prOWdaazlnWmtaa1prOWdaa1prWms5Z1prOWdaazlnWms5Z1prWmtaazlnWms5Z1prWmtaa1prWmtaa1prOWdaazlnWms5Z1prWmtaazlnWmtaa1prOWdaazlnWms5ZzlnOWdaazlnWms5Z1prOWdaazlnWms5ZzlnOWdaazlnWms5Z1prOWdaazlnWms5ZzlnOWdaazlnOWc5ZzlnOWc5ZzlnWms5ZwAAe29aa3tvWmt7b1pre297b3tvem97b3pve29aa3tvWmt7b3pve29aa3pvWmt7b1prem9aa3tvWmt6b1pre29aa3tvWmt7b1pre29aa3tvWmtaa1pre29aa3tvWmtaa1premtZZ1prW2s6ZxpjO2dUSsgYKyXPOVtrfG+cb3tvW2s6Z9daKyXpIG0trzW3Vn1vfW9cb1xrGmM7Z1trO2e3WnZSNEbRPW4xbjGvNRJCM0r5XvleOmc6Z1trW2t8b3xvWmtZa1prWWt6a1lrWmtbazxrl1YsJQwlKyU0SlxrW29ba1trXGs6Z3VOZgwsKUwpdU59b1xvW2t7bzlnmm9Za1prWmtaa1prWmtaa1prWmtaa1prWmtaa1prWmtaa1prWms5Z1prWmtaazlnWms5Z5xze29aazlnWmtaa1prWmtaa1prWmtaa1prOWdaazlnWmtaa1prWmtaa1prWmtaa1prWmtaa1prWmtaa1prWmtaa1prWmtaa1prWmtaa1prWmtaa1prWmtaazlnWmtaa1prWmtaa1prWmtaa1prWmtaa1prWms5Z1prOWdaazlnWmtaa1prWmtaazlnWms5Z1prOWdaa1prWmtaa1prWmtaazlnWms5Z1prOWdaazlnWms5Z1prOWc5ZzlnWms5Z1prAABaa3pvWmt6b1pre29aa3tvWmt7b1prem9aa3tvWmt6b1pre29aa1prWmtaa1prem9aa3pvWmt6b1prem9aa3pvWmt7b1prWmtaa1prWmtaa1prWmtaa1prWmtaa1prWWtZa1lrOGd6axljGWMaY5VSyBhMKY0xW2tba3xvOWdbazpnGWONMSslSyltLa81GWM7Z31vnXN8bztnW2s6ZxpjG2c8Z/ped1LRPY4xTS1uMW0x8T10TvliOmdbazpnOWc6Z1prWWdZa1lrWmtaa1trPGvYWk0pCyHqHPE9W2tcbztrW2tba1xrsDWHEOocTS3yQX1vW2tba3tvOWdZa1lrWWtaa1prWmtaa1prWmtaazlnWms5Z1prWmtaazlnWms5Z1prOWdaazlnOWc5Zzln9145ZzlnWms5ZzlnOWdaazlnWms5Z1prOWdaazlnOWc5Z1prOWdaa1prWmtaa1prOWdaazlnWms5Z1prOWdaa1prWms5Z1prOWdaazlnWms5Z1prOWdaazlnWms5Z1prWmtaa1prWmtaa1prWmtaa1prWms5Z1prOWc5ZzlnOWc5Z1prOWdaazlnWms5Z1prOWdaazlnWms5Z1prWmtaazlnWms5Z1prOWdaazlnWms5Z1prOWc5ZzlnOWc5Z1prOWcAAHtvWmt7b1pre296b3tvem97b3pve29aa3tvWmt7b1pre296b3tvWmt6b1prem96b3tvWmt7b1pre29aa3tvWmt7b1pre29aa3tvWmt7b1pre29aa3tvWmt7b1prWmtZa3pvWGtZa3prOWcZYzpnllLIGEwpjjE7Z3xvfG97a5xzfG/3WvE96RzpHBJCsDVuLRpjO2d9b1xrfW9cb31vXGtdazxrXWs8Zxtjl1YzRtA5TS1MLW0xjjUSQnVSGmNca1trWmtaa1prem9aa1trW2t9b/lejzXqHOkcrzV9b1trnXM6Z1xrXGsrJckY6iCwNdA5XGtbazpre284Z3tvWWtaa1prW2taa1tvWmtba1prWmtaa1trWmtbb1prWms6a1prWmtaazlrWms6ZzpnGWPwPVRK+V46Z1trOmdaa1prWmtZa1prWWdaazlnWms5Z1prWmtaa1prWmtaa1prWmtaa1prWmtaa1prWmtaa1prWmtaa1prWmtaa1prWmtaa1prOWdaazlnWmtaa1prWmtaa1prWmtaa1prWmtaa1prWmtaa1prOWdaazlnWms5Z1prWmtaa1prWmtaa1prOWdaazlnWms5Z1prWmtaa1prWmtaa1prOWdaa1prWmtaa1prWmtaazlnWms5Z1prWmtaawAAWmt7b1pre29aa3tvWmt7b1pre29aa3tvWmt7b1pre29aa1prWmtaa1prWmtaa3pvWmtaa1pre29aa3pvWmtaa1prWmtZa3pvem97b1prWmtaa3pvWmtaa1lrWmtZa1prWWtZazhnWWtZazln+GL4Xk0pCiGPMbdWfXNaa3tvem9ZazlnVE4KIeoc80GQNU4pbi1VTthaGmNca35vXWt+c31vfW9baztnOmc7Zxlj11p1TlRK8T2PMS0pTi2xNRRC+V4ZYxpjOmcaYzpnO2dcaztnGmPRPekcCiErJVtrW2t8b1trO2fYWocQCyELIbA10Dlba1trOmdaa1tre29bazprWms6a1trOmtaazprWms6a1prOmtbazprWms6a1prOWtZbzlrOms7a1xvGmO4Vgwl6hzRORtf+l47Y1xnGV9aZ1lnOWdaazlnWmc6Z1trOmdbazprWms5Z1prWWtaazlnWmtaa1prOWdaa1prWms5Z1prOWdaazlnWms5Z1prWmtaa1prWmtaa1prWmtaazlnWmtaa1prWmtaazlnWmtaa1prOWdaazlnWms5Z1prOWdaazlnWms5Z1prOWdaa1prWms5ZzlnOWdaa1prWms5Z1prOWdaazlnWms5Z1prOWc5ZzlnOWc5ZzlnOWc5ZzlnAAB7b1pre29aa3tvWmt7b1pre29aa3tve297b1pre297b3tvWmt7b1prem9aa3tvWmt6b1pre297b3tvem97b1pre29aa1prWmt7b3tve29aa3tvWmt6b1prWmtZa1prWmtZa1lrWWtZa1lrOWcZY/lesDnqHI81dk6ec1trm3N6b3pvGGO2VukcLCWxOVZKsjnzQW4xTS3xPflePGddb55zOmd7b713fG9bazpnW2s6Z1trGmf5XpdSNEaxNXAxLSksKa41dE75XlxrXGtcaztnXGsaYxJCpxTpHCslGmNca3tvOmdca3VOZhDJGLE5t1ZUSnxvfG9aZ3xvWmt8b1trW2s6a1tvWmtbbzprW2s6a1trOmtbbzprW2s6a1tvOms5azlrWm86a1trXG88Z9pacDFPKewcTim5Vn5rXWc7YzljWWubb1lnOWc6Z3trW2tba1prW2taa1prWmtaa1prWmtaa1prWmtaa1prWmtaa1prWmtaa1prWms5Z1prWmtaa1prWmtaa1prWmtaa1prWmtaa1prWmtaa1prWmtaa1prWmtaa1prWms5Z1prWmtaa1prWmtaa1prOWdaazlnWms5ZzlnOWdaa1prWmtaa1prOWdaazlnWms5Z1prOWc5ZzlnWms5ZzlnOWdaazlnWmsAAFpre29aa3tvWmt7b1pre29aa3tvWmt7b1pre29aa3tvWmt7b1prWmtaa1prWmtaa1pre29aa3tvem97b1prem9aa1prWWtaa3pve29aa1prWmt6b1prWmtZa1prWWtaazhnWWtZa1lrOWc5Z/hiGWMTQskcbi0TRn1vfG96b5tzem85Z9daCiEtJW8x2153TgwljzGwNW4xTCnyPdlafW9ba5xve297b3tvm296a1prGWM6ZxpjO2cbY9laVUoTQo4xjjFMKU0tjjETRpdWG2MbYzxndlLJHKgYCyFVTlxrW2tba1xrM0aHEMkY8j35XrdWfW9ba1pre2tbazpnW2s6a1prOmtaazprWms6azprOmtaazprWms6a1trOmtaazhnWWs5azprOmtcbztnG2N2TvI5DCHrGI8tmFI8Y31rOmNaZzlnWmc5Y1pnOmdba1pnWms6Z1prWmtaazlrWmtaa1prOWdaa1prWms5Z1prWmtaazlnWms5Z1prOWdaa1prWmtaa1prWmtaa1prWmtaa1prOWdaazlnWms5Z1prWmtaazlnWms5Z1prOWdaa1prWms5Z1prOWdaazlnWms5Z1prOWc5ZzlnWmtaa1prOWdaazlnWms5Z1prOWdaazlnWms5ZzlnOWdaazlnOWc5ZwAAe297b3tvWmt7b3tve29aa3tve297b1pre297b3tvWmt7b3pve29aa3pvWmt6b1pre296b3tvWmt7b3pve29aa3tvWmtaa1pre296b3tvWmt7b1prem9aa1prWmtaa1prWWtZa3prWWtZazlnOWcZY5ZSyRhuLdA5fG98b3pvem96bzlnGWNNLS0pLilea9teFEZNLU0trzWvNY4x8kFVTltrWmt7b3trm297b3tvWWd7a1pnWms6Z3xvO2saZ/let1pUSvE9bS1MKU0przXROTVKVk5WTuocyhzKHNI5HGdbazpnO2uOMckYDCG4VhtjGmNba1trOmd8b1trW2tba1trWmtbb1prW29aa1prOWtabzprWms6a1pvOmtaazprWWtZa1pvOmtba1trXGs7Zzxndk7ROU0l6xxOKXdOXWeebzpjGWNaZ3xvOmc5Z1pnWmtaa1prWWtaa1prWmtaa1prWmtaa1prWmtaa1prWmtaa1prWmtaa1prWmtaazlne29aa1prWmtaa1prWmtaa3tvWmtaazlnWmtaa1prWmtaa1prWms5Z1prOWdaazlnWmtaa1prWmtaa1prWms5Z1prOWdaazlnWmtaa1prWmtaazlnWms5Z1prOWdaazlnWms5Z1prOWdaazlnWms5Z1prAABaa3tvWmt7b1pre29aa3tvWmt7b1pre29aa3tvWmt7b1pre29aa3pvWmtaa1prem9aa1prWmtaa1prWmtaa3pvWmt6b1prem9aa3pvWmt6b1prem9aa1prWWtaa1lrWmtZa1lrOWdZa1lrWmsZYxljl1bqHCwljzUaY3xzWmt6bzlnWmv4XvFBDCVOKftiPWscZxJCTCltLa81E0byPW0t8D2VUjlnnHN6b1prWWubb5tvm29aa1prOWc6ZzpnOmcaYxpj+V7YWnVOE0KPNW4tLSUMJS0liBSqGMscLim6Wn1vfXM7ZwshiBAMJftiXGs7ZztnOmdaa1prW2s6Z3xvOmtaa1prWms5a1prOWdaazlnWms5a1prOWdaazlrWms5a1pvWmtaazlnWms6Z1trGmMbY/I9LSVOKS0hLiV3ShtjO2c7Z1trOmdaZzlnWWdZZ1lrWWtaazlnWms6a1prOWdaa1prWms5Z1prWmtaa1prWmtaa1prOWdaazlnWmtaa1prWmtaa1prWmtaa1prWmtaazlnWms5Z1prWmtaa1prWms5Z1prOWdaazlnWms5Z1prOWdaazlnWms5Z1prOWdaazlnWms5Z1prWmtaazlnWms5Z1prOWdaazlnWms5Z1prOWdaazlnWms5Z1prOWcAAHtve297b3tve297b3tve297b1pre297b3tvWmt7b3tve29aa3tvWmt7b1pre296b3pvWmt6b1prWmtaa3pvWmt7b1pre29aa3pvWmt7b1pre29aa3pvWmtaa1lrWmtaa3pvWWtZa1lrem9aazprGWPZXiwpLCWOMdhafG97b1lrWWtaaxlndVJNKU4pmFI9a/peXGvYWkwpxxiOMTNGrzUqJY0xdE45Y5xznHOcc3pvWWtZa3tve297b3pre297b1trW2tbazpnGmPYWrdWdk4TQk4tDSWpFOwc7BwNIdM9+l47ZxtnDCXKHAwhHGdca31vO2d8b1prW2t7a1trW2taa1lrWm9aa1prWWtaa1lrWmtZa1prWWtaa1lrWmtZa1pvWmtab1prWms5Z1prOmc6Y1tn2FryPZAxTykuJQ0hFEIbX79zXGcZY1prnG9ZZ1lrWWtZa1lrWmtaa1trWmtaa1prWmtaa1prWmtaa1prWmtaa1prWmtaa1prWmtaa3tvWmt7b1prWmtaa1prWmtaa1prWmtaa1prWmtaa1prWmtaa1prWmtaazlnWmtaa1prWmtaa1prWms5Z1prOWdaa1prWmtaa1prOWdaa1prWms5Z1prOWdaazlnWms5Z1prOWdaazlnWms5Z1prOWdaawAAWmt7b1pre29aa3tvWmt7b1pre29aa3tvWmt7b1pre29aa3pvWmtaa1pre29aa3tvWmt6b1prWmtaa1prWmt6b1pre29aa1prWmtaa1prem9aa3pvWmtaa1lrWmtZa1prWmtaazlnWWtZa1prOWc6Z/le0DnpHI4xdE58b3tvWmtZa1prOme3Wo8xbi3zQV5vXW9ca/ledE6NMQohbTGWVq41bC1sLTJG+F6cb3tvWmtaa3pve2+bc3pvemtZZ1prOWc6ZzpnW2s7ZztnGmP6XhtjuFYUQnAxDSHtIO0cTy2PMfE98j0LIS0lTikcY59zXGs6Z3tvWms6Z3xvOmdba1prWmtZa1prWWtaazlnWWtZZ1lrOWdZa1lnWWs5Z1lrWmtaazlnWWtZa1lrOWdZZ1pnOmdca/pe0jWyNZIxzBgMITVGG2M8ZxpjW2t6a1lnWGdZa1hnWWtZa1prOmtaa1prWms5Z1prWmtaazlnWmtaa1prWmtaa1prWms5Z1prWmtaa1prWmtaa1prOWdaazlnWms5Z1prWmtaazlnWmtaa1prOWdaazlnWms5Z1prWmtaazlnWms5Z1prOWdaazlnWmtaa1prOWdaazlnWms5Z1prOWdaazlnWms5Z1prOWdaazlnOWc5Z1prOWc5ZzlnAAB7b3tve297b3tve297b3tve297b3tvWmt7b3tve29aa3pvWmt6b1pre297b3tve297b3pvem9aa3pvWmt7b3pve296b3tvWmt6b1prem9aa3tvWmt6b1prWmtaa1prWmtaa1prem9Za1prOWdaazpnGmMSQuocbjFTSltvvXdaa3tvOWd8b9ha0j1OLdI5Xm9dbztrO2tba9darjXPOdhat1bxPUwpTCkSQrZWOmd8b3xvW2t6a1prem96a5tve297b3premtaa3tvW2tbaztnGmM8Z/tiFEYuJewcUClwLbE5bi0sJYgQDSXsIJhWG2NcaxljfG86ZzpnfG87ZzpnW2taa1prWmtaa1lrWms5Z1prWWtaa1lrWmtZa1lrWWtbazlnOWdZZ3pvWWtZazhnWWs5YzpjGl/6WlZK0zlxLaoULiVWSjxnnnNbZzlnWWd5a1hrWWtZa1prWmtba1prW2taa1prWmtaa1prWmtaa3tvWmtaa1prWmtaa1prWmt7b1pre29aa1prWmtaazlnWmtaa1prWmt7b1prWms5Z1prWmtaazlnWms5Z1prOWdaa1prWmtaa1prWmtaazlnWmtaa3tvWmtaazlnWmtaa1prOWdaazlnWms5Z1prOWdaazlnWms5Z1prOWdaazlnWmsAAHtve297b3tvWmt7b1pre29aa3tvWmt7b1pre29aa3tvWmt6b1prem9aa3pvWmt7b1pre29aa3pvWmt6b1pre29aa3tvem97b1pre29aa3pvWmtaa1lrWms5Z1prWWtaazlnWmtZa1prWWtZazlnOmv5YpdWqBhuLa41XG9aa5xzWmt7b1trO2dVSi0lbzEcZ31vXGtba1trGWMZYxljOmcaY7haM0avNSslbS0zRjtnXGt8b1tre29aa3trWmtaa1lnem96a3pvm297bzlnWms7Z31v+l77XsscyxztIC8pmFI1StE5yhjsIOwgkDFuMTNGtlY6Z3xvlVJUSlxrfG86ZzpnW2+dc1prOWc5Z3tvWmtaazlnOWc4Z1lrWWtaazpnWms5Z1lrOGdZa1lreWtZZ1pnOWM6YxtjHGN4TtM5cC2qFOscNEb6XjpnWmtZZzdjWWtZa3prWWdaazpnWms6Z1prWmtaazlnWms5Z1prOWdaa1prWms5Z1prWmt7b1prWmtaa1prWmtaa1prWms5Z1prWmtaa1prWmtaa1prOWdaa1prWms5Z1prWmtaa1prWms5Z1prOWdaazlnWmtaa1prOWdaazlnWms5Z1prOWdaazlnWms5ZzlnOWdaazlnWms5Z1prOWc5ZzlnOWc5ZwAAe297b3tve297b1pre297b3tvWmt7b3tve29aa3tve297b1pre29aa3tvWmt7b3pve296b3tvWmt6b1pre297b3tvem97b3tve29aa3tvWmt6b1prem9aa1prWmtaa1prWmtaa3pvWmt6a1lrWms6Zzpnl1bpHE0przU7a3xve297b1prW2s7Z5dSTi1vMZdWnnNcb3xve286azpnW2tbaztnG2P6YlVKrzUsJY4x8T0aYxpjW2tba3xvW2t8b3tvm296b3lrWWd6b3pre297a3xvW2tda9pe6xzLHMwcDSX7YvtimFINJQ0l7CAURvE9TCltLa41rjWNMUwpM0YaY1xvOmc6ZzpnW29ba1trOmtaazlnWmtaa3tvWmtaazlnWms6Z1prWWtZa1hneWtZa1lnWWdbazpnXGc8Z/ped06yNbE1qhQLIVVKfW86Zzlne285ZzlnWWdaa1lrW29bb1prWmtaa1prWmtaa1prWmtaa1prWmtaa1prWmtaa1pre29aa3tvWmtaa1prWmtaa1prWmtaa1prWmtaa1prWmtaa1prWmtaa1prWmtaa1prWmtaa1prWmtaazlnWmtaa1prWmtaazlnWms5Z1prWmtaazlnWmtaa1prOWdaazlnWms5Z1prOWdaazlnWms5Z1prAAB7b3tvWmt7b1pre29aa3tvWmt7b1pre29aa3tvWmt7b1pre29aa3pvWmt7b1pre29aa3tvWmt6b1pre29aa3tvWmt6b1prem9aa3tvWmt6b1prem9aa1prWmtaa1lrWmtaa1trWmt6a1lrWms5Z1prOme3WuogKyWONRpjW2t8b3pve286Z1truFqwNS0pE0J9b51zfG97b1pre29ba3xvW2tcaxtn+V6WUjNGjjErJY4xEkKWUhpjW2t8bztnWmdZa3pvWWtZa1lrm297b3tve2saY35vPGdOKS4lzRxPKbhWfnPaXk4p6xwMIblal1bQPdA5bC0qJSslCiEsJZdSGmNcaztnO2c7Z1trGmM6ZxljW2t7b3tvOWcZYxljWms5Z1prOWdZazlnWWtZZ1lrOGdaa1prOmc6Z1xrG2P6XphSby0tJcoYTCkSQlxrOmc5ZzpnWmt7b1prOWc5Z3pvWmtaa1prWmtaa1prOWdaazlnWms5Z1prOWdaazlnWmtaa3tvWmtaa1prWmtaa1prWmtaa1prWmtaa1prWmtaa1prWms5Z1prWmtaazlnWms5Z1prOWdaazlnWms5Z1prOWdaazlnOWc5Z1prOWc5ZzlnWms5Z1prOWdaazlnOWc5Z1prOWdaazlnOWc5ZzlnOWcAAHtve297b1pre297b3tve297b1pre29aa3tve297b3tve296b3tvWmt7b3pve296b3tvem97b1pre296b3tvWmtaa1prem9aa3tvWmt7b1pre29aa3tvWmt7b1prWmtaa1tvW2t7b1prem9aa1prWmtba9haTS3qIK8111p8b3tvm3N7b1trW2v6YtI9TSmPNVxrfHOcc1pre297b3tve298b1xrO2caZ1xrGmN2UtA5rzWOMW4tbS3QOVRKGWN8b3pre2+cc3pvWmt6a3tvOmd0ThJC2V48Z9M97SDuIC8pFEZ+cxtjLSnKHAwhXmsaYxpn11qVUo4xTCksJesgTi0sJdE9llLZXl1rfW9cazpnnXM7ZxljGWNba3xvfG9aZ1prWmtaa1lrWmtZa1prOWdaa1pre286ZzpnOmdbZzpj+lp3Tk0pLCGoFE0p8j1ca1trW2t8b1prWmtZa1lrOWtaa1prWmtaa1prWmtaazlnWmtaa1prWmtaazlnWmtaa3tvWmt7b1pre29aa3tvWmtaa1prWmtaa3tvWmtaa1prWmtaa1prWmtaa1prWmtaa1prOWdaazlnWmtaa1prWmtaazlnWms5Z1prOWdaazlnWmtaa1prOWdaazlnWms5Z1prWmtaazlnWms5Z1prOWdaawAAWmt7b1pre29aa3tvWmt7b1pre29aa3tvWmt7b1pre29aa3pvWmt6b1prem9aa3tvWmt6b1pre29aa3pvWmt7bzlnWmtaa3pvWmtaa1prem9aa1prWmt6b1prWmtaa1prWmtba1prem9Za1lrWWtaaztr+F6vNekcjjF1UnxvfG9aa3tvW2tca/piFEZNLY4x+V58b5xzem9aa3tvWmt7bzlne297a1prGmM6Z/le2FoTQvE9jjFMKSslbC2vNRFC+F5aa5xvfG85Z1trOmfXWislTSnSPR1nWE7NHO8gDiWxOZ5zHGdOLckYLCVebzxnXGsaYxpn8kHqHJA1Ty2JFAwlTSksJQwhbi00RthWPGcbY1xrXGt8bztnO2c6Z1pnWmd6a1premtaZ1pnOWdaZ1prW2taZ1pnOWdZazhnOWc6Y9laVEbqHAshqBRuLRNCPGt9bztnGWM5Z5tzem84ZzlnWmtaa1prOWdaazlnWms5Z1prOWdaazlnWms5Z1prWmt7b1pre29aa1prWmtaazlnWmtaa1prWmtaa1prWms5Z1prWmtaazlnWmtaa1prOWdaazlnWms5Z1prWmtaazlnWms5ZzlnOWc5ZzlnWms5Z1prOWdaazlnWms5Z1prOWdaazlnWms5ZzlnOWc5ZzlnAAB7b1pre29aa3tvWmt7b3tve29aa3tve297b1pre297b3tvWmt7b1pre29aa3tvem97b1pre296b3tvWmt7b1prWmtaa3pvWmt7b1pre29aa1prWmt7b1pre29aa1prWmtba1tre29aa3pvWWtaa1prW2v5XhNGyBiOMTJGnXN8b3pve297bztrPGdVTrA1bjGWVltrvXd6b5tze296b3tvemt5a3pvWWdaa1pnW2saY1tr+V51TtA5jjFMKUwpTCnwPVNKGmN9b31vnXNba1NKyRgMJXAxulbdXs4cMSnuIJAxO2c8a24t6xwtKV5vPGt9bxpjnnNUSuocsjlXTuwgDSFvLTVGFEJvLSwlbi1NKfI9dU4bY1xrXGcaY1xrfG9aa1lnemtaa3trWmdbazpnW2taZ1prWWd6a1lreWtYZ5xv+Fq3VrdWCyHKGOscDCE1StlafW9ca1prWmt6b1hrWmtaa1prWmtaa1prWmtaa1prOWdaa1prWms5Z1prWmt7b1pre29aa3tvWmt7b1prWmtaa1prWmtaa1prWmtaa1prWmtaa1prWmtaa1prWmtaazlnWms5Z1prWmtaa1prWms5Z1prOWdaazlnWms5Z1prOWdaazlnWms5Z1prWmtaa1prWmtaa1prOWdaazlnWmsAAFpre29aa1prWmt7b1pre297b3tvWmt7b1pre29aa1prWmt7b1prem9aa3tvWmt7b1prem9aa3tvem97b1prWmtaa3pvWmt6b1prem9aa1prWWtaa1prem9aa1prOWdaazprW2taa1prWWtZazlnWms6ZxljVEqoGG0x8T18b3xvWmucc1prO2s8a7hWsDVtLRJCOmecc3pvm3Obc1prm3Oab3hrN2d5a3tvm29aazpn+V46ZzpnO2f4XnROrzVMKSwlbi0TRthaGmOecztn8kGIFC0lLiXUOZtW8CTPHK0YLSnYWhtjbi3KHE4pHGd+b1xrO2dca5ZSyhhPLZpS1D0OJXAxeFL8YjVG0jmxNU4pLSUsJU0p8j24VlxrPGc6YzhjWGc4Z1pnWmdbazpnW2c7Z1prOWdZa1lreWtYa3lrOWNbZzpj2Fa4Vi0liBAtJewg8j3ZXn1vW2s5ZzdnWWtZa1prWmtaa1prWms5Z1prOWdaa1prWmtaa1prWmtaa1prWmtaa1prWmtaa1prWmtaa1prWmtaa1prWmtaa1prWmtaazlnWmtaa1prOWdaa1prWms5Z1prOWdaazlnWmtaa1prOWdaazlnWms5Z1prOWdaazlnWms5Z1prOWdaa1prWms5Z1prOWdaazlnOWc5ZwAAe29aa3tvWmt7b1pre297b5xze297b3tve29aa3tvWmt7b3pve29aa3tvem97b3pve29aa3tvem97b3pve29aa3tvem97b1pre29aa3pvWmtaa1prem9aa3tvWmtaazlnWmtaa1prWWt6a1lrWms5Z1trGWOWUqcUjjHPOX1zfG97b5tzW2s6Z31z2V7xPUwp0DkZY51zWmucc5tvWmuac5pzeW+ab5pvem84ZzlnW2ucb1trOmcZYzpn+F7XWpZS0T1tLW4trzU0ShtnPGcTQgwhcC2SMVEpnFZzMRElzhxPLZdWXWtvMesgLSn6Yn1vfW9ba3xv2FosJQ0l3Fq7WpIxDSEUQj1nXms9Z7lWTi2xNbE1sTVOKS0lTSnSOVRKGWMYYzpnOmdba1trXGtbZ1xrOmdba1lnWWtYZ3lreW9aazpjOmc7Z9lal1KwNYcQDCULIbA5t1Z8b1trWWtZa1prWmtaa1prWmtZa1prOWdaa1prWmtaa1trWmtba1pre29aa1trWmtba1prWmtaa1prWmtaa1pre29aa1prWmtaa1prWmtaa1prWmtaa1prWmtaa1prOWdaazlnWms5Z1prWmtaazlnWmtaa1prOWdaazlnWms5Z1prWmtaa1prWmtaa1prWmtaazlnWms5Z1prAABaa1prWmt7b1pre297b3tve297b3tve29aa3tve297b1prem9aa3pvWmt6b1prem9aa3pvWmt6b1prem9aa3pvWmtaa1prWms5Z1prWmtaa1lrem9aa3pvWWtaa1pre29ZZ1lrWWtaa1lrWmtaa1trGWM7Z3VS6RxtLfA9Gmd8b1tre29aa3tvW2s6Z3ZSTS2wOVVOn3dba3xvm3NYZ7t3em+bc3pve29aa1prWmtaa1tre29aa1trOmc5ZxljOWf4XnVOjjFNKW0t8j13TjVGDSEPJdU5lDGuFHxOrhQQIewcNUY9Z7E56hxNKTpnnXN7a1prOWcZYyslLSl4Uh5nszWSMXAtXmsbY3ZOCyHrHOwc7RwOIXEtkTFwLS0lDCULIW4x8j12UtleXGtcazxr+WJca3xvfG9aZ1prWmt7bzpnWmdaa1trOmc5Z5VSzzmFEEspKyVMKXROXGs7Z1trOmdaazlnOWc5Z3pvem9aazlnWmtaa1trWmtba1prW2s6Z1trOmtbazprW2taa1trWmtaa1prWmtaa1prWmtaazlnWmtaa1prWmtaa1prWmtaa1prOWdaazlnWms5Z1prOWdaa1prWms5Z1prOWdaazlnWms5ZzlnOWc5ZzlnWmtaa1prWmtaazlnWms5ZzlnOWcAAHtvWmt7b3tve297b5xze297b3tve297b3tve297b3tve29aa3tvWmt7b1pre29aa3tvWmt7b1pre29aa3tvWmt6b1prem9aa1prWmtaa1prWmtaa3tvWmtaa1lrWmtaa1prWWt6b1prWmtaa1tvW2s6aztrt1YJIW0t0DkaZ3xvfG97b1prWmt7bzlnt1aOMZA1NEafdzxrfHObb3lrmnObc3tvnHN7b3tvWmt7b1pre29aa3tvWmtaazlnWms5ZxhjGWP4WlRKrzUtJY8tLiXMGHEtOUa1NVMptjXwHBAh7SDTOV5rsTnrIEwpW2ucc5tvemtaaxljbTEsJVdKHWOZUm8pNUK4Vn1r8TnKGE4pTykOIc0czRwvJZIxNkqZVjVKby0MIS0pjzGPMRNCllJcaztnO2c6Z1trW2t8b3tve29aa1trOWc5Z1pnWmv3XpVSZAzoHK85CiGwNX9vXW+dczlnOmd7b5xzOWc4Z1lrWWtZa1prWmt7b1trW29ba1trWmtba1trW2taa1tvW2tba1prW2taa1prWmtaa1pre29aa3tvWmtaa1prWms5Z1prWmtaa1prWms5Z1prWmtaa1prWmtaa1prOWdaa1prWms5Z1prOWdaazlnWmtaa1prWmt7b1prWmtaa1prOWdaawAAWmt7b1pre297b3tve297b3tve297b3tvWmt7b1pre29aa3pvWmt6b1prem9aa3pvWmt6b1prem9aa3pvWmt6b1prWmtaa1prWmtaa1lrWmtZa1prWmtaa1lrWmtZa1prWWt6a1lrWmtaa1trWmtbazpnW2u3WkwpSymvOdhanXN7b5xzWWt7b1prOmvXWtA5LCkTQl1rXGtba5tzWGuac3pve297b3tvWmt7b1pre29aa3tvWmtaa1prWms5Z1prOWd7bzpnGWNUStA1TSmpFKoUcS04RvY9cy1zLa4UECHMGC8p/GKyNaoYTSkaZ3xve2+bczlnOWfQOSwl0z0dY/xesTXzOZdOf29vLcoYFELaWnhOkjUOJasY7CBwLfRBuVb7XphS0j0tKU0pLCksJW4trzUSQrZW+V46ZzpnW2saY1trXGt8b1trW2s6Zzpn+F63ViwlqBhOLS0lDSF3UvpiW2t7b1prOWd7b3pvem9ZZ1lrWWtaa1lrWmtZa1prOmtbazpnW2taa1trWmtaa1prWmtaa1prWmtaa1prWmtaa3tvWmtaa1prWms5Z1prWmtaazlnWms5Z1prOWdaazlnWms5Z1prOWdaazlnWms5Z1prOWc5ZzlnWms5Z1prOWdaazlnWms5Z1prOWc5ZzlnAAB7b3tve297b3tve2+cc3tvnHN7b3tve297b3tve29aa3tvem97b1pre296b3tvWmt7b1pre29aa3tvWmt7b1pre29aa3tvem97b1prem9aa3pvWmt7b1pre29aa3tvemt6b1prem9aa3tvWmt7b1trW2tba/lerjUrJY4xl1Z9c5xznHN6b3pve29aaxljE0YLJdE5HGdca3xvm3N6b3pve297b3tve297b3tve297b3tve297b1pre29aa1prWmt7b1prGWM6Zztn2FpVSi0lDSEuJRZCWUpSKbU1rhjvIO4gzBz9XrM5yhgtKTxnfG97b5tzWms5Z1RKCyGRNRxjHGOYUm8puVZeZ04pDSF3Tn5rHGO5VhRCkDUNJQ0h7CCyORRCuVocZ/peNEbROdE5bi1NLW0tbS2OMa41EUJ0ThpnO2dca1xrfG87ZztnXGs8a/pe2VrSOcsc7BxQLewgE0LZXn1vO2c6Z3tvnHNaa1prWWtZa1lremtZa1prWWtaa1prWmtaa1prWmtba1prW2taa1prWmtaa1prWmtaa1prWmtaa1prWmtaa1prWmtaa1prWms5Z1prOWdaazlnWmtaa1prOWdaazlnWmtaa1prOWdaazlnWms5Z1prOWc5ZzlnWms5Z1prWmtaazlnWmsAAFpre297b3tve297b3tve297b3tve297b1pre29aa3tvWmt6b1pre29aa3pvWmt7b1prem9aa3pvWmt6b1prem9aa3tvem97b3pve29aa3pvWmtaa1prem9aa3tvWmt6b1lrem9aa3pvWmtaa1prW2s6azpr+WIRQukcbS00Sp1ze2+cc1pre29aa1trGmd2UusgjzW4Vn1vW2ubc3pvmm9aa3tvWmt7b1pre297b3tvWmt7b1pre29aa3tvWmt7b1pre286Z3tvO2caY9laNUYtJQ0l0zUeY7Q1tDVyLc4cDyXNHHpS9UGqGE4pPGd9b1prnHM5ZzpnllIsJU4t+15cazxnby13TplScS3sHHdOG2M7ZztnGmO4VlVK0jmRMQwlDCFOLTVK2l4bY/piG2N2UlVK8T2vNUwpKyUqJUwpCiGOMfE9dlLZWrhal1L7YhxjXmt/c9xeUC3MHO4gDiUtJbE1dk48a11vW2sZYzlnWWtZa1lrWWtYa1lrWGtZa1lnWmtZa1prWWtaa1prWmtaa1prWmtaa1prWmtaa1prOWdaa1prWmtaa1prWmtaazlnWms5Z1prOWc5ZzlnWms5Z1prOWdaazlnOWc5Z1prOWdaazlnOWc5ZzlnOWdaaxhjWms5Z1prOWdaa1prWms5ZwAAe297b3tve297b3tve297b3tve297b3tve29aa3tve297b3pve296b3tvem97b3pve29aa3tvWmt7b1pre29aa3tve297b3tve296b3tvem9aa1prWmtaa3pvWmt7b1prem9aa3pvWmtaa1prWmtaa1trOWc6Z1RK6RxMLRJCfW98c5xze297b3tvW2tca7dWTSluLVVOXW98b3tvm3N6b3pvWmt7b3tve297b3tve297b3tve297b3tvWmt7b1prWmt6b3tve29baxpjO2e3Uk0pLSWyNT9nu1YvJThGixAxKc4c9kH2QasYLik8Z1xre297b1prOmf5XiwlTim4Vp5z+Fp2SrI1N0bUOe0cd059b3xvnHN6a1tr+l65VldOFEbyPW8xDCWQNZdSPGc8ZzxnG2P6Xtha2Fp1ThJCjzFtLW0tbi2PMbA1CyGpGAwlNkqZUh5nP2u7WtU9MSmrFO0g7CBwMRRG+l48a31vW2t7b1premtZa1lrWGt5a1lrWmtZa1prWWtaa1prem9aa1prWmtaa1prWmtaa1trWmt7b1pre29aa1prWmtaazlnWms5Z1prOWdaazlnWms5Z1prOWdaa1prWms5Z1prWmtaazlnWms5ZzlnOWdaazlnOWc5Z1prOWdaa1prWms5Z1prAABaa3tvWmt7b1pre29aa3tvWmt7b1pre29aa3tvWmt7b1pre29aa3tvWmt7b1pre29aa3pvWmt6b1prem9aa3pvem97b1prem9aa3pvWmt6b1prWms5Z1prWmt7b1prWmtaa3pvWmtaa1lrWms5Z1prW2s6ZxpnllboHG0t0Dl9b3tvnHN6b5xzem9ba1tr2F6OMU0p0Tlca1tre296b3pvWmt7b1pre29aa3tvWmt7b1pre29aa3tvWmt7b1prWmtZa3prOGdaa1pnW2tba9hajzEsIW8t+14dY7M10zmsGBAlECUxKfdBahAuJfpeXGt7a5tvWWdaaxljTCktJVVKfGv4WvpesTX2QfZB7RxWSnxve29Za1hrOWdbaxxnHGf7YlVKsDWPMU0pTSnRPdlaXW+ec11rO2cbYzxn+mLYWnVONEqOMW0tbi0LJS0lNUrsHHAtszk3SrtavFq1Oc4c7iDuJM0cDSWxNZhWO2d9b1trW2taa1lrWWdZa1lnWWtZa1lrWWdZa1lrWmtZa1prWWtaa1prWmtaa1prWmtaa1pre29aa1prWmtaazlnWms5Z1prOWc5ZzlnOWc5ZzlnOWdaazlnWms5ZzlnOWdaazlnWms5ZzlnOWc5ZzlnWms5Z1prWmtaazlnWmtaa1prOWcAAHtvWmt7b1pre297b3tve297b1pre29aa3tve297b3tve296b3tvem97b3pve296b3tvWmt7b1pre29aa3tvWmt7b3pvem9aa3pvWmt6b1pre29aa1prWmt7b3tve296b3tvWmtaa1prWmtZa1prOWd7bxlnW2u3WukgbS3ROV1vfG+bc3tvm3N7b1prfG/4XtA5LCWPNTxrfG97b3pvWWt7b3tve297b3tve297b3tve297b3tvWmt7b1pre29aa1prem96b1prWms6Z3xv+WJVSgshbi13Th1j+14uJS8lUi0yLfAgGEarGC8pHGd9b51ze296a1pnOmdMKS0pE0J7a3trPGdWSjhK1T0OIdI5fG96b5lveGtZa1trXWscZ35vG2eXVtE9jjFNLW4tbi1USvpefnNdazxrXGtdbztnO2c6Z/le2Fq4VtE5bzE1RrE5DSUOJS8pMClxMbQ5cjFSLe4gziAPJS8pTykURvpifW9ca1trWmtaa1lrWmtZa1prWWtaa1lremtaa3prWWtaa1prWmtaa1trWmtba1prWmtaa1prWmtaa1prWmtaa1prOWdaazlnWms5Z1prOWdaazlnWms5Z1prOWdaazlnWms5ZzlnOWc5ZzlnWms5Z1prWmtaa1prWmtaa1prOWdaawAAWmt7b1pre29aa3tvWmt7b1pre29aa3tvWmt7b3tve29aa3tvWmt7b1prem9aa1prWmt6b1prem9aa1prWmt7b1prem9aa3pvWmtaa1prWmtaa1prWWtaa1pre296b3tvWmt7b1prWms5Z1lnOWdZazpnWmsZY9he6SBMKdE5O2d8b3tve2+bc3tve286ZxpnVU4KIW4xdU47Z957WWt6b1pre29aa3tvWmt7b1pre29aa3tvWmt7b1pre29aa3pvWWt6b1lrem9aa1trOmc6Z9daTCksJbA1PWccY1ZKyxgQJTIpUzH3QWoQUC0cY31vfG9aa5xzW2sZY9E5TSmwNVpnems7YxxjOEqTMXEtLSUYX3pvunNXZ5pzWms7Z11r+l47ZztnG2OXUhJCbi0rJU0pjzUzRvpeXWtdazxnXGs7Z1trOmcaYxpj+l4TQiwlkDHTPbE1sjkNJQ0lqxjtIBAlzxxsFJQ1szmSNS4pTilVStleO2tbazpnW2tbb3xvOGdaa3pvm29Za1lrOWdaa1prWmtaa1prOWdaa1pre285Z1prWmtaazlnWmtaa1prWmtaa1prWms5Z1prOWdaazlnWmtaa1prOWdaazlnWms5ZzlnOWdaazlnOWc5ZzlnOWdaazlnWms5Z1prOWdaazlnAAB7b3tve297b3tve297b3tve29aa3tve297b3tve297b3tvWmt7b3tve296b3tvem97b1pre29aa3pvWmt7b3pve29aa3tvWmt6b1prem9aa3pvWmt6b1pre296b3tvem97b1pre29aa1prWWtaa1lrWmtaazpn+F5MLQsh0T35Xnxze297b3tvm3N6b1trOme3VuogjzUSQnxvnHN7b3pve297b3tve297b3tve297b3tve297b3tve29aa3tvWmt6b1lrem9ab3tvWmtbazpn+V7xPQsh0DX6XjxnuVYuKc4cdDEyKXQ17iAOJTxnfW+dc1prvXdbaxpj8kEsJY4xe2tZZ51vPWe6VvU9UC0tKZVSem94b3hvem85a31vPGuedztn+V4aY1xrGmN1Tq81jjEsJSwprzVVTtlaXWuec1tre2+dc1trW2saY5dS0T2QMbE1uVpWSjVGby2QMYoU7yQyKRAl7yTuIFAt0z3SOakYjzXYWlxrfW87ZztnOmedc1prOGcYYzlnWmt7b3tve29aa1prWmtaa1pre29aa1prWmtaa1prWmtaa1prWmtaa1prWmtaa1prOWdaazlnWmtaa1prWmtaazlnWms5Z1prOWdaa1prWms5Z1prOWdaazlnWmtaa1prWmtaa1prWmsAAFpre29aa3tvWmt7b1pre29aa3tvWmt7b1pre29aa3tvWmt6b1pre296b3tvem97b1prem9aa3pvWmt6b1prem9aa3pvWmtaa1prWmtaa1prWmtaa1prem96b3tvWmtaa1prW2taa3pvWmt6b1lrWmtaa3tvGWMZY681yRywObdWW2t7b3prem96b3tvWms6Z9haCyVuLbA1XG9bb3tvem9aa3tvWmt7b3tve29aa3tve297b3tve297b3tvWmt6b1lrWW9Za1pvWmt7bzpnOmsZY9da6RzQNXZOXWv6XvM9axCVNe8gECUvKQ0hG2N+b3xve2+cc3trGmN2Tuscbi0YX1lnnnM9Z/xieFIuKU0pzzl6bzdnmnM4Z1lrnHM7a3xvW2sZYzpnXGtca/hetlbxPa81TCkLJQohbjFVSjtnfG+cb1trXGt8b31v+l6WUgwlLSk1Rj1r2lrZWndOsjnuIO8grRwPJXExUC1PLQ0lsDUtKQoh0DnZWp5zfW87axljOmtba3xvWmtaazpnW2taa1trOWdaazlnWmtZa1prWmtaazlnWmtaa1prOWdaa1prWms5Z1prOWdaazlnOWdaa1prWmtaazlnWms5ZzlnOWc5ZzlnOWc5ZzlnOWc5ZzlnOWc5Z1prWmtaa1prWms5ZwAAe297b3tve297b3tve297b3tve297b3tve297b3tve297b3pve297b5tze297b3tve296b3tvWmt7b3pve29aa3tvem97b1pre29aa3pvWmt6b1prem96b3tve297b1prW2tba3tvem97b3prem9Za3pvWms5ZxljM0qnFLA1VEp8b3tvm3N6b3tvem97bzpnGmNMKUwpbjE7a1trnHNaa3tve297b3tve297b3tvWmucc3tve297b3tvWmt7b1prem9Za1prWWt7b1prW2s6azpnGWNtLW0tM0ZdazxnmFLNHDItESXOHDApDSEcZ31vfG97a5xzW2tba/leLCVuLZVSWmedcztnXm/aXrE5CyVtLfheem+bczhnWmuddzprOmdba5xze2s6ZxljOmc7Z1trllLQOU0tbS1NLW4tbS2VUvhenXOdc31vO2c8Zxtn8j0sJU0p+l48Z11r2Vq5VnhOkjXsIMscsTVvMbE5TSlNLU0tbjFNLU0pjzGWUn1vfW9baztrOmdba1trW2s6a1tvWmtaa1prWmtaa1prWmtaa1prWmtaa1prWmtaa1prWmtaa1prWmtaa1prWms5Z1prWmtaa1prWms5Z1prOWdaazlnWms5Z1prOWc5ZzlnWms5Z1prWmtaa1prWmtaa1prAABaa3tvWmt7b1pre29aa3tvWmt7b1pre29aa3tvWmt7b3pve297b3tvem97b1pre29aa3pvWmt7b1pre29aa3pvWmt6b1prem9aa1prWmt6b1lrWmtaa3tvem97b1prWmtaa1trW2t7b1prWmtZa1lrWWtaaxljGmd1TqgYbi3yPTpne2+bb5tvWWt6b1prW2v4Xq816hyPMbdWfXNba3tve297b3tve297b3tvWmt7b1pre29aa3tvWmtaa1prWmtZa1lvWWtab1prWm9aa1trOmcZYxJCKynQOTxrGmP7YlEtzhxRLe4g7SAuKRtjXG9ba3tve297bztnG2dOLU0p8D2cb1trO2d9bxtnVU4KIUwpVEqdd3tvOWt7c3pvWmtaa3tve297b1prWms6Zzpn+F46Zxpjt1bxPW0tKyVNLUwtzzlTSvleXGuec11rPGfZWpA16yCPMV1rXWs7Zzxn+2L7YlZOjzHQOTNGt1p1TvE9rzVMKSwpCyELJU0tsDmWUvleXGt9bztrOmc6Z1tvWmtba1prWms5Z1prWWtaazlnWmtaa1prOWdaa1prWms5Z1prOWdaazlnWms5Z1prOWdaa1prWms5Z1prOWc5ZzlnOWc5ZzlnOWc5ZzlnOWc5Z1prOWdaazlnWms5Z1prOWcAAHtve297b3tve297b3tve297b3tve297b3tve297b3tve297b5tze297b3pve29aa3tvWmt7b3tve296b3tvWmt7b1pre296b3tvWmt7b1prem9aa3tvem97b3pve29aa3tvW2t7b3pvem9Za1lrWWt6b1lrOmcaY7daCyFNKY81Omd7b5xze296b3pve29aa/liM0bqHI4xVEqdc1trfG97b3tvnHN7b3tve297b3tve29aa3tvWmt7b1pre29aa3pvWWtab1lrem9aa1tvWmtba/he11orJa81+V47YzxnN0qMFHIxDyXMHE8tPGdca5xve297b1prXGsbY/M9LCXPNZ1zW2tba31vO2caY0wpTS2vNZ5zO2t8b5tzeW9Za3tvemt7b3pre29ba1trOmdbaxpjGmMaYxpjt1YTRo4xTCkKIQshjzWXUhxjXm89axxjmFZvLQwhuVqfc35zXWsaY1trW2sZYxlj+F5aa/he+F6WVlRO8T2OMSslCyHqICwl0Tm4WjtnXW87a1xrW2tba1prW2taa1prWWt6a1lrWmtaa1prWmtaa1prWmtaa1prWmtaa1prWms5Z1prWmtaa1prWmtaa1prOWdaazlnWms5Z1prOWdaazlnWms5Z1prWmtaa1prWms5Z1prOWdaawAAWmt7b1pre29aa3tvWmt7b3tve29aa3tvWmt7b1pre29aa3tvWmt7b3pve29aa3pvWmt7b1pre297b3tvWmtaa1pre29aa3pvWmt6b1prem9aa3pvWmtaa1pre29aa1prW2t7b1prem9aa3pvWWt6b1prWmsZZxpnt1puMQshbjH4Xlpre296b1lrem9aa1trGWOXVuocbS3xPX1vOmt8b3tve297b3tve297b1pre29aa3tvWmtaa1pre29aa3pvWm96b1lrWmtaa1pvOmtaazpnOmf4Xo0xbS2WUjtnPWuaVu4g7iAvKewcTy07Z3xvnHOcc1pre2tcaxtjd04tKY4xOmdba3trWmdaaztnEkILJU4tuFpdb1tvnHNYa3lvWGt6a3prem9ZZ1prOmdbaxljW2tca1xrGmP5XrdWt1awNZA1bi1OKS0pkTVWSh1julo+a/RBbzGQMRxnG2M7Z3tvWWvWWnpvem9Za1lnemsXYxlj+GLYXnVSEkJNLeocbi0tKQshjzFVThtnW2tbazprW2s6a1prWmtaa1lrWWtZa1prOWdaa1prWms5Z1prOWdaazlnWms5Z1prOWdaazlnWms5Z1prWmtaazlnWmtaa1prOWc5ZzlnWms5Z1prOWdaazlnWmtaa1prOWdaazlnAAB7b3tve297b3tve297b3tve297b3tve297b3tve29aa3pvWmt7b1pre296b3tvem97b3pve297b5tze297b1pre296b3tvWmt7b1pre29aa3tvWmt6b1pre296b3tvWmt8b1tre29aa3tvem+bb3pvm29Za1prGmPYXtA5CyFuLdhaOWd7b3pvem96b3tvWms6Z9haLCUsJdA5W2tba3xvnHN7b5xze2+cc3tve29aa3tvWmt7b1pre297b3tvem97c3pvWm9aa1pvWmtaazlrWmtbaxhfzzlsLVNKfG9ca9taMCnMGC4lLiUuKTxrfG+9d5xze297b51zGmMcZ04tbi2XVn1ve285Z1pne2+3VuogLSkURn5vfG97b3lveW+bc3prWmtZa3pvemt7b1prnG9bazpnGmNba1trO2f5YhpjVUqwNU4tjzFvLU8tLinSOTVGVk4tKW4tNEZ+b31zem+bczhneW9Za5tzm284Z1prWmtbaxlnOmcZY7dWM0YsJU0tbjFNKU0pjzWWUlxrXGtba1trW2tbb1prWmtaa1prWmtaa1prWmtaa1prWmtaa1prWms6Z1prWmtaa1prWms5Z1prWmtaa1prWmtaa3tvWmtaazlnWms5Z1prWmtaazlnWmtaa1prWmtaa1prWmsAAFpre29aa3tvWmt7b1pre29aa3pvWmt7b1prem9aa3tve297b1pre29aa3tvem97b1pre296b3tvWmt7b1prem9aa3tvWmt6b1prWmtaa3pvWmt6b1pre29aa3pvWmtaa1trW2taa3tvWmt6b3pvem85Z3pvOmc6Z9le8kGHEI81dVK3WpxznHNZZ5tzWWt7b1tr+F6OMekcrzUZX3xrfG9ba3tve297b1pre29aa3tvWmt7b1pre297b3tvWmt7b1prWmtaa1prWWtaa1lrWmtZazlnOWcxRowxrjX4Xnxv+l5WTokU7CDsIC4pG2Oec3xvfG97b3tvOmc6Z9heVUpPLTZKXW+dcxhjvHf3XjpnbjHrHJE1PWsaZ5xzmnNZa1lrWms5Z1lrOWdaa1pre29aa1prOmdaazpnWms5ZzpnGmcaZ9hadU7QOW4xTClNKSwpLCULIQwlCyFvMVZOXW+cc1lrem+cc1lnWmt7a1trW2tba1pnWmc5YzlnGGM5Z/heM0ZtMUwpCyULJW0t8kG4WjtnXGs7aztnfG9bazpnOWdaa1pre285ZzlnOmd7b1prWms5ZzpnOmdaa1prW2s5Z1prOWdaazlnWmtaa1prOWdaazlnWms5ZzlnOWc5ZzlnWmtaa1prWmtaazlnOWc5ZwAAe296b3tvem97b3pve296b3tvWmt7b3pve29aa3tvem97b1prem9aa3tvem97b1pre296b3tve297b3pve29aa3tvWmt7b1prem9aa3tvWmt6b1pre296b3tvWmt6b1prfG9ba3tvW2t7b3pve296b1lrWmtbazpnGmMTRqkYjzFUSthenXd8b3pvem96a1pre2v5XvE96RyvMZZSfGt8b3xve297b3tve297b3tve297b3tve297b5xze297b1prW2taa1prWmtaa1lremtZa1prOGdZa1JKCCFsLVJKW2s7Z5dWCyHKGAwhDCX6Xl1vfXN8b5xze29ba1prGWN2UpEx1D1ea1xrWmubb1lnOmcTQusckDHaXn1vW2ubc1lrem9aa1prOWdaa1pre29aa3tvWmtaa1prWmtaa1prOmdaaxlnOmcZYxljt1YzRq85jjEsKQslCyHqIOsg0TmWUnxvWmubc3tve298b5xvWmd7b1trW2taa1prOWdZazlnWmv4YthelVLxPSwpCyUsJU0tNEYbZ11vXGs7a1xrW2tbb1prW2taa1prOWdaazpnW2s6Z1prOmdaa1prW2taa1prOWdaa1prWmtaa1prWmtaa1prWmtaa1prOWdaazlnWms5Z1prWmtaa1prWms5Z1prAAB6b3tvWmt7b3pve29aa3tvWmt7b1pre29aa3tvWmt7b1prWmtZa1prWmt7b1prWmtaa3tvWmt7b3pve29aa3pvWmt7b1prWmtaa3pvWmt6b1pre29aa3tvWmt6b1prWmtba3tvWmtaa1pre29aa3pvWWd6bzpnO2saY1VOyRyPNdA9GmN8b3tvem96b1prWmtbaxpjNEbqHG0pEkI6Y51ze297b3tve297b3tvWmt7b3tve297b3tve297b1prWmtaa1trWmtaa1lrWmtZa1lrOWc4ZzlnlFKFFCopbC1bazxr+mJuLYgU6yAMJbhaXGt8b3xve297b1pre286Z7haszmSNftiXGt7b3pvWmtaZ5dSLSktKVVKfW9aa3lreWt6a1prOWdaa1pre29aa3tvWmtaa1prWmtaa3tvWmtaazpnW2tba3xvW2s6Z/he2Fp1UjNG8T3RPW4xLCksKY81GWN8b3xvW2t7a51ze2taa1prW2taa1prWmtaa1prWmtaa1trOmtba/ledU6vNU0pCyEsJW4tM0b5Xn1zXG87a1trWms6Z1prOmt7b3tve29aa1prOWc6ZzpnWms6a1prOWdaazlnWms5Z1prOWdaazlnWms5Z1prOWdaazlnOWc5Z1prOWdaa1prWms5ZzlnOWcAAHtve297b3pve297b3tvem97b3pve296b3tvem97b3pvem9aa1prWmt7b3tve29aa3pvWmt7b3pve297b3tvem97b1pre29aa3tvWmt7b1pre296b3tvWmt7b1pre29aa3xvW2t7b1pre296b3pvWWt6b1prW2s6Zztnl1YsKY81jzUaZ3tvWmubc1lre29aa3xvGmO3UgohTCmvNTpjnW98b3tve297b3tve297b3tvnHN7b3tve297b3tve29aa3tvWmtaa1prem9aa1prWWs5ZzlnOmfWWgkh6BxsLTpnXW87Z/NBZxAMJS0l2Vpdb51zW297b3pve297b1tr+V4VRlAtuVZcb5xzWmt6bzlnGmOxNS0lsTUbZ1trem9Za3tvWmtaa1pre297b3tve297b1pre29aa3tve297b1pre29ba1trOmc6ZzpnW2tca1xrO2caY9leuFYzRo81KyWWUlxrnnNba3xvfG97b1tre29aa3trWmt7b1pre29ba1trOmc6ZzprfW9ca/ledU7QOW4xbS1MKY4x8T3YWn1zW2tba3tvOms6azpnW2taa3tvWmtaazlnWmtaa1prWmtaa1prWms5Z1prWmtaa1prWmtaa1prOWdaazlnWms5Z1prWmtaa1prWmtaa1prOWdaawAAem97b3pve296b3tvem97b1pre296b3tvWmt7b3pve29aa1prWmt7b3pve296b3tvWmtaa1pre29aa3tvWmt7b1prem9aa3pvWmt6b1pre29aa3tvWmt7b1prem9aa3tvW2t7b1tre29aa3pvWWtaa1prWms6ZzpnGmPYXm4tsDWOMRpnW2taa3pvWWt6a3tve2s6Z7hWTCkrJY4xGV+db3tve297b3tve297b3tve29aa3tvWmt7b3tve297b3tvWmtaa1prWmtZa1prWWtaazlne28ZYxljzzmnGG4x2Fo8azxrVUqIFOscLSmXUlxvfG97b1pre29aa1tvW2sbYzZGUC0TQn1ve2ubb1lnOmcaY1ZOLSVuLVVKfG96a3prWmtaa1prWmtaa3tvWmt7b1pre29aa3tvWmt7b3tve297b1prGGM6a3tvnHNaaxljGmdca1trO2cbZxpjM0ZNKY8xuFpda31vfG97b1pre29aa3prWmt6a1prW2taa1trWmt8b3tvW2s6Z1trO2tba/lillLwPY0xKiUrKa41Mkb4XltrnXOdc1trWms6Z1prWmtaazlnWms5Z1prWWtaazlnWms5Z1prOWdaazlnWms5Z1prOWdaazlnWms5Z1prOWdaazlnWms5Z1prOWdaazlnAAB7b3tve297b3tve297b3tve296b3tve297b3pve297b3tvem97b3tvnHN7b5tze296b1pre296b3tvWmt7b1pre29aa3tvWmt6b1pre296b3tvem97b3pve29aa3tve298b1tre29aa3tvWmt6b1lre29aa1trOmc7Z/lejzVuMa85+F58b3pvem9Za3pvemt8bzpn+V6PMUwlji0ZX3xvfG97b5xze297b3tve297b3tvWmt7b3tve297b3tve297b1pre29aa3pvWWtaa1prWmt7bzpnGWOWUqcUjzU0RlxvO2e4VsocyhwtKVVOG2edc1tre296b1prW2tbbxpjV05wLbA1O2d7b5xze2tbaztn2VqQNS0lsDk7Z3xvWmt7b1pre29aa3tve297b1pre29aa3tvWmt7b3tve297b3tvWmtaa1pre297b3tvOmc6Z1trW2sZYztrW2vXWtE9LSXzQfpefm++d3xve2t7b3tvemt7b1prW2taa1trW2t7b3tve29ba3tvW2tbbztn+WI6Z3xv+F4RQkspSylsLa41EkK2VvheW2t8b5xzW2t7b1prWmtZa1prWWtaa1lrWmtaa1prWmtaazlnWmtaa1prOWdaazlnWms5Z1prOWdaa1prWmtaa1prOWdaa1prWmsAAHtve296b3tve297b3pve296b3tvWmt7b3pve29aa3tvem97b3pve297b5tzem97b1prem9aa3pvWmt6b1prWmtaa3pvWmtaa1prem9aa3tve297b1prem9aa3tvWmt7b3tve29aa1prWmtaa1lrWWtaa1prWmtbazpnGmNtLQolbTF0Tjpre29Za3pvWWt7b1trXGv6XvI9KyGOMdhWfGt7b3tve297b3tve297b3tve297b1pre29aa3tvWmt7b1pre29aa1prWmtaa1prWmtba3tvOmcaY7haCyFNLfJBXGs7a9haTS2oGG4tM0YaY3xve29aa3tvWmt7b1trO2eYVpExTi23Vnxve29aa3tvO2cbYxNCLCVNKbdWfG97b1prWmtaa1prWmt7b1prWmtaa1prWmtaa1pre29aa1prOWd6b1prWmsYYzlnWmucc3tvfG9aazpnOmdba/hel1ZvMZExFUY8Z35vfG9aa3tvemt6b1premtaa1trW2tba1prWWs4Z3tvnHOcc1trOmdbazpnGWM6Zzpn914RQo0xCiErJUspzzmVUltrW2s6Z1prWms5Z1prWWtaa1lnWWtZa1prOWdaazlnWms5Z1prOWdaazlnWms5Z1prOWdaazlnWms5Z1prOWdaazlnWms5ZwAAm3N7b3tve2+bc3tve297b3tve297b3pve297b3tvem97b3tve297b5xze297b1pre296b3tvWmt7b1prem9aa3tvWmt6b1pre29aa3tvem+bc3tve29aa3tvem97b3tvnHN7b3tvWmt7b1prWms5Z3tvWmt7b1trW2sZY2wtxxhMKc85OWdaa1lrm3N6a3tvfGt8azxnNEYsJY4x2FZca5xze297b3tve297b3tve2+cc3tve29aa3tve297b1pre296b3tvWmt6b1prWmtaa3xvOmdcbxpj2V5OLU0p8kF9bzpnGmOvNckcjzFUShpnnXNaa3tve297b3tvfG87Z/tisTVuLVRKnXNaZ3tve2tcaxpjl1IsJU0pNEZ9b3xve29aa1prWmt7b3tve29aa3tvWmtaa1pre29aa3tvWmt7b1prWmtaa3tve29aazpne29aa1trW2tbazlnOmc7ZzZKcC2xOblaXWtca3xvem97b3pre29aa3tvW2t8b1xre296b5tze297bzlnWmt7b3tvW2taazlnOmcZZxlj+F51UvE9bTGOMZVSW2+dczlne29aa1prWWt6b1lrWWs5Z1prWmtaa1prWmtaa1prOWdaazlnWms5Z1prWmtaazlnWmtaa1prOWdaa1prWmtaa1prAABaa3tvWmt7b1pre296b3tvWmt7b3pve29aa3tvWmt7b1pre296b3tve297b3pve29aa3tvWmt7b1pre296b3tvOWdaa1pre29aa3tvWmt6b1prem9aa3pvWmt6b1pre297b3xve297b1prWmtZa1prWmtaazpnW2s6Z7ZarjXHGColU0paa5tzWWt6b3pve298b3xr+V6XUiwlji3xPZ1ve297b3tve297b3tve297b3tve29aa1prWmt7b1pre29aa3pvWmtaa1lrWmtaa3tvOmdbaztnO2f5XtE56hzxPbdWnXM7ZxJG6RwrJZZSfXN7b3tvem97b1pre29ba1xvG2PzQQshEUKdc1prWmt7bzpnGmPYWrA5CyWwNTxrnnNba3tvWmt7b1prWmtaa3tvWmt7b1pre29aa3tvWmt7b1lrWmtaa3prWWtaa1pre29aa1prWmtaa1prW2s6ZztnHGP0PS4psDXZXlxrfG9aa1prWmtaa3tvW2tba1trfG9aa3pvem96b1lrWms5Z1prWmt7b1prW2s6ZzpnOWc6Zxlj+WL4XhpjOmdba1prWmtaa1prWWtaa1lnWWtZa1prWWtaazlnWms5Z1prOWdaazlnWms5Z1prOWdaazlnWms5Z1prOWdaazlnWms5Z1prOWcAAHtve297b3tve296b3tve297b3pve297b3tvem97b3pve296b3tve297b3tve296b3tvem97b3pve296b3tve297b1pre296b3tvWmt7b1pre29aa3tvWmt7b1pre297b3xve298b3tve29aa3pvWmtaa1prWmtaa1trGWO2VjJGtlY6Z713m3N5a1lrem9aa51vXGsaY5dSTSluLRI+fW+cb3tvnHN7b5xze2+cc3tvnHN7b3tvWmt7b1pre29aa3tvWmt6b1prWmtaa3tvWmt8b1trW2s7Zxpj0T0LIdA5+F58bzpnEkIsKU0tt1Z8b3xve297b3pve29aa3tvXGs8Z1ZOLCltLfheW2udc1prfG87Zxpj0T1NKY8x+2J+c3xvWmt7b1pre29aa3tvWmt7b1pre297b3tvWmt7b1prWmtaa3pvWmtaa1prem9aa3tvWmtaa1pre29aa1prOmf7XrpasjmPMa81GmN8b3tve2t7b3xvWmt7a3tvfG9aa3tvem+bb3pvem9Za1prWWt6b1pre29aa3tvWmtbazprO2caZzpnOmdba1trW2taa1trWmtaa1lrWmtZa3prWWtaa1prWms5Z1prOWdaa1prWms5Z1prWmtaazlnWmtaa1prOWdaa1prWms5Z1prOWdaawAAe2+bc3tve296b3tvem97b1pre29aa3tvem97b1pre29aa3tvWmt7b3pve29aa3tvem97b1prem9aa3tvWmt7b3pve29aa3pvWmtaa1prWmtaa3pvWmt6b1pre29aa3tvW2t7b1pre29aa3tvWmt7b1pre29aazpnOWc6ZxljOWd7b5xze296b1hreWtZa3tvfGt8a/peuFZNKW4t0Tl9b3tve297b3tve297b3tve297b3tvWmtaa1pre29aa1prWmtaa1lrWmtZa1prWWtaa1prW2s6ZztnGmMSQuogjjHWWnxvW2vYXlROllI7a513e297b1prem9aa1prWmtbaztnuFpMKSslU0p8b5xvWmtba3xv+V7yQU0pTilWSn5vW2t7b1pre29aa3tvWmtaa1prWmtaa3tvWmt7b1prWmtZa1prWmtaa1lrWmtaa1prWmtaa1prWmtaa1prOWc6axpjHGe5WiwlTSnxPTtnfG9ba3tvW2t7a1tre29ba1trWmt7b1pre29Za1prWWdZa1lrem9aa3tvW2t7b1trW29ba1trO2dbazpnW2s6Z1prWmtaazlnWWtZa1prWWtaa1lrWms5Z1prOWdaazlnWms5Z1prOWdaazlnWms5Z1prOWdaazlnWms5Z1prOWdaazlnAACcc3tve297b3tve297b3pve297b3tve297b3tve296b3tvem97b3pve297b3tvem97b3tve29aa3tvem97b3pve297b3tvWmt6b1pre29aa3tvWmt7b1pre296b3tvem97b3tve29aa3tvWmt7b1pre297b3tvWms5ZxhjOWc5Z3xvWmtaa1lrem95a3pve298b1xrO2PZWo4tbi3ROVxrnHN7b3tve2+cc3tve297b5xze297b1pre29aa3tvWmt7b1prWmtaa1prWWtaa1lrWms6Z1trOmtba1RKTC1tMddaWmtbazpnGmcaY31ze297b3pvem9aa3pvWmtbaztrXGvYWm4tbC1TSntve29aa3tre286ZzNGsDUtJfQ9f3N8b3tve29aa3tvWmt7b1prWmtaa3tvWmt7b1prWmtaa1prWmt7b1prWmtaa1prWmt7b1pre29aa3tvWmtaazprXGs8a9leVEptLW4xVEpca51zO2dba3xvnHM6Z1pre297b3tve29aa3pvWmt6a1lrem9aa3tvW2t8b3tvfG9ba3xvW2t8b1trW2s6a1trWmtba1prWmtZa1prWmtaa1prWmtaa1prWmtaa1prWmtaa1prWmtaa1prWmtaa1prWmtaa1prWms5Z1prWmtaazlnWmsAAHpve296b3tvWmt6b1pre29aa3tvem97b3pve296b3tvWmt7b1pre29aa3tvWmt7b3pve296b3tvWmt6b1pre29aa3pvWmt6b1prem96b3tvWmt6b1prem9aa3pvWmt7b3tve297b3tvWmtaa1prW2taa1prWmt7b1prWmtaa3tvW29ba1prem95b3lvWWt7b1trXGsbY/pebi1uLbA1fWt7b3tve297b3tve297b3tve297b1prWmtaa1prWmtaa1prWmtaa1prWWtZa1lrWWtaa1prWmtba1tr2F4SRlNKOWd7bzlnOmcZYxpnXGtba1prem9Za3pvWWtaazprW2s7Z/lejjVMKfA9W2tba3tvWmt7bzpnllLROW8tsjmfd1xre29aa3tvWmtaa1pre29aa1prWmtaa1prWmtaa1prWmtaa1prWmtaa1prWmt7b1prWmtaa3tvWmtaa1prWmtbazpn+F4aZxJCbS1tLXVOO2dca3xvfG9aa1prWmt6b1tre29aa3tvWmt6b1lrWmtZa3prWmt7b1trW2tba1xrWmtba1trW2s6Z1prOmtbazpnWms6Z1prOWdaa1prWmtaa1prWmtaazlnWms5Z1prOWdaa1prWms5Z1prWmtaazlnWms5Z1prOWdaazlnWms5ZwAAe296b3tvem97b3pve297b3tve2+bc3tve297b3tve297b3pve29aa3tvWmt7b3tve297b3tvem97b1pre296b3tvWmt7b1pre296b3tve297b1pre29aa3tvWmt7b3tve297b3tve297b1pre29aa3tvWmtaa1pre296a3tve298b1tve296b3pvWWt6b3tve2tca1xnG2OPMU0p0Tlca5xve2+cc3tve297b3tve297b1pre29aa3tvWmt7b1prW2taa3tvWmt6b1lrWmtZa3tvWWtaazlnWms6Z/hiOmd7b5tzW2tbb3xvW2udc1tre296b3pvWWt6b1prW2tba1trO2czRgohrzU6Z5xze296a1prW2vXWhNCkTGyNX9vfG9aa3tvWmt7b1pre29aa1prWmt7b1pre29aa3tvWmtba1pre29aa1trWmt7b1trW2taa3tvWmt7b1pre29aa3pvGGOcbxljGmOvNY8xTSm3Vlxrv3dbazlnm2+bczhje29ba3tve297b3pvem9Za3pvWmt7b1tre29ba1xrW2tba1prW2taa1trWmtba1prWms6Z1prWmtaa1prW2taa1prWmt7b1prWmtaa1prWmtaa1prWmtaa1prWmtaa1prWmtaa1prWmtaazlnWmtaa1prAABaa3tvWmt7b3pve296b3tvem97b3pve297b3tvem97b3pve29aa3pvWmt7b1pre297b3tvWmt7b1prem9aa3pvWmt7b1pre296b3tvWmt7b1prem9aa3pvWmt7b1pre296b3tvWmt7b1tre29aa1tre29aazlnWmtaa1prOWdaa1pre29aa1lrWWt5b3pre29ba3xrPGcbY28tTSmwMX1rfG97b3tve297b3tvWmt7b1prWmtaa1prWmt7b1prWmtaa1trWmt6b1premtZa1lrWWtZZ1lrOWcYY1prOWeccxhjWWs5Z3xvfG9ba1trOmt6b3pvWWt6b1prWms6a1trO2dba7dWrzVTSlxre2t7b1prWmtaa/le80GyOVEtHWdca3tvWmt7b1pre29aa1prWmtaa1prWmtaa1prWmtaa1prW2taa1trWmtba1prW2taa1trWmt7b1prWmtaa3pvOGd6bxhjnG/YWtlesDUtKbE5uFY7Z1trOWd7b3pvWGd7b3tvWmt7b3pve29Za1prWmt6b1pre29ba1trO2tba1prWms5ZzlnWmtbazpnWms6Z1prOmc6azpnW2s6a1trWmtaa1prWmtaa1prOWdaazlnWms5Z1prOWdaazlnWmtaa1prOWdaazlnWms5Z1prWmsAAHtvem97b3pvm3N7b5xze297b3tve297b5tze297b3tve296b3tvWmt7b1pre296b5tze297b3pve29aa3tvWmt7b3tve297b3tvem96b1pre29aa3tvWmt7b3pve296b3tvWmt7b1pre297b3tve297b1prWmt6b3tvWmtaa1prW297b5xzem96b3pvem85Z3tvXGtcaxpjjzFMKbA1fGucc3tve297b3tve297b1pre29aa1prWmt7b3tve29aa3tvW2t7b1pre29aa3prWWtZZ1lnnHNaa1prWms6Z1prnHN7b1prW2tbazpnfG97b3tvem96b3pre29aa1trWmtbaxpjW2u2VlxrfG9aa3prnHNaa3xvGWMzRtI5kDH6Xnxve297b1pre29aa3tvWmt7b1pre29aa3tvWmt7b1prW2tba3tvWmtba1prW2taa1trWmt7b1tre29aa3tvWmt6a1lnWmsYY3xvGmOXUpA1LSmxObhWXG+dczlnWWuab3tvW297b1pre297b3pvWWt6b1pre29ba3xvW2t8b1tre29aazlnOWdaa1prWms5Z1prOmdaazpnW2taa1trWmtba1pre29aa3tvWmtaazlnWms5Z1prOWdaazlnWms5Z1prWmtaa1prWmtaa1prWmtaawAAem97b3pve296b3tve297b1pre297b5tzem97b3pve29aa3tvWmt7b1pre297b3tvWmt7b3tve297b3tve297b3tve297b3tve297b3tve29aa1prWmtaa1pre29aa1pre297b3tve29aa3tve297b1pre297b3tvWmtaa1pre29aa3tvWmt6b1prWmtaa3tvWmtba1trGWPPOegcrjU5Z3tve297b3tve297b1pre29aa3tvWmt7b1pre29aa3tvWmt7b1pre29aa1prOWdZazhnWmtaa1prOWd7b3tvWmtaa1prWmtba1prW2taa1prWmt6b1pre29aa3tvW2t7bzpnOmcZZ1prW2t8b1trWmtaa5xzOWc6Z9dajjFMKfleWmtaa1pre29aa1prWmtaazlnWmtaa3tvWmt7b1prWmtaa1prWmt7b1pre29aa3tvWmt7b3tve29aa1prWmt7bzlnWmtaa1prOmc7a/leuVrLHC4pTi0bY11vW2taa3tvWmt7b1pre29aa1prWmtaa1lrWmtaa1prWmtaa1prW2taa1prWmtaa1prWmtaa1prOWdaazpnWms6Z1prWmtaa1prWmtaa1prOWdaa1prWmtaa1prOWdaazlnWmtaa1prOWdaa1prWms5Z1prWmtaazlnAAB7b3tve297b3tve2+bc3tve297b5xze2+bc3tve297b3tve297b3tve297b3tve297b3tve297b3tve297b3tve297b3tve297b3tvnHN7b3tvWmt7b1pre297b3tve2+cc3tve297b3tve297b3tvWmtaa5xze2+cc3tve297b3tvWmt7b1pre29aa3tve297b1prWmsYY7VWUkrWWntve297b3tve297b3tve29aa3tvWmt7b3tve29aa3tve297b1pre297b3tvWmtaa1prWmtaa3tvWmtaa3tvnHNaa3tvWmt7b1pre29aa3tvWmt7b1pre29aa3tvWmt7b1prWms5Z1prWmt7b3tve29aa3tvnHN7b1prWmtzTnNOe297b1pre29aa3tvWmt7b1prWmtaa3tve297b1pre29aa1prWmt7b1pre29aa3tvWmtaa1pre29aa3tvWmtaa1prWmtaa1prWmtba1trO2fZXtI96yCxOdI9XWt9b3xvWmt7b1pre29aa3tvWmt7b1prWmtaa3tvWmtaa1pre29aa1prWmtaa1prWmtaa1prWmtaa1prWmtaa1prWmtaa1prWmtaa1prWmtaa1pre29aa1prWmtaa1prWmtaa1prWmtaa1prWmtaa1prWmtaa1prWmsAAHpve296b3tve297b3tve297b5tze2+bc3tve296b3tve297b1pre29aa3tvWmt7b1pre29aa3tve297b3tve29aa3tvWmt7b3tve297b3tve297b1pre29aa3tvWmt7b3tve297b3tvWmt7b1pre285Z3tve2+cc5xznHNaa3tvWmt7b1pre29aa1prWmt7b3tve285ZzlnGGNaa3tve297b3tvWmt7b3tve29aa3tvWmt7b1pre29aa3tvWmt7b1pre29aa3tvWmtaazlnWmtaa3tvWmtaa1pre297b1prWmtaa1prWmtaa1prWmtaa1pre29aa1prWmtaa1prWmtaa1prOWdaa1prWmtaa3tvOWd7b1prWmtaazlnOWecc1pre29aa1prWmtaa1pre29aa1prWmt7b1pre29aa1prWmtaa1prWmtaa3tvWmtaa1prWmtaa1prWmtaazlnWms5Z1prWWtaa1pre287ZxtnmFbSPU4tby00Sp1zW2t7b1pre29aa1prWmt7b1prWmtaa1prWmtaa1prWmtaa1prWmtaa1prWmtaa1prWmtaazlnWms5Z1prOWdaazlnWmtaa1prOWdaa1prWmtaa1prWmtaazlnWms5Z1prOWdaa1prWms5Z1prWmtaazlnWmtaawAAe297b3tve2+bc3tvm3N7b5tze2+cc3tvm3N7b3tve297b3tve29aa3tve297b3tve297b3tve297b3tve297b3tve297b3tve297b5xze297b3tve29aa1prWmt7b3tvnHN7b3tve297b1pre29aa1pre2+cc5xznHN7b3tvWmt7b3tve29aa3tvWmt7b3tve297b5xzWmtaa1pre29aa3tve297b3tve297b3tvWmt7b3tve29aa3tve297b1pre297b3tvWmt7b1prWmtaa1pre297b1pre297b3tvWmt7b1pre29aa3tvWmt7b1pre297b3tvWmt7b1prWmtaa3tvWmt7b1prWmtaa3tve297b1pre29aa1prWmt7b1pre297b3tvWmtaa1pre297b3tvWmt7b1pre29aa3tvWmt7b1pre29aa3tvWmt7b1prWmtaa3tvWmt7b1prWmtaa1prWmtaa1lre29ba1trO2cbZ/pebzFuLY81t1acc3tve29aa3tvWmt7b1pre29aa3tvWmtaa1pre29aa1prWmt7b1prWmtaa1prWmtaa1prWmtaa1prWmtaa1prWmtaa1prWmtaa1prWmtaa1prWmtaa1prWms5Z1prWmtaazlnWmtaa1prWmtaa1prWmtaa1prAAB6b3tvem97b3pve297b3tvWmt7b3tve29aa3tvWmt7b1pre29aa3tvWmt7b3tve29aa3tvWmt7b1pre297b3tvWmt7b1pre297b3tve297b1pre29aa3tvWmtaa1pre297b3tve297b1prWmtaa3tve297b3tvnHN7b3tvWmt7b1pre297b3tvWmtaa1pre29aa3tve297b1prWmt7b5xzWmt7b1pre297b3tvWmt7b1pre29aa3tvWmt7b1pre29aa3tvWmt7b1prWmtaa1prWmtaa1prWmtaa1prWmtaa1prWmtaa3tvWmtaa1pre297b3tvWmt7b1prWmtaa1prWmt7b1prWms5Z1prWmt7b3tvWmtaa3tvOWdaa1prWmtaa3tvWmtaa1prWmtaa3tvWmtaa1pre29aa1prWmtaa1prWmtaa3tvWmtaa1prWmtaa3tvWmt7b1prWmtaa3tvWmtaa1lrWmtZa1prOmtbaxtnG2dVSm4x0T1TSpxzWWtaa1prWmtaa1prWmtaa3tvWmtaa1prWmtaa1prWmtaa1prWmtaa1prWmtaa1prWms5Z1prOWdaazlnWms5Z1prOWdaazlnWms5Z1prWmtaazlnWms5Z1prOWdaazlnWms5Z1prWmtaazlnWmtaa1prOWcAAHtve297b3tve297b5tze297b3pvm3N7b3tvWmt7b3pve297b3tve297b3tve297b3tvWmt7b3tve297b3tve297b3tve297b3tve297b3tve297b5xze297b1pre297b5xze297b3tve29aa3tvWmucc3tvnHN7b3tvWmt7b3tve297b3tve297b1pre297b3tvWmtaa3tvnHN7b5xznHN7b1pre297b3tve297b1pre29aa3tve297b1pre297b3tvWmt7b1prWmtaa3tvWmt7b1pre29aa1prWmtaa1prWmtaa3tve29aa1pre297b3tve297b3tve29aa3tvWmt7b3tve29aa1prWmt7b3tve29aa3tve297b1pre297b3tvWmt7b1pre29aa3tve297b1pre29aa3tvWmt7b1pre29aa3tvWmt7b1pre29aa3tvWmt7b3tve29aa3tvWmt6b1lrWmtZa3prWWdaa1trXGv6YhtnVEqWUjpnWWtaa1prWmt7b1pre29aa3tvWmtaa1pre29aa1prWmt7b1pre29aa3tvWmtaa1prWmtaa1prOWdaa1prWmtaa1prWmtaazlnWmtaa1prWmtaa1prWmtaa1prWmtaa1prWmtaa1prWmtaa1prWmtaa1prWmtaawAAem97b3pve297b3tve297b1pre297b3tvem97b1pre297b3tvWmt7b1pre29aa3tvWmt7b1pre29aa3tvWmt7b3tve29aa3tvWmt7b1pre29aa3tve2+cc3tve29aa3tve297b1pre29aa3tvWmt7b3tve297b3tvWmt7b1pre29aa3tvWmt7b1pre29aa3tve297b1prWmt7b5xzWmtaa1pre29aa3tve297b1pre29aa3tvWmt7b1pre29aa3tvWmt7b1prWmtaa1prWmtaa1pre29aa1prWmtaazlnWmtaa3tve297b1prWmtaa3tvWmt7b1pre29aa3tvWmt7b1pre29aa3tvWmt7b1pre285Z1prWmtaa1pre29aa3tvWmt7b1pre29aa3tvWmt7b1pre29aa1prWmtaa1prWmtaa3tvWmt7b1prWmtaa1prWmt7b1pre29aa1prWmtaa1prWWtZZ3lvWWtZazlnW29ca1trGmdba/he3ns4Y3pvWWtaa1prWmtaa1prWmtaa1prWmtaa1prWmtaa1prWmtaa1prWmtaa1prWms5Z1prOWdaazlnWms5Z1prOWdaazlnWms5Z1prOWdaazlnWmtaa1prWmtaa1prWmtaa1prWmtaazlnWmtaa1prOWdaazlnAAB7b3tve297b5tze2+bc3tve297b5xze2+bc3tve297b3tve297b1pre297b3tve297b1pre29aa3tve297b3tvnHN7b3tve297b3tve29aa1pre2+cc3tve29aa1prWmt7b3tve29aa3tvWmt7b1pre297b3tve297b3tve29aa3tve297b3tve29aa3tve29aa3tvnHN7b3tvnHOcc1pre29aa3tvWmt7b3tve29aa3tve297b1pre297b3tvWmt7b1pre29aa1prWmt7b1pre297b3tvWmt7b1prWmtaa1pre297b3tve29aa3tve297b1pre29aa3tvWmt7b1pre297b3tve297b3tve29aa1prnHN7bzlnWmt7b1prOWd7b1pre297b3tve297b1pre29aa3tvWmt7b1pre29aa3tvWmt7b1pre29aa1prWmtaa1pre29aa3tvWmtaa1prWmtZa1lreW96b1lremt7b1trXG87azpnfG/3XptzWWtaa1prWmtaa3tvWmt7b1pre29aa1prWmt7b1prWmtaa3tvWmt7b1prWmtaa1prOWdaazlnWms5Z1prWmtaazlnWmtaa1prOWdaa1prWmtaa1prWmt7b1pre29aa1prWmtaa1prWmtaa1prWmtaa1prWmsAAHtve297b3tvem97b3tve297b3tve297b3pve297b5tzWmt7b1pre29aa3tvWmt7b3tve29aa3tve297b1prWmtaa3tve297b1pre29aa3tvWmt7b1pre29aa3tvWmt7b1prWmtaa1prWmt7b3tve297b3tve297b3tve29aa3tvWmt7b1pre29aa3tvWmt7b1pre29aa3tvWmt7b3tve29aa3tvWmt7b1pre29aa3tvWmtaa1pre29aa3tvWmt7b1pre29aa3tvWmtaa1pre29aa1prWmt7b1prWmtaa1prWmt7b3tve29aa1prWmt7b1pre29aa3tvWmt7b1pre29aa1prWmtaa1prWmtaa3tvWmtaa1prWms5Z1prWmt7b1pre297b3tvWmt7b1prWmtaa3tvWmtaa1prWmtaa3tvWmt7b1pre29aa1prWmtaa1prWmtaa1prWmtaa1prWms5Z1prWWt5a1hrWWtZa1prWmtbaztnW2taa1prWWt6b1pre29aa1prOWdaa1prWmtaa1prWmtaa1prWmtaa1prWmtaa1prWms5Z1prOWdaazlnOWc5Z1prOWdaa1prWms5Z1prOWc5ZzlnWmtaa1prWmtaa1prWmtaa1prWmtaazlnWmtaa1prOWdaa1prWms5ZwAAm3N7b5tze297b3tvnHN7b5tze2+bc3tve297b5tze297b3tve297b3tve297b3tve297b3tvWmt7b1pre29aa3tve297b3tve297b3tvWmt7b3tve297b3tvWmt7b1pre29aa1prWmt7b3tve297b3tve297b3tve297b3tve297b3tve297b3tve297b3tve29aa3tve297b3tve297b3tvWmt7b3tve297b3tvWmt7b1pre29aa3tvWmt7b3tve29aa3tvWmt7b1pre29aa3tvWmt7b1pre29aa3tvWmt7b3tvnHN7b1prWmt7b3tve29aa3tvWmt7b1pre29aa1prWmt7b1pre29aa3tvWmtaa1pre29aa1prWmt7b1pre297b3tvWmtaa1pre29aa3tvWmt7b1prWmtaa3tvWmt7b1pre29aa3tvWmt7b1pre29aa3tvWmtaa1prWmtaa1prWmt6b1lreWtZa3prWWt7b1trW2taa1trWmt6b1lrem9aa3tvWmtaa1prWmtaa3tvWmt7b1pre29aa3tvWmtaa1prWmtaa1prWmtaa1prWms5Z1prWmtaa1prWmtaa1prWmtaazlnWms5Z1prWmtaa1prWmtaa1prWmtaa1prWmtaa1prWmtaa1prWmtaa1prAAB6b3tvem97b3tve297b5tze297b3tve297b3tve297b1pre29aa3tvWmt7b1pre297b3tvWmt7b1pre29aa3tvWmt7b1pre297b3tvWmt7b3tve297b3tve297b1pre29aa3tvWmtaa1pre29aa3tve297b3tve297b3tvWmt7b3tve29aa3tvWmt7b1prWmtaa3tvWmt7b3tve29aa3tvWmt7b1pre297b3tvWmt7b1pre29aa3tvWmt7b1pre29aa3tvWmtaa1pre29aa3tve297b1prWmtaa1prWmtaa1pre29aa3tvWmtaa1pre29aa1prWmtaa1prWmtaa1prWmtaa1prWmtaa3tvWmtaa1prWmtaa1prWmtaa1pre297b3tvWmtaa1pre29aa1prWmtaa1prWmtaa1prWmtaa1pre29aa1prWmtaa1prWmtaa3tvWmtaa1prWmtaa1prWmtaa1lrWWtZa3lrWGtaa1prW2s6Z1prWmt6a1lrWWtZa1prWmtaa1prWmtaa1prWmt7b1prWmtaa3tvWmtaa1prWms5Z1prOWdaazlnWms5Z1prOWdaa1prWms5Z1prOWdaazlnOWc5Z1prOWdaa1prWms5Z1prWmtaazlnWmtaa1prOWdaa1prWms5Z1prOWcAAHtve297b3pvm3N7b5xze2+bc3tvm3N7b5xze2+bc3tve297b3tve297b3tve297b5xze297b3tvnHN7b5xze297b3tve297b3tve297b1pre297b3tve297b3tve297b3tve297b1pre297b3tvWmt7b3tve297b3tve297b1pre297b3tve297b1pre29aa3tvWmt7b3tve297b3tvWmt7b3tve297b3tve297b3tve29aa3tvWmt7b1pre29aa3tvWmt7b1pre29aa3tve2+cc3tve29aa3tvWmt7b1prWmtaa3tvWmt7b1pre29aa3tvWmtaa1pre29aa1prWmt7b1pre29aa3tvWmt7b1prWmtaa1prWmtaa1pre297b3tve297b1pre297b3tvOWdaa1prWmtaa3tvWmtaa1pre29aa3tvWmt7b1pre29aa3tvWmt7b1pre29aa1prWmtba1prWmtZa3lvWWt5a1lre29ba1trWmt7b1prWWtZa1prWmtaa1pre29aa1prWmt7b1pre29aa3tvWmt7b1pre29aa1prWmtaa1prWmtaa1prWmtaa1prWmtaa1prWmtaa1prWms5Z1prWmtaa1prWmtaa1prWmtaa1prWmtaa1prWmtaa1prWmtaa1prWmtaawAAWmt7b1pre296b3tve2+cc3pve297b5tze297b3tve29aa3tvWmt7b1pre29aa3tvWmt7b3tvnHOcc5xze297b1pre29aa3tvWmt7b1pre297b3tve297b3tve29aa3tvWmt7b1pre29aa3tvWmt7b1pre29aa3tvWmt7b1pre29aa3tve297b1prWmtaa1prWmtaa1pre29aa3tvWmt7b1pre297b3tvWmt7b1pre29aa3tvWmt7b1pre29aa3tvWmtaa1prWmtaa3tvWmt7b3tve29aa1prWmtaa1prWmtaa1prWmt7b1prWmtaa3tvWmtaa1prWmtaa1prWmtaa1prWmtaa3tvWmtaa1prWms5Z1prWmtaa1prWmtaa3tvWmt7b1prWmtaa3tvWms5ZzlnWmtaa1prWmtaa1prWmtaa1prWmtaa1prWmtaa3tvWmt7b1pre29aa1prWmtba1prW2taa3prWWt5a1lrWmtaa1trWmtba1prWmtZa1lrOWdaa1prWmtaa1prWmtaa1prWmtaa1prWmtaa1prWmtaa1prWmtaazlnWms5Z1prOWdaa1prWmtaa1prWmtaazlnWms5Z1prOWdaa1prWms5Z1prWmtaazlnWmtaa1prOWdaa1prWms5Z1prWmtaazlnAAB7b3pve297b3tve2+bc3tve297b5xze2+cc3tvm3N7b3tve297b3tve297b3tve297b1pre297b5xze297b1pre29aa3tve297b3tve297b3tve297b3tve297b3tve297b3tve297b3tvWmt7b3tve29aa3tve297b3tve297b3tve297b3tve29aa3tvWmt7b1pre297b3tvWmt7b3tve29aa3tve297b1pre29aa3tvWmt7b1pre29aa3tvWmt7b1pre29aa3tvWmt7b3tve29aa3tvWmtaa1pre29aa3tvWmt7b1pre29aa3tvWmt7b1pre29aa3tvWmt7b1pre29aa3tvWmt7b1pre29aa1prWmt7b1prWmtaa3tve297b1pre29aa3tve29aaxhjWmtaa3tvWmt7b1pre29aa3tvWmt7b1pre29aa3tvWmt7b1pre29aa3tvWmt7b1prW2tba3tvWmt6b1lrem9Za3tvWmtba1tre29aa3prWWtaa1prWmtaa1prWmtaa1prWmtaa3tvWmtaa1pre29aa1prWmtaa1prWmtaa1prWmtaa1prWmtaa1prWmtaa1prWms5Z1prWmtaa1prWmtaa1prWmtaa1prWmtaa1prWmtaa1prWmtaa1prWmtaa1prWmsAAHpve29aa3tvem97b3pve296b3tve2+bc3tvm3N6b3tvWmt7b1pre29aa3tvWmt7b1pre29aa3tve297b3tve29aa3tvWmt7b3tve29aa3tvWmt7b1pre29aa3tvWmtaa1pre297b3tvWmt7b1pre29aa3tvWmt7b1pre29aa3tvWmt7b1pre29aa3tvWmtaa1pre29aa3tvWmt7b1pre29aa3tvWmt7b1pre29aa1prWmt7b1pre29aa3tvWmtaa1pre29aa1prWmt7b1pre29aa1prOWdaa1prWmtaa1prWmt7b1prWmtaa1prWmtaa1pre29aa1prWmt7b1prWmtaa3tvWmtaa1prWmtaa1prWmtaa1prWmtaa1prWmt7b1pre29aa1prWmt7bzlnGGNaa1prWmt7b3tve29aa3tvWmtaa1prWmtaa3tvWmt7b1pre29aa3tvWmt7b1prW2tba1xrWmtaa1lreW9Za1prWmtbazprW2taa3pvWWtZazlnWms5Z1prOWdaa1prWmtaa1prWmtaa1prWmtaa1prWmtaazlnWms5Z1prOWdaa1prWmtaa1prWmtaazlnWms5Z1prOWdaazlnWms5Z1prOWdaazlnWms5Z1prOWdaa1prWms5Z1prWmtaazlnWms5ZwAAm3N7b3tvem97b3tve297b3tve2+bc3tvnHN7b3tvem97b3tve297b3tve297b3tvnHN7b3tvWmt7b3tvnHN7b3tvWmt7b3tve297b3tve297b3tve297b3tvWmt7b1pre297b5xze297b1pre29aa3tvWmt7b3tve297b3tve297b1pre29aa3tve297b1pre29aa3tvWmt7b3tve29aa3tvWmt7b1pre29aa3tvWmt7b3tve29aa3tvWmt7b1pre297b3tvWmt7b1pre29aa1prWmtaa1pre29aa1prWmt7b1pre29aa3tvWmtaazlne29aa3tvWmt7b1pre29aa3tvWmt7b1pre29aa1prWmt7b1pre29aa1prWmtaa1pre29aa1prOWd7b3tvWmsYY1prWmt7b3tvnHN7b3tvWmt7b1pre29aa3tvWmt7b1pre297b3tvWmt7b1pre29aa1tvW2t7b1prem9Za3pvWWtaa1prW2tba3tvem96b1lrWmtaa1prOWdaa1prWmtaa1prWmtaa1prWmtaa1prWmt7b1prWmtaa1prWmtaa1prWmtaa1prWmt7b1prWmtaa1prOWdaa1prWmtaa1prWmtaa1prWmtaa1prWmtaa1prWmtaa1prWmtaa1prWmtaa1prAAB7b3tve297b1pre297b3tve297b3tve297b3tve2+cc1pre29aa3tvWmt7b1pre29aa3tve297b3tve297b3tvWmt7b3tve297b3tve297b1pre29aa3tvWmtaa1prWmtaa3tve297b3tve29aa3tve297b1pre29aa3tve297b1prWmt7b3tve297b1prWmtaa1prWmt7b1pre29aa3tvWmtaa1prWmtaa1prWmtaa1prWmtaa3tvWmt7b1pre29aa1prWmt7b1pre29aa3tvOWdaa1pre29aa1prWmtaa1prWmtaa3tvWmtaa1prWmtaa1prWmtaa1prWmtaa1prWmtaa1pre29aa1prWmtaa1prWmtaa1prWmtaa1pre29aa1prWmtaa1prWmtaa3tvWmt7b1pre29aa1prWmtaa1prWmtaa3tvWmt7b1pre29aa3tvWmt7b1prWmtaa1prWmtba1tre29aa3pvWmtaa1prWms5Z1prWmt7b1prWmtaa1prWmtaa1prWmtaa1prWmtaa1prWms5Z1prOWdaa1prWmtaa1prWmtaa1prWms5Z1prWmt7bzlnWms5Z1prOWdaazlnWms5ZzlnOWdaazlnWms5Z1prOWdaazlnWmtaa1prWmtaazlnWmtaa1prWmsAAHtve297b3tve297b3tve297b3tvnHN7b5xze2+cc3tve29aa3tvWmt7b1pre297b3tve297b3tve297b3tve297b3tve297b3tve297b3tve297b3tve297b1pre29aa3tve297b3tve297b3tvWmt7b3tve297b3tve297b3tvWmtaa3tve297b3tve29aa3tvWmt7b3tve297b3tve297b1pre29aa3tvWmt7b1pre29aa3tvWmt7b1pre297b3tvWmt7b3tve29aa3tvWmtaa1pre29aa1prWmt7b1pre29aa3tvWmt7b1pre29aa3tvWmt7b1prWmtaa1prWmt7b1pre29aa3tvWmt7b1pre29aa3tvWmtaa1pre29aa3tvWmt7b1prWmtaa3tvWmt7b3tve297b3tvWmt7b1prWmtaa3tvWmt7b1pre297b3tvWmt7b1pre29aa3tvWmt7b1pre297b3tvWmt7b1prWmtaa1prWmt7b1pre29aa1prWmtaa1prWmtaa1prWmtaa1prWmtaa1prWmtaa1prWmtaa1prWmtaa1prWmtaa1prWmt7b1prWms5Z1prWmtaa1prWms5Z1prOWdaazlnWmtaa1prWmtaa1prWmtaa1prWmtaa1prWmtaa1prWmtaawAAWmt7b1pre297b3tve297b3tve297b3tve297b3tve297b3tvWmt7b1pre29aa3tvWmt7b1pre29aa3tvWmt7b3tve29aa3tve297b1pre29aa3tvWmt7b3tve29aa3tvWmt7b1pre29aa3tvWmt7b3tve29aa3tvWmt7b1pre29aa3tvWmt7b3tve29aa1prWmt7b1pre29aa3tvWmt7b1prWmtaa1prWmtaa1prWmtaa3tvWmt7b1pre29aa3tvWmt7b1pre29aa3tvWmtaa1prWmtaa1prWmtaa1prWmtaa1prWmtaa1pre29aa1prWmt7b1prWmtaa1prWmtaa1prWmtaa1prWmt7b1pre29aa1prWmtaa1prWmtaa1prWmtaa1prWmtaa1prWmtaa1pre29aa3tvWmt7b1pre29aa1prWmtaa1pre29aa3tvWmt7b1prWmtaa1prWmtaa1pre29aa3tvWmt7b1prWmtaa1prOWdaa1pre29aa1prWmtaa1prWmtaa1prWmtaa1prWms5Z1prOWdaazlnWmtaa1prWmtaa1prWmtaa1prOWdaa1prWmtaa1prOWdaa1prWms5Z1prOWdaazlnWms5Z1prOWdaazlnWms5Z1prWmtaazlnWmtaa1prWmtaa1prAAB7b3tve297b3tve2+cc3tve297b3tve2+cc3tvnHN7b3tve297b1pre297b3tve297b1pre29aa3tve297b3tve297b3tve297b3tve297b3tve297b3tvnHN7b3tve297b1pre29aa3tve297b1pre297b3tve297b3tve297b3tvWmt7b3tve297b3tvWmt7b1pre29aa3tve297b1pre29aa3tvWmt7b1pre29aa3tvWmt7b1pre29aa3tvWmt7b1pre29aa3tvWmt7b1pre29aa3tvWmt7b1prWmtaa3tvWmt7b1pre29aa3tvWmt7b1pre29aa3tvWmtaa1prWmtaa1prWmt7b1pre29aa3tvWmtaa1pre29aa3tvWmt7b1prWmtaa3tvWmt7b1pre29aa3tvWmt7b3tve297b3tvWmt7b1pre29aa3tvWmt7b1pre29aa3tvWmt7b1pre29aa3tvWmt7b1prWmtaa3tvWmt7b1pre29aa1prWmtaa1prWmtaa1prWmtaa1pre29aa1prWmtaa1prWmtaa1prWmtaa1prWmtaa1prWmtaa1prWmtaa1prWmtaa1prWmtaa1prOWdaa1prWmtaa1prWmtaa1prWmtaa1prWmtaa1prWmtaa1prWmtaa1prWmsAAFpre29aa3tve297b3tvnHNaa3tve297b3tve297b3tve297b3tve29aa3tvWmt7b1pre29aa3tvWmt7b1pre297b3tve297b1pre29aa3tvWmt7b1pre297b5xze297b1prWmtaa3tvWmt7b1pre29aa3tvWmt7b1pre29aa3tvWmt7b1pre29aa3tvWmt7b1prWmtaa3tvWmt7b1prWmtaa1prWmtaa1prWmtaa1prWmt7b1pre29aa3tvWmt7b1prWmtaa3tvWmt7b1pre29aa3tvWmt7b1prWmtaa3tvWmtaa1pre29aa1prWmtaa1pre29aa3tvWmtaa1prWmtaa1prWmtaa1prWmtaa3tvWmtaa1prWmtaa1prWmtaa1prWmtaa1prWmtaa1pre285Z1prWmtaa1pre29aa3tvWmtaa1prWmtaa1prWmt7b1prWmtaa1prWmtaa1pre29aa1prWmt7b1prWmtaa1prWmtaa1prWmtaa1prWmtaa1prWmtaa1prWmtaa1prWmtaa1prWmtaazlnWms5Z1prWmtaa1prWmtaa1prWmtaazlnWms5Z1prOWdaa1prWms5Z1prOWdaazlnWms5Z1prOWdaazlnWms5Z1prOWdaazlnWms5Z1prOWdaa1prWms5ZwAAe297b3tve297b3tvnHN7b3tve297b3tve297b5xze2+cc3tve297b3tvWmt7b3tve29aa3tve297b3tve297b3tve297b3tve29aa3tvWmt7b1pre297b5xze2+cc3tve29aa3tvWmt7b1pre297b3tve297b3tve297b3tve297b1pre297b3tvWmt7b1pre29aa3tvWmt7b1pre29aa1prWmt7b1prWmtaa3tvWmt7b1pre29aa3tvWmt7b1pre29aa3tve297b1pre29aa3tve297b1prWmtaa3tve297b1pre29aa3tvWmt7b1pre29aa3tvWmt7b1pre29aa3tvWmt7b1pre29aa3tvWmt7b1prWmtaa1prWmt7b1prWmtaa1prWmtaa1pre29aa1prWmtaa1pre29aa3tvWmt7b1pre29aa3tvWmt7b1pre29aa3tvWmt7b1pre29aa3tvWmt7b1prWmtaa3tvWmt7b1pre29aa1prWmtaa1prWmtaa1prWmtaa1prWmtaa1prWmtaa1prWmtaa1prWmtaa1prWmtaa1prWmtaa1prWmtaa1prOWdaa1prWmtaa1prWmtaa1prWmtaa1prWmtaa1prWmtaa1prWmtaa1prWmtaa1prWmtaa1prWmtaa1prAAB7b3tvWmt7b3tve297b3tve297b1pre297b3tve297b3tve297b3tvWmt7b1pre29aa3tvWmt7b3tve297b3tve297b1pre29aa3tvWmtaa1prWmtaa3tve2+cc3tve297b3tvWmt7b1pre29aa3tvWmt7b1pre297b3tvWmt7b1pre29aa3tvWmt7b1pre29aa3tvWmt7b1prWmtaa1prWmtaa1prWmtaa1prWmtaa1pre29aa3tvWmt7b1prWmtaa3tvWmt7b1pre29aa1pre297b1prWmtaa1prWmt7b1prWmtaa1prWmt7b1prWmtaa3tvWmt7b1pre29aa1prWmt7b1prWmtaa1prWmtaa1prWmtaa1prWmtaa1prWmtaa1prOWdaa1prWmtaa3tvWmtaa1prWmtaa3tvWmt7b1prWmtaa1prWmtaa1prWmtaa1prWmtaa1pre29aa3tvWmt7b1prWmtaa1prWmtaa1prWmtaa1prWmtaa1prWmtaa1prWmtaa1prWmtaa1prWmtaazlnWms5Z1prOWdaa1prWmtaa1prWmtaa1prWmtaa1prOWc5Z1prWmtaa1prOWdaazlnWms5Z1prWmtaazlnWms5Z1prOWdaazlnWmtaa1prOWdaazlnWms5Z1prOWcAAHtve297b3tve297b3tve297b3tve297b3tve297b3tvnHN7b3tve297b3tve297b3tve297b3tve297b3tve297b3tve297b3tvWmt7b1pre29aa1prWmucc5xznHN7b5xze297b1pre297b3tve297b3tve297b3tve297b1pre297b3tvWmt7b3tve29aa3tvWmt7b1pre29aa1prWmtaa1prWmtaa1prWmtaa1pre297b3tvWmt7b1pre29aa3tvWmt7b1pre29aa3tvWmt7b3tve29aa1prWmt7b1pre29aa3tvWmt7b1pre29aa3tve297b1pre29aa3tvWmt7b3tve29aa3tvWmtaa1pre29aa1prWmtaa1prWmtaa1prWmtaa1prWmtaa3tvWmt7b1pre29aa3tvWmt7b1pre29aa3tvWmt7b1prWmtaa3tvWmt7b1pre29aa3tvWmt7b1pre29aa1prWmtaa1prWmtaa3tvWmtaa1prWmtaa1prWmtaa1prWmtaa1prWmt7b1prWmtaa1prWmtaa1prWmtaa1prWmtaa1prWmtaa3tvWmtaazlnWmtaa3tvWmtaa1prWms5Z1prWmtaa1prWmtaa1prWmtaa1prWmtaa1prWmtaazlnWms5Z1prOWdaawAAWmt7b3tve297b3tve297b1pre29aa3tvWmt7b3tve297b3tve297b3tve29aa3tve297b3tve297b5xze297b3tve297b3tvWmt7b1pre297b3tvWmt7b3tvnHN7b3tve297b3tve29aa3tvWmt7b1pre297b3tve297b3tve29aa3tvWmt7b1pre297b3tvWmt7b1pre29aa1prWmt7b1prWms5Z3tvWmtaa1pre29aa1prWmtaa1prWmtaa3tvWmt7b3tve29aa3tvWmt7b1pre29aa3tvWmt7b1pre29aa3tvWmt7b1prWmtaa3tvWmt7b1pre29aa1prWmt7b1pre29aa3tvWmtaa1pre29aa1prWmtaa1prWmtaa1prWmtaa1prWmtaa1prWmt7b1prWmtaa1prWmtaa1prWmtaa1prWmtaa1prWmtaa1prWmtaa1prWms5Z1prWmtaa1prWms5Z1prOWdaa1pre285Z1prWmtaa1prWmtaa1prWmtaa1prWmtaa1prWmtaa1prWms5Z1prOWdaa1prWmtaa1prOWdaazlnWms5Z1prOWdaazlnWms5Z1prWmtaazlnWmtaa1prOWdaa1prWms5Z1prOWdaazlnWms5Z1prOWdaazlnWms5Z1prOWdaazlnAAB7b3tvnHN7b5xze2+cc3tve297b3tve297b3tvnHN7b3tve2+cc3tve297b3tvWmt7b3tve297b5xze2+cc3tve297b3tve297b1pre297b3tve297b3tvnHN7b5xze2+cc3tvnHN7b3tve297b3tve29aa3tve297b3tve297b3tve297b3tve297b3tve297b1pre29aa1prWmt7b1pre29aa1prWmt7b1prWmt7b1prWmt7b1pre29aa3tvWmt7b1pre297b3tve297b3tve29aa3tvWmt7b1pre29aa3tvWmt7b1pre29aa3tvWmt7b1pre29aa3tvWmt7b1pre29aa3tvWmt7b1pre29aa1prWmt7b1prWmtaa3tvWmtaa1prWmtaa1prWmt7b1prWmtaa3tvWmt7b1pre29aa1prWmt7b1prWmtaa3tvWmtaa1prWmtaa1prWmt7b1prWmtaa1prWmtaa1pre29aa1prWmt7b1pre29aa3tvWmt7b1pre29aa1prWmt7b1pre29aa1prWmtaa1pre29aa1prWmtaa1prWms5Z1prWmtaazlnWmtaa1prWmtaa1prWmtaa1prWmtaa1prWmtaa1prWmtaa1prWms5Z1prOWdaazlnWms5Z1prOWdaazlnWmsAAHtve297b3tve2+cc3tve297b3tve297b3tve297b5xze297b3tve297b3tvWmt7b3tve29aa3tve297b3tve297b3tvWmt7b1pre29aa3tve297b1pre297b3tve297b3tve297b3tve297b1pre29aa3tvWmt7b1pre29aa3tvWmt7b1pre29aa3tvWmt7b1pre29aa1prWmtaa1prWmtaa1prOWdaa1prWmtaa3tvWmtaa1prWmtaa3tvWmtaa1pre29aa3tvWmt7b1pre29aa3tvWmtaa1pre29aa1prWmt7b1prWmtaa3tvWmt7b1pre29aa1prWmt7b1pre29aa3tvWmtaa1prWmtaa1prWmtaa1prWmtaa1prWmtaa1prWmtaa1prWmtaa1prWmtaa1prWmtaa1prWmtaa1prWmtaa1prWmtaa1prWmtaa1prWmtaa1prWmtaa1prWmtaa1prOWdaa1prWmtaa1prWmtaa1prWmtaa1prWmtaa1prWmtaa1prWmtaa1prWmtaa1prWmtaazlnWmtaa1prWmtaazlnWms5Z1prOWdaazlnWms5Z1prOWdaazlnWmtaa1prOWdaa1prWms5Z1prWmtaazlnWms5Z1prOWdaazlnWms5Z1prOWdaazlnOWc5ZwAAe297b3tve2+cc3tve297b5xze297b3tve297b3tve297b3tve297b3tve297b1pre297b3tvWmt7b3tve29aa3tve297b3tve297b3tve297b3tve297b3tve297b3tve297b3tve297b3tve29aa3tvWmt7b1pre29aa3tvWmt7b3tve29aa3tve297b1pre29aa3tvWmt7b1prWmtaa3tvWmtaa1pre29aa1prWmtaa1prWmtaa3tvWmt7b1pre29aa3tvWmt7b3tve29aa3tvWmt7b1pre29aa3tvWmt7b1pre29aa3tvWmt7b1pre29aa3tvWmt7b1pre29aa3tve297b1pre29aa1prWmtaa1prWmtaa3tvWmt7b1prWmtaa1prWmtaa1prWmtaa1prWmt7b1pre29aa1prWmtaa1prWmtaa3tvWmt7b1prWmtaa1prWmt7b1prWmtaa1prWmtaa1prWmtaa1prWmtaa1prWmtaa3tvWmt7b1prWmtaa1prWmtaa1pre29aa3tvWmtaa1prWmtaa3tvWmtaa1prWms5Z1prOWdaazlnWms5Z1prOWdaa1prWmtaa1prWmtaa1prWmtaa1prWmtaa1prWmtaa1prWmtaazlnWmtaa1prOWdaazlnWms5Z1prAABaa3tvWmt7b3tve297b3tve297b1pre29aa3tvWmt7b1pre297b3tve297b1pre297b3tvWmt7b1pre29aa3tvWmt7b1pre29aa3tve297b1pre297b3tvWmt7b3tve29aa3tvWmt7b1pre29aa3tvWmt7b1pre29aa1prWmt7b1pre29aa3tvWmt7b1pre29aa3tvWmt7b1pre29aa1prWmtaa1prWmtaa1prWmtaa1prWmtaa1prWmtaa1prWmtaa1prWmt7b1pre29aa1prWmtaa1prWmtaa1prWmtaa1prWmtaa1prWmtaa1pre29aa3tvWmt7b1pre29aa3tvWmt7b1prWmtaa1prWmtaa1prWmtaa1prWmtaa1prWmtaa1prWmtaa1prWmtaa1prWmtaa1prWmtaa1prWmtaa1prWmtaa1prWmtaa1prWmtaa1prWmt7b1prWmtaa1prOWdaa1prWmtaa1prWmtaazlnWmtaa1prWmtaa1prWms5Z1prWmtaazlnWmtaa3tvWmtaa1prWmtaa1prWmtaa1prWms5Z1prOWdaazlnWms5Z1prOWdaazlnWmtaa1prOWdaa1prWms5Z1prWmtaazlnWms5Z1prOWdaazlnWms5Z1prOWdaazlnWms5Z1prOWcAAHtvWmt7b3tve297b3tve297b3tve29aa3tvWmt7b3tve297b3tve297b3tve297b3tve297b3tve297b3tvWmt7b1pre297b3tve297b3tve297b5xze297b1pre297b3tve297b3tve29aa3tve297b1pre29aa3tvWmt7b1pre297b3tve297b1pre29aa3tve297b3tve297b3tvWmtaa1pre29aa1prWmt7b1prWmtaa1prWmtaa1pre29aa1prWmt7b1pre29aa3tvWmt7b1pre29aa3tvWmt7b1prWmtaa1prWmtaa1pre297b3tvWmt7b1pre29aa3tve297b1pre29aa1prWmtaa1prWmtaa3tvWmtaa1pre29aa1prWmtaa1prWmtaa1prWmtaa1pre29aa3tvWmt7b1prWmtaa3tvWmtaa1pre29aa1prWmt7b1pre29aa3tvWmtaa1prWmtaa1prWmt7b1prWmtaa3tvWmt7b1pre29aa1prWmt7b1prWmtaa3tve29aa1pre29aa1prWmt7b1prWmtaa1prWmtaazlnWmtaa1prOWdaa1prWmtaa1prWmtaa1prWmtaa1prWmtaa1prWmtaa1prWmtaazlnWms5Z1prOWdaazlnWms5Z1prOWdaawAAWmt7b1pre297b3tvWmt7b3tve29aa3tvWmt7b1pre29aa3tve297b3tve29aa3tve297b1pre297b3tvWmt7b1pre29aa3tve297b1pre29aa3tve297b1pre29aa3tvWmt7b1pre29aa3tvWmt7b1pre29aa3tvWmt7b1prWmt7b3tvWmt7b1prWmtaa1prWmt7b1pre297b3tvWmtaa1pre29aa1prWmt7b1prWmtaa1prWmtaa1prWmtaa1prWmtaa1prWmtaa1prWmtaa1prWmtaa1prWmtaa1prWmtaa1prWmtaa1pre29aa3tvWmt7b1prWmtaa3tvWmt7b1pre29aa1prWmtaazlnWmtaa1prWmtaa1prWmtaa1prWmtaa1prWmtaa1prOWdaa1prWmtaa1prWmtaa1prWmtaa1prWmtaa1prWmtaa1prWmtaa1pre29aa3tvWmtaazlnWmtaa1prWmtaa1prWmtaa1prWmtaa1prWmtaa1prWmt7b1prWms5Z1prWmt7b1prWmtaa1prWmtaazlnWmtaa1prOWdaazlnWms5Z1prOWdaazlnWms5Z1prOWdaa1prWms5Z1prWmtaazlnWmtaa1prOWdaazlnWms5Z1prOWdaazlnWms5Z1prOWc5ZzlnAAB7b3tve297b5xze297b3tvnHN7b3tve297b3tve297b3tve297b3tvnHN7b3tve2+cc3tve297b3tve297b1pre297b3tve297b3tve297b3tve2+cc3tve29aa3tve297b3tve29aa3tve297b3tve297b3tve297b1pre29aa3tve297b1pre29aa1prWmt7b1pre297b3tvWmtaa1prWmt7b3tvWmtaa1pre285Z1prWmtaa1prWmtaa1prWmtaa1pre29aa3tvWmtaa1pre29aa1prWmt7b1prWmtaa1prWmtaa1pre29aa3tvWmt7b1pre29aa3tvWmt7b3tve297b3tvWmtaa1prWmtaa1prWmtaa1pre29aa3tvWmtaa1prWmtaa1prWmtaazlnWmtaa3tvWmt7b1prWmtaa1prWmtaa1pre29aa3tvWmtaa1pre29aa3tvWmtaa1prWmtaa1prWmt7b1prWmtaa1prWmtaa1pre29aa3tvWmtaa1pre29aa1prOWdaa1prWmtaa1prWmtaa1prWms5Z1prWmtaazlnWms5Z1prOWdaazlnWms5Z1prWmtaa1prWmtaa1prWmtaa1prWmtaa1prWmtaa1prWmtaa1prOWdaa1prWms5Z1prOWdaazlnWmsAAEYAAAAUAAAACAAAAEdESUMDAAAAIgAAAAwAAAD/////IgAAAAwAAAD/////JQAAAAwAAAANAACAKAAAAAwAAAAEAAAAIgAAAAwAAAD/////IgAAAAwAAAD+////JwAAABgAAAAEAAAAAAAAAP///wAAAAAAJQAAAAwAAAAEAAAATAAAAGQAAAAAAAAAfAAAAKgBAADMAAAAAAAAAHwAAACpAQAAUQAAACEA8AAAAAAAAAAAAAAAgD8AAAAAAAAAAAAAgD8AAAAAAAAAAAAAAAAAAAAAAAAAAAAAAAAAAAAAAAAAACUAAAAMAAAAAAAAgCgAAAAMAAAABAAAACcAAAAYAAAABAAAAAAAAAD///8AAAAAACUAAAAMAAAABAAAAEwAAABkAAAADgAAAHwAAAA/AQAAkgAAAA4AAAB8AAAAMgEAABcAAAAhAPAAAAAAAAAAAAAAAIA/AAAAAAAAAAAAAIA/AAAAAAAAAAAAAAAAAAAAAAAAAAAAAAAAAAAAAAAAAAAlAAAADAAAAAAAAIAoAAAADAAAAAQAAAAlAAAADAAAAAEAAAAYAAAADAAAAAAAAAASAAAADAAAAAEAAAAeAAAAGAAAAA4AAAB8AAAAQAEAAJMAAAAlAAAADAAAAAEAAABUAAAAqAAAAA8AAAB8AAAAnAAAAJIAAAABAAAAVVWPQSa0j0EPAAAAfAAAAA8AAABMAAAAAAAAAAAAAAAAAAAA//////////9sAAAASAB1AG0AYgBlAHIAdABvACAAQwBvAGwAbQBhAG4AAAAMAAAACgAAAA8AAAAKAAAACQAAAAYAAAAGAAAACgAAAAUAAAALAAAACgAAAAQAAAAPAAAACQAAAAoAAABLAAAAQAAAADAAAAAFAAAAIAAAAAEAAAABAAAAEAAAAAAAAAAAAAAAqQEAANEAAAAAAAAAAAAAAKkBAADRAAAAJQAAAAwAAAACAAAAJwAAABgAAAAEAAAAAAAAAP///wAAAAAAJQAAAAwAAAAEAAAATAAAAGQAAAAOAAAAmQAAAD8BAACvAAAADgAAAJkAAAAyAQAAFwAAACEA8AAAAAAAAAAAAAAAgD8AAAAAAAAAAAAAgD8AAAAAAAAAAAAAAAAAAAAAAAAAAAAAAAAAAAAAAAAAACUAAAAMAAAAAAAAgCgAAAAMAAAABAAAACUAAAAMAAAAAQAAABgAAAAMAAAAAAAAABIAAAAMAAAAAQAAAB4AAAAYAAAADgAAAJkAAABAAQAAsAAAACUAAAAMAAAAAQAAAFQAAACgAAAADwAAAJkAAAB+AAAArwAAAAEAAABVVY9BJrSPQQ8AAACZAAAADgAAAEwAAAAAAAAAAAAAAAAAAAD//////////2gAAABWAGkAYwBlAHAAcgBlAHMAaQBkAGUAbgB0AGUACwAAAAQAAAAIAAAACQAAAAoAAAAGAAAACQAAAAcAAAAEAAAACgAAAAkAAAAKAAAABgAAAAkAAABLAAAAQAAAADAAAAAFAAAAIAAAAAEAAAABAAAAEAAAAAAAAAAAAAAAqQEAANEAAAAAAAAAAAAAAKkBAADRAAAAJQAAAAwAAAACAAAAJwAAABgAAAAEAAAAAAAAAP///wAAAAAAJQAAAAwAAAAEAAAATAAAAGQAAAAOAAAAtgAAAJoBAADMAAAADgAAALYAAACNAQAAFwAAACEA8AAAAAAAAAAAAAAAgD8AAAAAAAAAAAAAgD8AAAAAAAAAAAAAAAAAAAAAAAAAAAAAAAAAAAAAAAAAACUAAAAMAAAAAAAAgCgAAAAMAAAABAAAACUAAAAMAAAAAQAAABgAAAAMAAAAAAAAABIAAAAMAAAAAQAAABYAAAAMAAAAAAAAAFQAAABQAQAADwAAALYAAACZAQAAzAAAAAEAAABVVY9BJrSPQQ8AAAC2AAAAKwAAAEwAAAAEAAAADgAAALYAAACbAQAAzQAAAKQAAABGAGkAcgBtAGEAZABvACAAcABvAHIAOgAgAEgAVQBNAEIARQBSAFQATwAgAEEAUgBJAEUATAAgAEMATwBMAE0AQQBOACAAQwBBAFMAVABJAEwATABPAAAACAAAAAQAAAAGAAAADwAAAAkAAAAKAAAACgAAAAUAAAAKAAAACgAAAAYAAAAEAAAABQAAAAwAAAAMAAAADwAAAAoAAAAJAAAACgAAAAkAAAANAAAABQAAAAsAAAAKAAAABQAAAAkAAAAIAAAABQAAAAsAAAANAAAACAAAAA8AAAALAAAADQAAAAUAAAALAAAACwAAAAkAAAAJAAAABQAAAAgAAAAIAAAADQAAABYAAAAMAAAAAAAAACUAAAAMAAAAAgAAAA4AAAAUAAAAAAAAABAAAAAUAAAA</Object>
  <Object Id="idInvalidSigLnImg">AQAAAGwAAAAAAAAAAAAAAKgBAADQAAAAAAAAAAAAAAC/HQAAqw4AACBFTUYAAAEArCEBANI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A4AAAAEAAAAJwAAAB0AAAAOAAAABAAAABoAAAAaAAAAIQDwAAAAAAAAAAAAAACAPwAAAAAAAAAAAACAPwAAAAAAAAAAAAAAAAAAAAAAAAAAAAAAAAAAAAAAAAAAJQAAAAwAAAAAAACAKAAAAAwAAAABAAAAFQAAAAwAAAADAAAAcgAAAKAJAAAPAAAABAAAACYAAAAbAAAADwAAAAQAAAAYAAAAGAAAAAAA/wEAAAAAAAAAAAAAgD8AAAAAAAAAAAAAgD8AAAAAAAAAAP///wAAAAAAbAAAADQAAACgAAAAAAkAABgAAAAYAAAAKAAAABgAAAAYAAAAAQAgAAMAAAAACQAAAAAAAAAAAAAAAAAAAAAAAAAA/wAA/wAA/wAAAAAAAAAAAAAAAAAAAAAAAAAAAAAAAAAAAAAAAAAAAAAAAAAAAAAAAAAAAAAAAAAAACkrprMeH3eAAAAAAAAAAAAAAAAAAAAAAAAAAAAAAAAAAAAAAAAAAAAeH3eAKSumswAAAAAAAAAAAAAAAAAAAAAAAAAAAAAAAAAAAAAYGRluAAAAAAAAAAAAAAAAAAAAAB4fd4A7Pe3/Hh93gAAAAAAAAAAAAAAAAAAAAAAAAAAAAAAAAB4fd4A7Pe3/Hh93gAAAAAAAAAAAAAAAAAAAAAAAAAAAAAAAAAAAAAA5OjrRODo63gsLCzEAAAAAAAAAAAAAAAAeH3eAOz3t/x4fd4AAAAAAAAAAAAAAAAAAAAAAHh93gDs97f8eH3eAAAAAAAAAAAAAAAAAAAAAAAAAAAAAAAAAAAAAAAAAAABERUXdQ0VF/jw+PvgVFhZgAAAAAAAAAAAAAAAAHh93gDs97f8eH3eAAAAAAAAAAAAeH3eAOz3t/x4fd4AAAAAAAAAAAAAAAAAAAAAAAAAAAAAAAAAAAAAAAAAAAAAAAABERUXdkZKS/5ucnP84Ojr/ISIilyEiIpc6OztvAAAAAB4fd4A7Pe3/Hh93gB4fd4A7Pe3/Hh93gAAAAAAAAAAAAAAAAAAAAAAAAAAAAAAAAAAAAAAAAAAAAAAAAAAAAABERUXdkZKS//r6+v/HyMj/S01N/EtNTfzAwcH4VFRUVgAAAAAeH3eAOz3t/zs97f8eH3eAAAAAAAAAAAAAAAAAAAAAAAAAAAAAAAAAAAAAAAAAAAAAAAAAAAAAAAAAAABERUXdkZKS//r6+v/6+vr/5eXl/+Xl5f/w8PD1VFRUVgAAAAAeH3eAOz3t/zs97f8eH3eAAAAAAAAAAAAAAAAAAAAAAAAAAAAAAAAAAAAAAAAAAAAAAAAAAAAAAAAAAABERUXdkZKS//r6+v/6+vr/+vr6//Dw8PVUVFRWAAAAAB4fd4A7Pe3/Hh93gB4fd4A7Pe3/Hh93gAAAAAAAAAAAAAAAAAAAAAAAAAAAAAAAAAAAAAAAAAAAAAAAAAAAAABERUXdkZKS//r6+v/6+vr/8PDw9VRUVFYAAAAAHh93gDs97f8eH3eAAAAAAAAAAAAeH3eAOz3t/x4fd4AAAAAAAAAAAAAAAAAAAAAAAAAAAAAAAAAAAAAAAAAAAAAAAABERUXdkZKS//r6+v/w8PD1VFRUVgAAAAAeH3eAOz3t/x4fd4AAAAAAAAAAAAAAAAAAAAAAHh93gDs97f8eH3eAAAAAAAAAAAAAAAAAAAAAAAAAAAAAAAAAAAAAAAAAAABERUXdkZKS//Dw8PVUVFRWAAAAAB4fd4A7Pe3/Hh93gAAAAAAGBgYcAAAAAAAAAAAAAAAAAAAAAB4fd4A7Pe3/Hh93gAAAAAAAAAAAAAAAAAAAAAAAAAAAAAAAAAAAAABERUXde319/4OEhOYAAAAAAAAAACkrprMeH3eAAAAAAExNTYJAQUHOAAAAAAAAAAAAAAAAAAAAAAAAAAAeH3eAKSumswAAAAAAAAAAAAAAAAAAAAAAAAAAAAAAAAAAAABERUXdODo6/2ZnZ/+np6fQAAAAAAAAAAAAAAAAT09PdkNFRf5ERUXdAAAAAAAAAAAAAAAAAAAAAAAAAAAAAAAAAAAAAAAAAAAAAAAAAAAAAAAAAAAAAAAAAAAAAAYGBhw8Pj74e319//r6+v/6+vr/wcHBxQAAAABUVFRW8PDw9Xt9ff88Pj74BgYGHAAAAAAAAAAAAAAAAAAAAAAAAAAAAAAAAAAAAAAAAAAAAAAAAAAAAAAAAAAAAAAAAB4fH4phYmL6+vr6//r6+v/6+vr/+vr6/8vLy8/w8PD1+vr6//r6+v9hYmL6Hh8figAAAAAAAAAAAAAAAAAAAAAAAAAAAAAAAAAAAAAAAAAAAAAAAAAAAAAAAAAAAAAAAD5AQO6mp6f/+vr6//r6+v/6+vr/+vr6//r6+v/6+vr/+vr6//r6+v+mp6f/PkBA7gAAAAAAAAAAAAAAAAAAAAAAAAAAAAAAAAAAAAAAAAAAAAAAAAAAAAAAAAAAAAAAADg6Ov+9vb3/+vr6//r6+v/6+vr/+vr6//r6+v/6+vr/+vr6//r6+v+9vb3/ODo6/wAAAAAAAAAAAAAAAAAAAAAAAAAAAAAAAAAAAAAAAAAAAAAAAAAAAAAAAAAAAAAAADg6Ov+9vb3/+vr6//r6+v/6+vr/+vr6//r6+v/6+vr/+vr6//r6+v+9vb3/ODo6/wAAAAAAAAAAAAAAAAAAAAAAAAAAAAAAAAAAAAAAAAAAAAAAAAAAAAAAAAAAAAAAADk6OtGHiIj/+vr6//r6+v/6+vr/+vr6//r6+v/6+vr/+vr6//r6+v+RkpL/OTo60QAAAAAAAAAAAAAAAAAAAAAAAAAAAAAAAAAAAAAAAAAAAAAAAAAAAAAAAAAAAAAAABgZGW5BQ0P81dXV//r6+v/6+vr/+vr6//r6+v/6+vr/+vr6/+Xl5f9BQ0P8GBkZbgAAAAAAAAAAAAAAAAAAAAAAAAAAAAAAAAAAAAAAAAAAAAAAAAAAAAAAAAAAAAAAAAAAAAAyMzPKVFZW+tXV1f/6+vr/+vr6//r6+v/6+vr/1dXV/1RWVvoyMzPKAAAAAAAAAAAAAAAAAAAAAAAAAAAAAAAAAAAAAAAAAAAAAAAAAAAAAAAAAAAAAAAAAAAAAAAAAAAGBgYcMTIyvjg6Ov94enr8kZKS/5GSkv94enr8ODo6/zEyMr4GBgYcAAAAAAAAAAAAAAAAAAAAAAAAAAAAAAAAAAAAAAAAAAAAAAAAAAAAAAAAAAAAAAAAAAAAAAAAAAAAAAAAAAAAABISElEkJiamREVF3URFRd0kJiamEhISUQAAAAAAAAAAAAAAAAAAAAAAAAAAAAAAAAAAAAAAAAAAAAAAAAAAAAAAAAAAAAAAAAAAAAAAAAAAAAAAAAAAAAAAAAAAAAAAAAAAAAAAAAAAAAAAAAAAAAAAAAAAAAAAAAAAAAAAAAAAAAAAAAAAAAAAAAAAAAAAAAAAAAAAAAAAAAAAACcAAAAYAAAAAQAAAAAAAAD///8AAAAAACUAAAAMAAAAAQAAAEwAAABkAAAANgAAAAUAAACrAAAAGwAAADYAAAAFAAAAdgAAABcAAAAhAPAAAAAAAAAAAAAAAIA/AAAAAAAAAAAAAIA/AAAAAAAAAAAAAAAAAAAAAAAAAAAAAAAAAAAAAAAAAAAlAAAADAAAAAAAAIAoAAAADAAAAAEAAABSAAAAcAEAAAEAAADv////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NgAAAAUAAACsAAAAHAAAACUAAAAMAAAAAQAAAFQAAACoAAAANwAAAAUAAACqAAAAGwAAAAEAAABVVY9BJrSPQTcAAAAFAAAADwAAAEwAAAAAAAAAAAAAAAAAAAD//////////2wAAABGAGkAcgBtAGEAIABuAG8AIAB2AOEAbABpAGQAYQAAAAgAAAAEAAAABgAAAA8AAAAJAAAABQAAAAoAAAAKAAAABQAAAAgAAAAJAAAABAAAAAQAAAAKAAAACQAAAEsAAABAAAAAMAAAAAUAAAAgAAAAAQAAAAEAAAAQAAAAAAAAAAAAAACpAQAA0QAAAAAAAAAAAAAAqQEAANE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kAAAAAAAAAFAAAAAhAPAAAAAAAAAAAAAAAIA/AAAAAAAAAAAAAIA/AAAAAAAAAAAAAAAAAAAAAAAAAAAAAAAAAAAAAAAAAAAlAAAADAAAAAAAAIAoAAAADAAAAAMAAAAnAAAAGAAAAAMAAAAAAAAAAAAAAAAAAAAlAAAADAAAAAMAAABMAAAAZAAAAAAAAAAAAAAA//////////8AAAAAJAAAAEABAAAAAAAAIQDwAAAAAAAAAAAAAACAPwAAAAAAAAAAAACAPwAAAAAAAAAAAAAAAAAAAAAAAAAAAAAAAAAAAAAAAAAAJQAAAAwAAAAAAACAKAAAAAwAAAADAAAAJwAAABgAAAADAAAAAAAAAAAAAAAAAAAAJQAAAAwAAAADAAAATAAAAGQAAAAAAAAAAAAAAP//////////QAEAACQAAAAAAAAAUAAAACEA8AAAAAAAAAAAAAAAgD8AAAAAAAAAAAAAgD8AAAAAAAAAAAAAAAAAAAAAAAAAAAAAAAAAAAAAAAAAACUAAAAMAAAAAAAAgCgAAAAMAAAAAwAAACcAAAAYAAAAAwAAAAAAAAAAAAAAAAAAACUAAAAMAAAAAwAAAEwAAABkAAAAAAAAAHQAAAA/AQAAdQAAAAAAAAB0AAAAQAEAAAIAAAAhAPAAAAAAAAAAAAAAAIA/AAAAAAAAAAAAAIA/AAAAAAAAAAAAAAAAAAAAAAAAAAAAAAAAAAAAAAAAAAAlAAAADAAAAAAAAIAoAAAADAAAAAMAAAAnAAAAGAAAAAMAAAAAAAAA////AAAAAAAlAAAADAAAAAMAAABMAAAAZAAAAAAAAAAkAAAAPwEAAHMAAAAAAAAAJAAAAEABAABQAAAAIQDwAAAAAAAAAAAAAACAPwAAAAAAAAAAAACAPwAAAAAAAAAAAAAAAAAAAAAAAAAAAAAAAAAAAAAAAAAAJQAAAAwAAAAAAACAKAAAAAwAAAADAAAAJwAAABgAAAADAAAAAAAAAP///wAAAAAAJQAAAAwAAAADAAAATAAAAGQAAAALAAAARQAAACcAAABzAAAACwAAAEUAAAAdAAAALwAAACEA8AAAAAAAAAAAAAAAgD8AAAAAAAAAAAAAgD8AAAAAAAAAAAAAAAAAAAAAAAAAAAAAAAAAAAAAAAAAACUAAAAMAAAAAAAAgCgAAAAMAAAAAwAAAFIAAABwAQAAAwAAANb///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RQAAACYAAABzAAAAAQAAAFVVj0EmtI9BDAAAAHQAAAABAAAATAAAAAQAAAALAAAARQAAACgAAAB0AAAAUAAAAFgAAAAbAAAAFgAAAAwAAAAAAAAAJQAAAAwAAAACAAAAJwAAABgAAAAEAAAAAAAAAP///wAAAAAAJQAAAAwAAAAEAAAATAAAAGQAAAA2AAAAKAAAADQBAABzAAAANgAAACgAAAD/AAAATAAAACEA8AAAAAAAAAAAAAAAgD8AAAAAAAAAAAAAgD8AAAAAAAAAAAAAAAAAAAAAAAAAAAAAAAAAAAAAAAAAACUAAAAMAAAAAAAAgCgAAAAMAAAABAAAACcAAAAYAAAABAAAAAAAAAD///8AAAAAACUAAAAMAAAABAAAAEwAAABkAAAANgAAACgAAAA0AQAAbwAAADYAAAAoAAAA/wAAAEg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IQAAAAgAAABiAAAADAAAAAEAAABLAAAAEAAAAAAAAAAFAAAAIQAAAAgAAAAeAAAAGAAAAAAAAAAAAAAAqQEAANE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IJ20/AAAAAAAAAAB+P2w/AABYQgAAIEIkAAAAJAAAAAgnbT8AAAAAAAAAAH4/bD8AAFhCAAAgQgQAAABzAAAADAAAAAAAAAANAAAAEAAAADYAAAAo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lQAAAE0AAAAAAAAAIQAAAAgAAABiAAAADAAAAAEAAAAVAAAADAAAAAQAAAAVAAAADAAAAAQAAABRAAAAePoAADYAAAAoAAAAvwAAAG4AAAAAAAAAAAAAAAAAAAAAAAAA+QAAAIAAAABQAAAAKAAAAHgAAAAA+gAAAAAAACAAzACVAAAATQAAACgAAAD5AAAAgAAAAAEAEAAAAAAAAAAAAAAAAAAAAAAAAAAAAAAAAAA5Z1prWmt7b1prWmtaa3tvWmtaa1pre29aa3tvWmt7b3tve29aa3tvWmtaa1prWmtaa3tvWmt7b1prWmtaa1prWmtaa1pre29aa3tvWmt7b1prWmtaa1prOWdaa1prWmtaa1prWmtaa1pre29aa3tvWmtaa1prWmtaa1prWmtaa1prWms5Z1prOWdaa1prWms5Z1prWmt7b1prWmtaa1prWmt7b1prWms5Z1prOWdaa1prWmtaa1prWmtaa1prWms5Z1prOWdaazlnWmtaa1prWmtaa1pre29aa1prWmtaazlnWmtaa1prWmtaa1prWms5Z1prWmtaazlnWms5Z1prWmtaazlnWms5Z1prOWdaazlnWms5Z1prOWdaazlnWms5Z1prWmtaa1prWms5Z1prOWc5ZzlnWms5Z1prOWdaa1prWmtaa1prWmtaa1prWms5Z1prOWdaazlnWms5Z1prOWdaazlnWms5Z1prOWdaazlnWms5Z1prOWdaa1prWms5Z1prWmtaazlnWms5Z1prWmtaazlnWms5ZzlnOWdaazlnOWc5ZzlnOWc5ZzlnWmtaazlnOWd7b3tve285Z1prOWc5ZzlnOWc5ZzlnOWc5ZzlnWmtaa1prOWc5Zzlne285Z1prOWc5ZzlnOWc5Z1prGGMAAHtvWmt7b3tve29aa3tve297b1pre297b3tvWmt7b1pre297b3tvWmtaa1pre29aa3tvWmt7b1pre29aa3tvWmtaa1pre29aa3tvWmt7b1pre29aa1prWmtaa1prWmtaa3tvWmt7b1pre29aa3tve297b1pre29aa1prWmt7b1prWmtaa1prWmtaa1prWmtaa1prWmt7b1pre29aa3tvWmt7b3tve29aa1prOWdaa1prWmtaa3tvWmt7b1pre29aa1prOWdaa1prWmtaa1prWmtaa1pre29aa3tvWmt7b1prWmtaa3tvWmt7b1pre29aa1prWmt7b1prWmtaa1prWmtaa1prWmtaa1prWmtaa1prWms5Z1prWmtaa1prWmtaa1prWmtaa1prWmtaa1prWmtaazlnWms5Z1prWmtaazlnWmtaa1prWmtaa1prWmtaa1prWmtaa1prWmtaa1prWmtaa1prWmtaa1prWmtaa1prWmtaa1prWmtaa1prWmtaa1prWmtaa1prWms5Z1prWmtaazlnWmtaa1prOWdaa1prWms5Z1prOWc5ZzlnWmtaa1prOWdaa3tve29aa1prOWdaazlnOWc5ZzlnOWdaazlnWmtaa3tvWmtaazlnWmtaa1prOWdaazlnWms5Z1prOWdaawAAWmt7b3tve29aa3tvWmt7b1pre29aa3tvWmt7b1prWmtaa3tvWmtaa1prWmtaa1prWmt7b1prWmtaa1prWmtaa1prWmtaa1prWmtaa1prWmtaa1prWmtaa1prWmtaa1prWmt7b1prWmtaa3tvWmt7b1pre29aa1prWmtaa1prWmtaa1prWmtaa1prWmtaa1prWmt7b1prWmtaa1prWmtaa1pre29aa1prOWdaazlnWms5Z1prWmtaa1prWms5Z1prWmtaazlnWmtaa1prWmtaa1prWmtaa1prWmtaa1prWmtaa1prWmtaa1pre29aa3tvWmtaa1prWmtaa1prOWdaa1prWmtaa1prWmtaa1prWms5Z1prWmtaa1prWmtaa1prWmtaazlnWms5Z1prOWdaazlnWms5Z1prOWdaazlnWmtaa1prOWdaa1prWms5Z1prOWdaazlnWms5Z1prOWdaazlnWms5Z1prOWdaazlnWmtaa1prWmtaazlnWms5Z1prOWdaazlnWms5Z1prOWdaa1prWms5Z1prOWc5ZzlnWms5Z1prOWc5ZzlnWms5Z1prOWdaa1pre29aa1prOWdaazlnOWc5ZzlnOWc5ZzlnOWc5Z1prOWdaazlnOWc5Z1prOWdaazlnOWc5ZzlnOWc5ZzlnAAB7b1pre297b3tvWmt7b1pre29aa3tvWmt7b1pre29aa1prWmtaa1pre29aa3tvWmt7b1pre29aa3tvWmt7b1prWmtaa1prWmtaa1prWmtaa3tvWmtaa1prWmtaa1prWmt7b1prWmtaa3tve297b1pre29aa3tvWmt7b1pre29aa3tvWmt7b1pre29aa3tvWmt7b1prWmtaa1prWmtaa1pre29aa3tvWmtaa1prWmtaa1prWmtaa1pre29aa1prOWd7b1prWmtaa3tvWmt7b1prWmtaa1prWmtaa1prWmtaa3tvWmt7b1pre29aa3tvWmtaa1pre29aa1prWmtaa1pre29aa1prWmtaa1prWmtaa1prWmtaa1pre29aa1prWmtaa1prWms5Z1prOWdaa1prWmtaa1prOWdaa1prWms5Z1prWmtaa1prWmtaa1prWmtaa1prWmtaa1prWmtaa1prWmtaa1prWmtaa1prWmtaa1prWmtaa1prWmtaa1prOWdaazlnWms5Z1prWmtaa1prWmtaa1prWmtaazlnWms5Z1prWmtaazlnWmtaa1prWms5ZzlnWmtaa1prOWdaazlnWms5ZzlnOWdaazlnWms5Z1prWmtaazlnWms5Z1prWmtaazlnWms5Z1prOWdaazlnWmsAAFpre297b3tvWmtaa1pre29aa1prWmt7b1pre29aa3tvOWdaa1prWmtaa1prWmt7b1prWmtaa1prWmtaa1pre29aa1prWmtaazlnWmtaa1prWmtaa1prWms5Z1prWmtaa1prWmtaa3tvWmt7b1pre29aa1prWmtaa1prWmtaa3tvWmtaa1prWmtaa1prWmt7b1prWmtaa1prOWdaazlnWmtaa1prWmt7b1prWmtaa1prWmtaa1prWmtaa1prOWdaa1prWmtaa1prWmtaa1prWms5Z1prOWdaa1prWmtaa1prWmtaa1prWmtaa1prWmtaazlnWmtaa1prOWdaazlnWms5Z1prOWdaazlnWmtaa1prOWdaazlnWms5Z1prOWdaazlnWms5ZzlnOWdaa1prWmtaa1prOWdaazlnWms5Z1prOWdaa1prWms5Z1prWmtaazlnWms5Z1prOWdaazlnWms5Z1prOWdaazlnWms5Z1prOWdaazlnWms5Z1prWmtaazlnWms5Z1prOWdaa1prWms5Z1prWmtaazlnOWc5Z1prOWdaazlnWms5Z1prOWdaaxhjWmtaa1prOWc5ZzlnWms5ZzlnOWc5ZzlnOWc5Z1prOWdaazlnWms5ZzlnOWdaazlnWms5ZzlnOWc5ZzlnWms5ZwAAe297b5xze297b1pre297b3tvWmt7b3tve29aa3tvWmtaa1pre29aa3tvWmt7b1pre29aa3tvWmt7b1pre29aa1prWmt7b1prWmtaa1prWmtaa1prWmtaa1prWmt7b1pre29aa3tvWmt7b3tve29aa3tvWmt7b1pre29aa3tve297b1pre29aa3tvWmt7b1prWmtaa1prWmtaa1prWmtaa1prWmt7b1prWmtaa1prWmt7b1pre29aa1prWmtaa1pre29aa3tvWmtaa1prWmtaa1prOWdaa1prWmtaa1prWmtaa1prWmtaa1prWmtaa1prWmtaa1prWmtaazlnWmtaa1prOWdaazlnWms5Z1prWmtaa1prWmtaa1prOWdaazlnWmtaa1prWmtaa1pre29aa1prWmtaa1prWmtaa1prOWdaa1prWmtaa1prWmtaa1prWmtaa1prWmtaa1prWmtaa1prWmtaa1prWmtaa1prWmtaazlnWms5Z1prWmtaa1prWms5Z1prWmtaa1prWmtaa1prWmt7b1prWms5Z1prOWdaa1prWmtaa1prOWdaazlnOWdaa1prOWc5ZzlnWms5Z1prOWdaazlnOWc5Z1prOWdaazlnWms5ZzlnOWc5ZzlnWms5Z1prOWdaazlnWms5Z1prAAB7b3tve297b3tve29aa3tvWmt7b1pre29aa3tvWmtaa1prWmtaa3tvWmt7b1prWmtaa1prWmtaa1pre29aa3tvWmtaa1prWmtaa1prWmtaa1prWms5Z1prWmtaa1prWmtaa1prWmt7b3tve29aa1prWmt7b1prWmtaa3tvWmt7b1prWmtaa1prWmtaa1prWmtaa1prWmtaa1prWmtaa1prWmtaa1pre29aa1prOWdaa3tve29aa1prWmtaa1prWmtaa1prWmtaa1prWms5Z1prOWdaazlnWmtaa1prWmtaa1prWmtaa1prWmtaa1prWms5Z1prWmtaa1prWms5Z1prOWdaazlnWms5Z1prWmtaa1prWmtaa1prWmtaazlnWms5Z1prOWdaa1prWmtaa1prWmtaazlnWmtaa1prOWdaazlnWms5Z1prOWdaazlnWms5Z1prOWdaazlnWms5Z1prOWdaazlnWms5Z1prOWdaazlnWms5Z1prOWdaazlnWms5Z1prOWdaazlnWms5Z1prOWd7b1prWms5Z1prOWc5ZzlnWms5Z1prOWdaazlnOWc5Z1prOWc5ZzlnWms5ZzlnOWdaazlnOWc5ZzlnOWdaazlnWms5ZzlnOWc5ZxhjOWc5Z1prOWc5ZzlnOWc5ZzlnOWcAAHtve297b3tve29aa3tvWmt7b1pre29aa3tvWmt7b1pre29aa3tve297b3tve29aa3tvWmt7b1pre29aa3tvWmt7b1pre29aa3tvWmtaa1prWmtaa1prWmtaa1pre29aa3tvWmt7b1pre297b3tvWmt7b1pre29aa3tvWmt7b3tve29aa1prWmtaa1prWmtaa1prWmt7b3tve297b3tvWmtaa1pre29aa3tvWmtaa1prnHN7b3tvWmtaa1pre29aa3tvWmtaa1prWmtaa1prWmtaa1prWmtaa3tvWmt7b1pre29aa3tvWmt7b1prWmtaa1prWmtaa1prWmtaa1prWmtaa1prWmtaa1prWmt7b1pre29aa1prWmt7b1prWms5Z1prWmtaa1pre29aa3tvWmt7b1prWmtaa1prWmtaazlnWmtaa1prWmtaa1prWmtaa1prWmtaa1prWmtaa1prWmtaa1prWmtaa1prWmtaa1prWmtaa1prOWdaazlnWms5Z1prWmtaa1prWms5Z1prOWdaa1pre285Z1prOWdaazlnWms5Z1prOWdaazlnOWc5Z1prWmtaazlnWmtaa1prOWdaazlnWms5Z1prOWdaazlnWms5ZzlnOWc5ZzlnOWc5Z1prOWdaazlnWms5Z1prOWc5ZwAAWmtaa1pre29aa3tvWmt7b1pre29aa3tvWmtaa1prWmtaa1prWmt7b1prWmtaa1prWmtaa1prWmtaa1prWmt7b1prWmtaa1prWmtaa1prWmtaa1prWmtaa1prWmtaa1prWmtaa1pre29aa1prWmtaa1prWmtaa1prWmtaa1prWmtaa1prWmt7b1prWmtaa3tvWmtaa1prWmtaa1prWmt7b1prWmtaa1prWmtaa1prWmtaa1prWmtaa1prWmtaa1prWmtaa1prWms5Z1prOWdaa3tve29aa1prOWdaa1prWms5Z1prWmtaa1prWmtaa1prWmtaa1prWmtaa1prWmtaazlnWmtaa1prWmtaazlnWms5Z1prOWdaazlnWmtaa1prOWdaa1prWmtaa1prWmtaazlnWms5Z1prOWdaa1prWms5Z1prOWdaazlnWmtaa1prOWdaazlnWmtaa1prWmtaazlnWms5Z1prOWdaazlnWmtaa1prWmtaazlnOWc5ZzlnOWc5ZzlnWms5Z1prOWdaa1prWms5Z1prOWdaazlnWmtaa1prOWc5ZzlnWms5Z1prOWc5ZzlnOWc5ZzlnOWc5ZzlnOWc5ZzlnOWdaazlnWms5ZzlnOWc5ZzlnOWc5ZzlnOWc5ZzlnOWc5ZzlnOWc5ZxhjAAB7b1pre297b3tvWmt7b1pre29aa3tve297b1pre29aa3tvWmt7b1pre29aa3tvWmtaa1pre29aa3tvWmt7b1prWmtaa3tvWmtaa1pre29aa1prWmt7b1prWmtaa3tvWmtaa1pre29aa1prWmtaa1prWmtaa1prWmtaa1pre29aa3tvWmt7b1pre29aa3tvWmt7b1pre29aa3tvWmt7b1pre29aa3tvWmt7b1pre29aa1prWmt7b1prWmtaa3tvWmtaa1prWmtaa1prWmtaa1pre29aa1prWmtaa1pre29aa1prWmtaa1prWmtaa3tvWmtaa1pre29aa1prWmt7b1prWmtaa1prWmtaa1prWmtaa1prOWdaazlnWmtaa1prWmtaazlnWmtaa3tvWmt7b1prWmtaa1prWmtaa1prWmtaa1prOWdaa1prWmtaa1prWmtaazlnWmtaa1prWmtaa1prWms5Z1prWmtaa1prWmtaa1prWmtaa1prWms5Z1prOWc5ZzlnWms5Z1prWmtaa1pre29aa1prOWdaazlnWmtaa1prOWdaazlnWmtaa1prOWdaazlnWms5Z1prOWdaazlnWms5Z1prOWdaa1prWms5Z1prOWdaazlnWms5Z1prOWdaazlnWms5Z1prOWdaazlnOWcAAFpre29aa3tvWmt7b1prWmtaa3tvWmt7b1pre29aa3tvWmt7b1pre29aa1prWmtaa1prWmtaa1prWmt7b1prWmtaa1prWmtaa1prWmtaa1prWmtaa1prWmtaa1prWmtaa1prWmtaa1prWmtaazlnWmtaa1prWmtaa1prWmtaa1prWmt7b1prWmtaa3tvWmtaa1pre29aa3tvWmt7b1pre29aa3tvWmt7b1pre29aa1prWmtaa1prWmtaa1prWmtaazlnWms5Z1prOWdaazlnWms5Z1prWmtaa1prWmtaa1prWmtaazlnWmtaa1prWmtaa1prWmtaa1prWmtaa1prWms5Z1prWmtaa1prWms5Z1prOWdaazlnWms5Z1prOWdaazlnWms5Z1prWmtaa1prWmtaa1prWmtaa1prWms5Z1prOWdaazlnWms5Z1prOWdaazlnWms5Z1prWmtaa1prWms5Z1prOWdaa1prWms5Z1prOWdaazlnWms5Z1prOWc5ZzlnOWc5Z1prOWdaa1prWmtaa3tvWmtaazlnWms5Z1prOWdaazlnWmtaa1prOWdaazlnWms5ZzlnOWdaazlnOWc5Z1prOWc5ZzlnWms5Z1prWmtaazlnOWc5Z1prOWc5ZzlnOWc5ZzlnOWc5ZzlnOWc5ZwAAe29aa3tvWmt7b1pre29aa3tvWmt7b1pre297b3tvWmt7b1pre29aa3tvWmtaa1pre29aa3tvWmt7b1pre29aa3tvWmtaa1pre29aa1prWmtaa1prWmtaa3tvWmt7b1prWmtaa1prWmtaa1prWms5Z1prWmtaa1prWmtaa1prWmt7b1pre29aa3tvWmt7b1pre297b3tve297b1pre29aa3tvWmt7b1pre29aa3tvWmt7b1prWmtaa3tvWmtaa1prWms5Z1prOWdaa1prWmtaa1prWmt7b1pre29aa1prWmtaa1prWmtaa1prWmtaa1prWmtaa1prWmtaa1prWmtaa1prWmtaa1pre29aa1prWmtaa1prWms5Z1prWmtaa1prWmtaa1prWmt7b1prWmtaa3tvWmtaa1prWmtaa1prWmtaa1prWmtaa1prOWdaazlnWmtaa1prWmt7b1prWms5Z1prOWdaa1prWmtaa1prWmtaa1prWmtaa1prWmtaazlnWms5Z1prOWdaa1prWmtaa3tvWmtaazlnWms5Z1prOWdaazlnWmtaa3tvWmtaa1prWms5ZzlnOWdaazlnWms5Z1prOWdaazlnWmtaa1prOWd7b1prWms5Z1prOWdaazlnWms5Z1prOWdaazlnWms5Z1prAABaa1prWmt7b1pre29aa3tvWmtaa1pre29aa3tvWmt7b1pre29aa1prWmtaa1prWmtaa1prWmt7b1prWmtaa1prWmtaa1prWmtaa1prWmtaa1prWmtaa1prWmtaa1prWmtaa1prWmtaa1prWmtaa1prOWdaa1prWmtaa1prWmtaa1prWmtaa3tvWmtaa1pre29aa3tvWmt7b1pre29aa3tvWmtaa1pre29aa1prWmtaa1prWmtaa1prWmtaa1prWms5Z1prOWdaazlnWmtaa1prWmt7b3tve29aa1prWmtaa1prWmtaa1prWmtaa1prWmtaa1prWmtaa1prWmtaa1prOWdaa1prWmtaa1prWmtaa1prWmtaa1prOWdaa1prWms5Z1prWmtaa1prWmtaa1prOWdaa1prWmtaa1prWmtaa1prWmtaa1prOWdaazlnOWc5Z1prOWdaa1prWms5Z1prOWdaazlnWms5Z1prOWdaazlnWms5Z1prOWdaazlnWms5ZzlnOWdaazlnWmtaa1prWmtaa1prWms5Z1prOWdaazlnWmtaa1prWmtaa1prWms5ZzlnOWc5ZzlnWms5Z1prOWdaazlnWms5ZzlnOWdaa1prWms5Z1prOWc5ZzlnOWc5ZzlnOWc5ZzlnOWc5ZzlnOWcAAHtvWmt7b3tve29aa3tvWmt7b1pre297b3tvWmt7b1pre29aa3tvWmtaa1pre29aa3tvWmt7b1pre29aa3tvWmtaa1pre29aa1prWmt7b1prWmtaa3tvWmtaa1pre29aa3tvWmt7b1pre29aa1prWmtaa1prWmtaa1prWmtaa1pre29aa3tvWmt7b1pre29aa3tvWmt7b1pre29aa3tvWmtaa1pre29aa3tvWmt7b1prWmtaa3tvWmtaa1pre29aa1prWmtaa1prWmtaa1prWmtaa3tvnHN7b3tvWmtaa1prWmtaa3tvWmtaa1prWmtaa1prWmtaa1prWmtaa1prWmtaa1pre29aa3tvWmtaa1prWmtaa1prWmtaa1prWmtaa1prWmtaa1prWmtaa1prWmtaazlnWmtaa1prWmt7b1prWmtaa1prWmtaazlnWms5Z1prWmtaa1pre29aa1prOWdaazlnWmtaa1prWmtaa1prWms5Z1prWmtaa1prWmtaa1prOWdaa1prWmtaa1prWmt7b1prWmtaa1prOWdaa1prWmtaa1prWmtaazlnWmtaa1prOWdaazlnWmtaa1prOWdaazlnWmtaa1prOWdaa1prWmtaa1prOWdaazlnWms5Z1prOWdaazlnWms5Z1prOWdaawAAWmt7b1pre29aa3tvWmtaa1pre29aa3tvWmt7b1prWmtaa3tvWmtaa1prWmtaa1prWmt7b1prWmtaa1prWmtaa1prWmtaa1prWmtaa1prWmtaa1prWmtaa1prWmtaa1prWmtaa1prWmtaa1prOWdaazlnWms5Z1prWmtaa1prWmtaa3tvWmtaa1pre29aa1prWmt7b1prWmtaa3tvWmt7b1prWmtaa1prWmt7b1prWmtaa1prWmtaa1prWmtaa1prWmtaa1prWmtaa1prWmtaazlnWmtaa3tvWmtaazlnWmtaa1prWmtaa1prWms5Z1prWmtaazlnWmtaa1prOWdaa1prWmtaa1prWmtaa1prWmtaa1prWmtaa1prWms5Z1prWmtaa1prWmtaa1prOWdaazlnWms5Z1prOWdaazlnWmtaa1prOWdaazlnWms5Z1prOWdaazlnWmtaa1prOWc5ZzlnWms5Z1prWmtaazlnWms5Z1prOWdaazlnWms5Z1prOWdaazlnWmtaa1prOWdaa1prWms5Z1prOWdaazlnWms5Z1prWmtaazlnOWc5Z1prOWdaazlnOWc5Z1prOWdaazlnWms5Z1prOWc5ZzlnWmtaa1prOWc5ZzlnWms5ZzlnOWc5ZzlnOWc5ZzlnOWc5ZzlnAAB7b1pre29aa3tvWmt7b1pre297b3tvWmt7b1pre29aa3tvW2t7b1prW2taa3tvWmt7b1pre29aa3tvWmtaa1pre29aa1prWmt7b1prWmtaa1prWmtaa1pre29aa3tvWmtaa1prWmtaa1trWmtaazlnWmtaa1prWmtba1prW2tba3xvW2t7b1pre29aa3pvWmtaa1prW2taa3tvW2t7b1pre29aa3tvWmt7b1pre29aa3tvWmtaa1pre29aa1prWmt7b1pre29aa3tvWmtaa1prWWtZa3pvWmtaazlnWmtaa3tvWmtaa1prWmtaa1prWmtaa1prWmtaa1prWmtaa1prWmtaa3tvWmt7b1prWmtaa3tvWmtaa1prWmtaa1prWmtaa1prWmtaa3tvWmtaa1prWmtaa1prOWdaazlnWms5Z1prWmtaa1prWmtaa1prOWdaa1prWmtaa3tvWmtaazlnWms5Z1prWmtaa1prWmtaa1prWmtaa1prWmtaa1prOWdaa1prWmtaa1prWmtaa1prWmtaa1prWmtaa1prWmtaa1prWmtaazlnOWc5ZzlnOWdaazlnOWc5Z1prWmtaazlnWmtaa1prWmtaazlnWms5Z1prOWc5ZzlnWms5Z1prOWdaazlnWms5Z1prOWdaazlnWmsAAFlrWmtaa3pvWmt6b1pre29aa3tvWmt6b1prWmtaa1prW2tbb1tre29aa1trWmtba1pre29aa1prem97bzlnWms5Z1prWmtaa1pre29aazlnWWtaa1prWmtZa1prWWtaa1prWmtaa1trOmdaazlnWms5Z3pve29aaztrO2ddb9leNErZXp1zW2taa1lnem96b1pre29ba3tvW2tbb1pre29aa3tvWmtaa1prWmtaa3tvWmtaa1prWmtaa1prWmtaa1lrWms5Z1prOWdaa1lrem9ZZ1lrWWtaa1lrWmtaa1prWmtaa1prWmtaa1prWmtaazlnWmtaa1prOWdaa1prWmtaa1prWmtaa1prWmtaa1prWmtaa1prWmtaa1prWmtaa1prWmtaa1prWmtaa1prWmtaa1prWmtaa1prWmtaa1prOWdaazlnWms5Z1prOWdaazlnWms5Z1prWmtaa1prWms5Z1prWmtaa1prWmtaa1prOWdaazlnWms5Z1prOWdaazlnOWc5Z1prOWdaazlnWms5Z1prWmtaa1prWms5Z1prOWdaazlnWms5Z1prOWdaazlnWms5Z1prOWdaazlnOWc5ZzlnOWdaazlnWms5Z1prOWc5ZzlnOWc5ZzlnOWdaazlnOWc5Z1prOWc5ZzlnWms5ZwAAWmtaa3pvWmt7b1pre297b3tvem97b1prem9aa3pvWmt7b1tre29ba1tvW2t7b1prOWdaa3tvWmt7b1prWmt6b3tvWmt7b1prWmtaa3tvWmt6b1prem9aa1prWWtaa1lremtaa1trWmtbazpnW2s5Z1prOWdaazlnfG8bZ9pebzEtJbE1XGt8b5xzem96b1lre29ba3xvW2t7b1tre29aa3tvWmt7b1pre29aa3tvWmtaa1pre29aa3tvWmt7b1prWmtZa1prWWtaa1lrem9aa1prWWtaa1lrWmtaa3pvWmtaa1pre29aa3tvWmtaa1prWmtaa1prWmtaa1prWmtaa1prWmt7b1prWmtaa3tvWmtaa1pre29aa1prWmtaa1prWmtaa1prWmtaa1prWmtaa1prWmtaa1prWmtaa1prWmtaazlnWms5Z1prOWdaa1prWmtaa1prWmtaa1prWms5Z1prWmtaa1prWmtaa3tvWmtaazlnWmtaa1prWmtaa1prWms5Z1prWmtaa1prWms5Z1prOWdaa1prWmtaa1prOWdaazlnWms5Z1prOWdaa1prWms5Z1prWmtaazlnWms5ZzlnOWdaa1prWmtaa1prWms5ZzlnWms5ZzlnOWdaa1prWms5Z1prOWdaazlnWms5Z1prAABaa1prWmt6b1pre29aa3tvWmt7b1prem9aa3pvWmtaa1prW29aa1trWmtba1prW2s6Z3tvW2tba1trW2s5Z3tvWmtaa1pre29aa1prWmt7b1prem9aa1prWWtaazlnWWtZa1prWmtaazpnW2s6Z1prWWtZazlnOWdcbztrdlKpFOsgLSkaY1xrWmt7b1lrem9aa3tvW2tba1trW29aa1prWmt7b1pre29aa3tvWmtaa1prWmtaa1prWmtaa1prWmtZa1prOWdaa1lrWmtZa1prWWtaa1lnWmtZa1prWWtaa1prWmtaa1prWmtaazlnWmtaa1prOWdaa1prWms5Z1prWmtaa1prWmtaa1prWmtaa1prWmtaa1prWmtaazlnWmtaa1prWmtaa1prWmtaa1prWmtaazlnWms5Z1prOWdaazlnWms5Z1prOWdaazlnWmtaa1prOWdaa1prWms5Z1prOWdaazlnWmtaa1prWmtaazlnWms5Z1prOWdaazlnWmtaa1prOWdaa1prWms5Z1prOWdaazlnWmtaa1prOWdaazlnWms5Z1prWmtaazlnWms5Z1prOWdaazlnWms5ZzlnOWdaazlnWms5Z1prOWdaazlnWms5ZzlnOWc5ZzlnWms5Z1prOWc5ZzlnWms5ZzlnOWcAAHtvWmt7b1pre296b3tvem97b3pve29aa3tvWmt6b1pre29ba3tvW2t7b1trW29ba5xzW2sZY/heW2tbb1trWmtbazpnW2t7b5xzWmt7b3tve29aa3pvWmtaa1lrWmtZa3prWWtaa1prW2taa1prOWdaa1lre285Z1trO2e4WsoYbzEtKVxrW2s5Z3pvem+bc3tvW2t7b1tre29ba3tvWmt7b1pre29aa3tvWmtaa1prWmtaa3tvWmt7b1prWmtaa1prWWtaa1lrWmtZa1prWWtaa1lrWmtZa1prWmtaa1pre29aa3tvWmt7b1prWms5Z1prWmtaa1prWmtaa1prWmtaa1prWmtaa1prWmtaa1prWmtaa1prWmtaa1prWmtaa1prWmtaa1prWmtaa1prWmtaa1prWms5Z1prWmtaazlnWmtaa1prOWdaa1prWmtaa1prWmtaa1pre29aa1prOWdaa1prWmtaa1prWmtaa1prWmtaa1prWmtaa1prWms5Z3tvWmtaa1pre29aa1prOWdaa1prWmtaa1prWmtaazlnWms5Z1prWmt7b1prWms5Z1prOWdaazlnWms5Z1prOWdaazlnWms5Z1prOWdaazlnWms5Z1prOWdaazlnWms5Z1prOWdaazlnWms5Z1prOWdaawAAWmt6b1pre29aa3tvWmt7b1prem9aa3pvWmtaa1prem9aa1trWmtba1prW2tba1tvfG/4XhFCEUa3WltrXGtcb1trW2s6a3tvW297b1prWmtaa3tvWmtaa1lrWmtZa1lrWWtZa1lrWms6Z1prOmdaazhnOGdaazlnGWM7Z9ha6hwtJQwlPGudc1pre29ZZ3pvWmtba1trW2taa1trWmtaa1prWmtaa3tvWmtaa1prWmtaa1prWmtaa1prWmtaa1prOWdZazlnWms5Z1prWWtaazlnWmtZa1prWWtaa1lrWmtaa1prWmt7b1prWms5Z1prOWdaa1prWms5Z1prWmtaa1prWmtaa1prWmtaa1prWmtaa1prWmtaa1prWmtaa1prWmtaa1prWmtaa1prWmtaazlnWms5Z1prOWdaazlnWms5Z1prOWdaazlnWmtaa1prOWdaazlnWmtaa1prWmtaazlnWmtaa1prOWdaazlnWms5Z1prOWdaazlnWms5Z1prOWdaazlnWmtaa1prOWdaazlnWms5Z1prOWdaazlnWms5ZzlnOWdaa1prWms5Z1prOWc5ZzlnWms5ZzlnOWc5ZzlnWms5Z1prOWdaazlnWms5Z1prOWdaazlnOWc5Z1prOWc5ZzlnWms5ZzlnOWdaazlnAAB7b1pre296b3tvem97b3pve29aa3tvWmt7b1pre29aa3tvWmt7b1pre29ba3tvW2tba5VSrzmOMXROGmNcb3xvfW98b3xvWmtba1trfG9aa3tvWmt7b1prem9Za3pvWWtZa1lrWmtaa1trWmtba1prem84Z1prOWdba1tr2F6HFAwlTSlca31ze296b1prWmt6b1pre29ba1tvW2t7b1pre29aa3tvWmt7b1prWmtaa1prWmt7b1pre29aa3tvWmtaa1lnWmtaa1prWWtaa1lrWmtZa1prWmtaa1prem9aa3tvWmt7b1pre29aa1prWmtaa1prWmtaa1prWmtaa1prWmtaa1prWmtaa1prWmtaa1prWmtaa1prWmtaa3tvWmtaa1prWmtaa1prWmtaa1prWms5Z1prWmtaa1prWmtaa1prWmtaa1prWmtaa1prWmtaa1prWmtaa1prWmtaazlnWmtaa1prWmtaa1prWms5Z1prOWdaa1prWmtaa1prWmtaazlnWmtaa1prWmtaa1prWms5Z1prWmtaazlnWmtaa1prOWdaa1prWmtaa1prWmtaazlnWms5Z1prOWdaazlnWms5Z1prWmtaazlnWms5Z1prWmtaazlnOWc5Z1prOWdaazlnWms5Z1prOWdaazlnWmsAAFpre29aa3tvWmt7b1pre29aa3pvWmt6b1prem9aa3pvWmtaa1prWmtaa1tvW2tbbzpn+F4zShJCVEqWUpZSuFr4XltrfG9bazpnW29bb1trWmtaa1prWmtZa3pvWWt6a1hrWWtZZ1prOmtbazpnWmt7bzhnWWt6b1prW2u3WocULCXSOTtnXGtaa1lrWWt6b1prW2taa1trWmtba1prWmtaa3tvWmtaa1prWmtaa1prWmtaa1prWmtaa1prWmtaazlnWWs5Z1prWmtaazlnWmtaa1prOWdaa1lrWmtZa1prWmtaa1prWmtaa1prWmtaa1prWms5Z1prWmtaazlnWmtaa1prOWdaa1prWms5Z1prWmtaazlnWmtaa1prWmtaa1prWmtaa1prWmtaa1prWms5Z1prOWdaa1prWmtaa1prOWdaazlnWms5Z1prWmtaa1prWms5Z1prWmtaazlnWms5Z1prOWdaazlnWms5ZzlnOWdaazlnWms5Z1prOWdaazlnWms5Z1prWmt7b1prWms5Z1prOWdaazlnWms5Z1prOWdaazlnWmtaa1prWmtaazlnWms5ZzlnOWc5ZzlnOWc5ZzlnOWdaazlnWms5Z1prOWdaazlnWms5ZzlnOWdaazlnWms5ZzlnOWdaazlnOWc5ZwAAe297b3tvem97b3pve296b3tvWmt6b1pre29aa3tvWmt6b1pre29aa3tvW2t7b1trW2tbaztnt1p1UvJBsDmwOVRK+WKdc1xvW2t8b3xvOmtba1prW2taa3tvWmt7b3prWWtZa1prWmtba1prW2taa3pvF2N6b3pvWmsZY9heyBjrIPI9PGtca5xzWWt6b1lnem9aa1trW2tbb1trW2taa3tvWmtaa1prWmtaa1prWmtaa1pre29aa3tvWmtaa1prWWtZZ1prWWtaa1prWms6Z1trWmtaa1prWmtaa3prWWtaa1prWmtaa3tvWmtaa1prWmtaa1prWmtaa1prWmtaa1prWmtaa1prWmtaa1prWmtaa1prWmtaa1prWmtaa1prWmtaa1prWmtaa1prWmtaa1prWmtaa1pre29aa3tvWmtaa1prWms5Z1prWmtaa1prWmtaa1prWmt7b1prWms5Z1prWmtaa1prWmtaa1prOWdaa1prWmtaa1prWmtaazlnWmtaa1prWmt7b3tve29aa1prWmtaazlnWms5Z1prOWdaa1prWms5Z1prWmtaa1prWms5Z1prOWdaazlnOWc5ZzlnOWdaazlnWmtaa1prWmtaa1prWms5Z1prOWdaazlnWms5Z1prOWdaazlnWms5ZzlnAABaa3pvWmt7b1prem9aa3tvWmt6b1pre29aa1prWmtaa1lnWmtaa3pvWmtba1trfG86a1trO2c7Z9haVE6PNSslbS3QOVROGWM7a1trOmtbazprW2tbb3tvWmtaa1prWmtZa3lrWWtaa1prW2s6ZzprOWdaazhnem8YYzln11rJHAwlsTlca3xvWmt6b3premtaa3tvW2tbb1tre29ba1prWmtaa1pre29aa1prWmtaa1prWmtaa1prOWdaa1prem85Z1lnOWdaazpnW2taa1trOWdbazpnWmtaa1prWWebc1lrWmtaa1prWmtaa1prWms5Z1prWmtaazlnWmtaa1prOWdaa1prWmtaa1prOWdaazlnWmtaa1prWmtaa1prWms5Z1prOWdaazlnWms5Z1prOWc5ZzlnWmtaa1prOWdaazlnWms5Z1prWmtaa1prWmtaa1prWmtaazlnWmtaa1prOWc5ZzlnWms5Z1prOWdaazlnWmtaa3tvWmtaazlnOWc5Z1prWmtaa1prWmtaa1prOWdaazlnWms5Z1prOWdaazlnWms5Z1prOWdaazlnWmsYYzlnOWc5ZzlnOWc5Z1prOWc5ZzlnWms5Z1prOWdaazlnWms5Z1prOWc5ZzlnOWc5Z1prOWc5ZzlnOWc5Z1prGGMAAHtvWmt7b3pve29aa3tvem97b1pre296b3tvWmt6b1prWmtaa3tvWmt7b1pre29bb3xvXGt8b1xrO2vYXnVSEkIrJUwtrjXPOXROGWN8bzpnOmd7b3xvOmdba513nXM5Z3pvemtaa1prfG87ZzpnfG9aa1prWWt6bzlnOmf4XukcLCWQNX1vfG97b1prem9aa3tvWmt7b1tre29bb3tvWmtaa1pre29aa3tvWmt7b1pre29aa3tvWmtaa1pre29aa1prWWtaa1prWmtaa1trW2tba1trW2taa3tvWmtaa1lrWmtaa1prWmtaa1pre29aa1prWmtaa1prWmtaa1prWmtaa1prWmtaa1prWmtaa1prWmtaa1prWmt7b1prWmtaa1prWmtaa1prWms5Z1prWmtaazlnWmtaa1prWmtaa1prWmtaa1prWmtaa1prWmtaa1prWmtaa1prWmtaa3tvWmtaa1prWmtaa1prWmtaa1prWms5Z1prWmt7b1prWms5Z1prWmtaa1prWmtaa1prWmtaa1prWmtaa1prWmtaa1prWmtaa1prWmtaa1prWmtaa1prOWdaa1prWms5Z1prOWdaazlnWmtaa1prOWdaazlnWms5Z1prOWdaazlnWms5Z1prOWdaazlnWms5Z1prOWc5ZwAAWmt6b1prem9aa3pvWmt6b1prem9aa3pvWmt6b1prWmtZa3prWmt6a1prWmtaa3tvW2tbazprW2tba1tr+WL4XlNKrjUqJUwtjTHQPVROGmN9bzpnGWN8b3xvOmc6Z3xvOGd6bzlnW2t8b/lelVIaYzprfG85Z3tvOWdaa/heCiHrIJA1XGt8b1prem9Za3prWmtbazprW2tba1tvWmtaa1prWmtaa1prWmt7b1prWmtaa3tvWmtaa1prWmtaa1prWWtaa1lrWms6Z1prOmdba1trW2s6ZzprWmt6b1lrWWs5Z1prOWdaa1prWmtaa1prOWdaa1prWmtaa1prOWdaazlnWmtaa1prWmtaazlnWms5Z1prOWdaa1prWmtaa1prWmtaazlnWms5Z1prOWdaazlnWms5Z1prOWdaazlnWmtaa1prWmtaa1prWms5Z1prOWdaazlnWmtaa1prWmtaa1prWmtaa1prWmtaa1prWms5Z1prOWdaa1prWms5Z1prWmtaa1prWmtaa1prWmtaa1prWms5Z1prWmtaazlnWms5Z1prOWdaazlnWms5Z1prWmtaa1prWms5ZzlnOWc5ZzlnWms5Z1prOWdaazlnOWc5Z1prOWc5ZzlnOWc5ZzlnOWdaazlnOWc5Z1prOWdaazlnAAB7b1pre29aa3tvWmt7b1pre29aa3tvWmt7b1prem9aa3pvWmt6b1prem9aa3tvW2t7b1prOms6Z1trWmtaazpnGWMZY7ZWjTUrKW0x0DmvNXROGmN9bzpnO2d9b51zOmd7b5xze29baztrEkJMKdA5W2t8b3tve29ba1pr+F4rJesgbzFca3xve29Za3prWmt7b1prW2tba3tvW2t7b1prWmtaa1prWmt7b3tve29aa3tvWmt7b1prWmtaa1prWWtaa1lremtaa1trOmdca1trfG9ba1trWmtaa1pre29Za1prWmtaa1prWmtaa1prWmtaa1prWmtaa3tvWmtaazlnWmtaa1prWmtaa1prWmtaa1prWmtaa1prWmtaa1prWmtaa1prWmtaa1prWmtaazlnWmtaa1prWmtaa1prWms5Z1prWmtaa1prWmtaa1prOWdaa1prWmtaa3tvWmtaa1pre29aa3tvWmt7b1prWmtaa1prWmtaa1prWmtaa1prWmtaa1prWmtaa3tvWmtaa1pre29aa1prWmtaa1prWmtaa1prWmtaa1prWmtaa1prWmtaa1prWmtaa1prOWdaazlne29aa1prWmtaazlnWms5Z1prOWdaazlnWms5Z1prOWdaazlnWms5Z1prOWdaazlnWmsAAFprem9aa3pvWmt6b1prem9aa1prWmt7b1prem9aa3pvWWt6a1prem9Za1prWmt7b1prWms5Z1prWmtaa1prWms6Zxhj+GI5Z5VSrjUrKY0xbS2ONTNGO2d9bztnO2e+dzlne286Zztn+V6wNckYbS35XpxzWmt7b1prWmv4Xm0xyhxOLRpjfG9aa1prWWt6b1prWms6Z1tvW2tba1pre285Z1prWmt7b1pre29aa3tvWmt7b1prWmtaa1prWmtaazhnWWtZa1prOmdbaztrXGv4XvliW2ucc1prWWtaa1lrWmtaa1prWms5Z1prOWdaazlnWmtaa1prWmtaazlnWmtaa1prWmtaa1prWmtaa1prOWdaazlnWms5Z1prWmtaa1prWmtaa1prOWdaazlnWmtaa1prOWdaazlnWms5Z1prWmtaa1prWms5Z1prOWdaazlnWmtaa1prWmtaa1prWmtaa1prWmtaa1prWms5Z1prOWdaazlnWms5Z1prWmtaazlnWmtaa1prWmtaa1prWmtaa1prWmtaa1prWmtaa1prOWdaazlnWms5Z1prOWdaazlnWms5Z1prOWc5ZzlnWmtaa3tvWmtaa1prWms5Z1prOWdaazlnWms5ZzlnOWc5ZzlnOWc5ZzlnOWc5ZzlnWms5ZwAAem9aa3tvWmt6b1pre29aa3pvWmt7b3pve29aa3tvWmt6b1pre296a1prWmt6b1pre29aa3pvWmt6b1prem9aaxhjWmt8bxlnGWP4XpVS0DlLKW0tjjWPNTNG2Vo8Z/leWmtba1trO2v6YtE5LCVuMddafG98b1tvW2s6ZxpjsDnrHC0pGmNba3tvWmt6b1pre29aa1trfG98c1trW2t7b1prWmt7b1pre29aa3tvWmt7b1pre29aa3tvWmtaa1lrWWs5Z1prWmtbb1trW2s7Z9A50D3XWnxze29Za3pvWWt6b1pre29aa1prWmtaa1prWmtaa1prWmtaa1prWmtaa3tvWmtaa1prWmtaa3tvWmtaa1prWmtaa1prOWdaa1prWmtaa1prWmtaa1prWmtaa1prWmtaa1prWms5Z1prWmtaa1prWmtaa1prWmtaa1prWmtaa1prWmtaa1prWmtaa1prWmtaa1prWms5Z1prOWdaazlnWmtaa1prWmt7b1prWmtaa1prWmtaa1prWmtaa3tvWmt7b1prWmtaa1prWmtaa1prWmtaa1prWmtaa1prOWc5Z1prOWdaazlnWmtaa3tvWmt7b1prWmtaa1prOWdaazlnWms5Z1prOWdaazlnWms5Z1prOWdaazlnWmtaa1prAABaa3pvWmtaa1prem9aa1prWmtaa1prem9aa3tvWmt6b1prem9aa3pvWWtaa1lremtZa1prWWtaa1lrem9Za1lre286ZxhjW2tbazpn+F4ZY3VS8T1tLW4xbjGPMdE9dU4ZYzpnO2dca9le0j0LIQslVU5ca1tre29ba1trOmcTRsocLSXYWjpnWmt6b1lrWmt6b1prWmt8c3xve29aa3tvWmtaa1prWmtaa3tvWmtaa1prWmtaa1prWmtaa1prWmtZa1lrOGdaa1trXGsaY/li6iAKIRJGW2t7b1lrWmtaa1lrWmtaa1prWmtaa1prWmtaa1prOWdaazlnWmtaa1prWmtaa1prWmtaa1prWmtaa1prWms5Z1prOWdaazlnWmtaa1prWmtaa1prWms5Z1prOWdaazlnWms5Z1prOWdaazlnWms5Z1prWmtaazlnWmtaa1prWmtaa1prWms5Z1prWmtaa1prWms5Z1prOWc5ZzlnWms5Z1prWmtaa1prWmtaa1prWmtaa1prWmtaa1prWmtaa1prWms5Z1prOWdaazlnWms5Z1prOWdaazlnWms5Z1prOWdaazlnWms5Z1prWmtaa1prWmtaa1prOWc5ZzlnWms5ZzlnOWc5ZzlnOWc5ZzlnOWc5ZzlnWms5Z1prOWcAAHtvWmt6b1pre29aa3pvWmt6b1prem9aa3tvem97b1pre29aa3tvWmt6b1lremtZa3tvem96b1prem9aa3pvWWtZa1pre29aazprOmc6ZxljGWP4XrdWEkKOMSslbS2ONa418D2WUvpi+l4URpAxTS1USjtrXG9ba3xvW2tbb1RO6yAMJdhaGmN7b3pvem9Za3tvWmt7b5xznXd7b1trW2t7b1pre29aa3tvWmt7b1prWmtaa3tvWmt7b1prW2taa3pvWWtZa1prfG9baxpn2FpNLQohEkZba3xvOWd6a1lrWmtaa1prWmt7b1pre29aa3tvWmtaazlnWmtaa1trWmt7b1prWmtaa1prWmt7b1pre29aa1prOWdaazlnWms5Z3tvWmtaa1prWmtaa1prWmtaa1prWms5Z1prWmtaa1prWmtaa1prWmtaa1prWmtaa3tvWmtaa1prWmtaa1prWmt7b1prWmtaa1prWmtaazlnWms5Z1prWmtaa1prWmtaa1prWmtaa1pre29aa1prWmtaa1prWmtaa1prOWdaazlnWmtaa1prWmtaa1prWmtaa3tvWmt7b1prWms5Z1prOWdaa1prWms5Z1prOWdaazlnWms5Z1prOWdaazlnWms5Z1prOWc5ZzlnWms5Z1prWmtaawAAWmt6b1prem9aa3pvWmt6b1lrWmtaa1prWmtaa1prem9aa3pvWmtaa1prWmtaa3pvWmt6b1premtZa1prWWt6a1pre29aa1prWmtaa1prWms5ZzpnGGP4XpRSEUKMMSslCyVNKU4pkDXTPdI9Ti0tJbA1O2caY3xvfG9Za3prlFLqIC0pE0J9c1tre29Za5tvWWt6a1prem9aa3trW2t7b1prWmtaa1prWmtaa1prWmtaa1prW2t7b1prW2s6a1prWWtZazlnWms6a1trGmf6Xm8x6yBuLV1vOmtZa3lrWWs5Z1prWmt7b1tre297b3tvWmtba1prW2s6Z1prOmdaa1prWmtaa1prWmtaa1prWms5Z1prWmtaazlnWmtaa1prOWdaa1prWms5Z1prWmtaazlnWmtaa1prWmtaazlnWmtaa1prOWdaazlnWmtaa1prWmtaa1prWms5Z1prOWdaazlnWms5Z1prOWdaazlnWms5Z1prWmtaazlnWmtaa1prWmtaa1prWms5Z1prOWdaa1prWmtaa1prOWdaazlnWms5Z1prOWdaazlnOWc5Z1prOWdaazlnWms5Z1prOWdaazlnWms5Z1prOWdaazlnWms5Z1prOWdaazlnWms5Z1prGGM5ZzlnOWcYYzlnOWdaa1prAAB7b1pre29aa3tvWmt7b1prWmtaa3pvWmt6b1pre29aa3tvWmt7b1prem9aa3tvem97b1pre29aa1prWmt6b1pre29aa3tvWmtaa1prWmtaa1prWmt7b1prWmv3XtZalVIzRhNCsTktKQwhyhzrHOwgTil2TthaXGudczhjWmu2VskcLSkzRlxrOmd7b1prOGd6b1lrem9aa3tvWmt7b1trW2taa3tvWmt7b1pre29aa1trW2t7b1tre29aa1trWmtaa1lrWms5Z1trW2s7Z/lekDHKHE4tPGdcazlneWtYa1prWmt7b1tre29ba3tvWmt7b1prW29ba1trWmtbazprW2taa1prWmtaa1prWmtaa1prWmtaa1prWmtaa1prWmtaa1prWmtaa1prWmtaa1prWmtaa1prWmtaa1prWmtaa1prWmtaa1prWmtaa1prWmtaa1prWmtaa1prWmtaa1prWmtaa1prWmtaa1prWmtaa1prWmtaa1prWmtaa1prWmtaa1prWmtaa1prWmtaa1pre29aa1prWmtaazlnWmtaa1prWmtaazlnWms5Z1prOWdaa1prWmtaa1prOWdaazlnWmtaa1prWmtaa1prWmtaa1prOWdaazlnWms5Z1prOWc5ZzlnWms5ZzlnOWdaa1prWmsAAFprem9aa3pvWmt6b1prem9aa1prWmtaa1prem9aa3pvWmt6b1prWmtaa3pvWmt6b1prem9aa1prWmtaa1prWmtaa1prWmtaa1prWmtaa1prOWc5ZzlnOWc5ZzlnGGMYY/he+V6WUvI9bi0MJcoYyRjrHNE5NEYbZ11rGmM6Zxlj6yBOKdE5XWsZY51zOmdaa1lremtZa3prWmt7a1trW2taa3tvWmt7b1pre29aa1prWmtba1prW2taa1trWmtaa1prWms5Z1prWmtbaxpn+l6QNesgDCX6XltrOWc4Z1lrWWtba1prWmtaa1prWmtaa1prWmtaa1prWmtbazpnWmtaa1prWmtaa1prWmtaa1prWmtaazlnWmtaa1prOWdaazlnWms5Z1prOWdaazlnWms5Z1prOWdaa1prWms5Z1prOWdaa1prWmtaa1prWmtaa1prWms5Z1prWmtaazlnWms5Z1prOWdaazlnWms5Z1prWmtaazlnWmtaa1prOWdaa1prWms5Z1prWmtaazlnWmtaa1prOWdaazlnWms5Z1prOWdaazlnWms5Z1prOWdaazlnWms5Z1prOWdaazlnWms5Z1prOWdaazlnWms5Z1prOWdaazlnOWc5ZzlnOWc5ZzlnOWc5ZzlnOWc5ZzlnWms5ZwAAe296b3tvWmt7b3pve29aa3tvWmt6b1pre29aa3tvWmt7b1pre29aa3tvWmt7b1pre29aa3pvWmt6b1prem9aa3tvWmtaa1pre29aa3tvWmt7b1prWms5Z1prOWc5ZxhjWms5Zzpn+F7YWlVKkDWpFFZKsTUtKZE1mFIbYzxnuFaQNS0pkDVdb1xrfG86Z3tvem9aa3prWmt7b1pre2tba3tvWmt7b1pre29aa3tvWmt7b1pre29aa3tvWmtba1prWmtaa1prOWdba1trO2f6YvI9DCUMJZdWfW86Z1lrWWt6b1prWmtaa3tvWmtaa1pre29aa1prWmtba1prWmtaa1prWmtaa1prWmtaa1prWmtaa1prWmtaa1prWmtaa1prWmtaa1prOWdaa1prWms5Z1prWmtaa1prWmtaa1prWmtaa1pre29aa3tvWmtaa1prWmtaa1prWmtaa1prWmtaa1prWmtaa1prWmtaa1prWmtaa1prWmtaa1prWmtaa1prWmtaa1prWmtaa1prWmtaa1prWmtaazlnWms5Z1prOWdaa1prWms5Z1prOWdaazlnWmtaa1prOWdaazlnWms5Z1prWmtaa1prWmtaa1prWmtaazlnOWc5ZzlnOWc5ZzlnWms5Z1prOWdaazlnWms5Z1prAABaa3pvWmt7b1prem9aa3tvWmt6b1prem9aa3pvWmt6b1prem9aa3pvWmt6b1prem9aa3pvWmtaa1lrWmtaa1prWmtaa1prWmtaa1prWmtaa1prWmtaa1prWmtaa1prWmtYZzdnOGM5Zxlj+V4TQusgby3TPVdK1D0NJXAt0z02SpExDSFOKTxnPGd9bxljW2taa1prWmtaa1prWmtaa1trWmt7b1pre29aa3tvWmt7b1prWmtaa1prWmtaa1prWms5Z1prWWtaazpnW2s6ZxtjE0JOKeocNEZca1prWWd6b1lrWmtaa1prWmtaazlnWmtaa1prWmtaa1prWmtaa1prWmtaa1prWmtaa1prWmtaazlnWmtaa1prOWdaa1prWms5Z1prOWdaazlnWms5Z1prOWdaa1prWmtaa1prOWdaazlnWmtaa3tvWmt7b1prWmtaa1prWmtaazlnWms5Z1prOWdaazlnWms5Z1prOWdaazlnWmtaa1prOWdaa1prWms5Z1prWmtaazlnWmtaa1prOWdaazlnWms5Z1prOWdaazlnWms5Z1prOWc5ZzlnWms5Z1prOWdaazlnOWc5Z1prOWdaazlnWms5Z1prOWdaazlnOWc5ZzlnOWc5ZzlnOWc5ZzlnOWc5ZzlnOWc5ZzlnOWcAAHtvem97b3pve296b3tvem97b1pre296b3tvWmt7b1prem9aa3tvem97b1pre29aa3tvWmt7b1prWmtaa3pvWmt7b1pre29aa1prWmt7b1prOWc5Z1prWmtaazlnWmtZZ1hrN2d5b1lrGWP4XlVKDCENJZI1ulb1QQ8lUC1QLQ4lDiXLHE8td1L6Yn1vnXNba1trWmtba1prW2taa1trWmt7b1pre29aa3tvWmt7b1pre29aa3pvWmtaa1prem9aa1prWmtaa1lrWmtaa1trGmNVTo8x6hyPNTtrOmtaa1lremtaa3pvWmtaa1prWmtaa1prWmtaa1prWmtZa3prWmtaa1prWmtaa1prWmtaa1prWmtaa1prWmtaa1prWmtaa1prWmtaa1prWmtaa1prWmtaa1prWmtaa1prWmtaa1prWmtaa1prWmt7b1pre29aa1prWmtaa1prWmtaa1prWmtaa1prWmtaa1prWmtaa1prWmtaa1prWmtaa1prWmtaa1prWmtaa1prWmtaa1prWmtaazlnWms5Z1prOWdaa1prWmtaa1prOWdaazlnWms5Z1prOWdaazlnWms5Z1prOWdaa1prWmtaa1prWmtaa1prWms5Z1prOWc5ZzlnOWc5Z1prOWc5ZzlnWms5Z1prOWdaawAAWmt7b1pre29aa3tvWmt7b1pre29aa3pvWmt6b1prWmtaa3pvWmt6b1prem9aa1prWmt6b1prWmtaa1prWmtaa1pre29aa1prWmtaa1prWmtaa3tvWmt7b1prWms5Z1prWGdYa5pvm28ZYxpjVUoMIQ0lszncXvVBihQOJS8pszkvKcwcDSWxNTVG2Fpca1trOmdbazpnWmtaZ1trOmdaa1prW2taa1trWmtaa1prWmtaa3pvWWtaa1lrWmtZa1prOWdaa1lrWWs5Z1trOmcbZ5dS0j3JGCwpGWNba1prWWtZa1prWmtaa1prWmtaa1prWmtaa1lrWmtZa1prWWtaa1lrWmtaa1prWmtaa1prWmtaa1prOWdaa1prWms5Z1prWmtaa1prWmtaa1prWmtaazlnWms5Z1prWmtaazlnWms5Z1prOWdaa1prWmtaa1prWmtaazlnWmtaa1prOWdaazlnWms5Z1prOWdaazlnWmtaa1prOWdaa1prWms5Z1prOWdaazlnWmtaa1prWmtaazlnWms5ZzlnOWdaazlnWms5Z1prOWdaazlnWms5Z1prOWdaazlnOWc5Z1prOWc5ZzlnWms5Z1prOWdaazlnWms5ZzlnOWc5ZzlnOWc5ZzlnOWdaazlnOWc5Z1prOWc5ZzlnAAB7b3pve296b3tvem97b3pve296b3tvWmt7b1pre29aa3pvWmt7b3pve296b3pvWmt7b1prem9aa3pvWmt6b1pre29aa3tvWmt7b1prWmtaa1prWmtaa1prWmtaa3tvem+abzhneWtZazpnO2eXUgshDSWRMR5nV04uJS8pDiUuKRZGDiUNJQwlkDGPMZdS+V5ca1trW2taa1trWmtba1prW2tba1trWmt7b1prW2taa3tvWmtaa1lrWmtZa3prWmtaa1prWmtZZ1prWmtbaxpn2VoTQuogCiEaY1tve29Za3prWmt6b1pre29aa1trWmtba1prWmtZa3prWWtZa1lrWmtaa1prWmtaa1prWmtaa1prWmtaa1prWmtaa1prWmt7b1prWmtaa3tvWmtaa1prWmtaa1prWmtaa1prWmtaa1prWmtaazlnWmtaa1prWmtaa1prWmtaa1prWmtaa1prWmtaa1prWmtaa1prWmtaa1prWmtaa1prWmtaa1prWmtaa1prWmtaa1prWmtaa1prWms5Z1prOWdaazlnWmtaa1prWmtaazlnWms5Z1prOWdaazlnWms5Z1prOWdaazlnWmtaa1prWmtaa1prWmtaa1prOWdaazlnWms5ZzlnOWdaazlnOWc5Z1prOWc5ZzlnWmsAAFprem9aa3pvWmt6b1pre296b3tvem97b1pre29aa3tvem96b1pre297b3tvWmtaa1lrWmtaa1prWWtaa1prWmt7b3tvWmtaa1prWmtaa1prWmtaa1prWmtaa1prWmtaazlnems5Z1pnGmM7Z7hWTSkMIU4pulr7XvM9sTmQMW8tyxzLHOwgsTUUQk0pjjFMLdA5llIZYzpnGWNba3trfG8ZY1pre298b1trWmtaa3tvWmtaa1prWms5Z1lrWWtaazlnWmtZa1prOWdaazpnO2sbZ/JByhwLJXVOW2s5Z3tvGGOccxhje29baxhjfG86azprOWdaa3pvOGdZa1lremtZa1prWmtaa1prWmtaa1prWmtaazlnWms5Z1prWmtaa1prWmtaa1prOWdaa1prWms5Z1prWmtaa1prWms5ZzlnOWdaazlnWms5Z1prWmtaa1prWmtaa1prOWdaazlnWms5Z1prOWdaazlnWms5Z1prWmtaazlnWms5Z1prWmtaazlnWmtaa1prOWdaa1pre285Z1prOWdaazlnWms5Z1prOWdaazlnWms5Z1prOWdaazlnWms5Z1prOWc5ZzlnOWc5ZzlnOWdaazlnOWc5Z1prOWdaazlnWms5ZzlnOWc5ZzlnOWc5Z1prOWc5ZzlnOWc5ZwAAe29aa3tvWmt7b1pre297b3tve297b3tve296b3tvem97b3pve296b5tze297b1prWmtaa3pvWmtaa1prem9aa3tve297b1prWmtaa1prWmtaa1pre29aa3tvWmtaa1prWmtba1trO2c7Zztn2VpOLQwlTSnaXjxrt1aWUpZSVErrHA0l6xzrHLhW+l5VSvE9jjFtLa41Mkb4XjlnOmcZY55zW2s6ZxljW2tba3xvW2tba1pre29aa1prOWc5ZzhnWmtZa1prWWtaazlnW2s7ZztnNEYLIeocM0Zba1tvWmt7b3tvGGNaa1prOmtba3xve29aa5xzem9Za1lreW9Za1prWmtaa1prWmtaa1prWmtaa1prWmtaa1prWmtaa1pre29aa1prWmtaa1prWmtaa1prOWdaazlnOWc5Z3tve29aazlnWmtaa1prWmtaa1prWmtaa1prWmtaa1prWmtaa1prWmtaa1prWmtaa1prWmtaa1prWmtaa1prWmtaa1prWmtaa1prWmtaa1pre29aa1prWmtaa1prWmtaa1prWmtaazlnWms5Z1prOWdaa1prWms5Z1prOWdaazlnWms5Z1prOWdaazlnWms5Z1prOWdaa1prWmtaa1prOWdaazlnWms5Z1prWmtaazlnWms5Z1prAABaa3pvWmt6b1pre29aa3tvem97b3pve296b3tvWmt7b3tve29aa3pve297b1prWmtaa1prWmtaa1prWmtaa1prWmt7b1prWmtaa1prWmtaa1prWmtaa1prWmtaa1prWms6Z1trOmc7axtjPGfZWo8x6yBNLbdWfW8ZYxlj+F7XWm4t6xzKGAwhuFZ+b9laGmOWUvE9TClsLY0xrjURQrZW2F4aYztnXG9ba1trOmc6Z3tve286ZzlnGWM5Z1prnHM5Z1prWWdZa1lrWms6ZztrGmOXUuocyRiPNVxrW2s6Z3tvW2s5Z1tvOmf4XvFBdE46Z3tvW2taa1lreWtZa1lrWWtaa1prWmtaa1prWmtaa1prWms5Z1prOWdaazlnWmtaa1prOWdaazlnWmtaa1prWmtaa1prWms5ZzlnOWd7bzlnWms5Z1prOWdaazlnWmtaa1prOWdaa1prWms5Z1prOWdaazlnWms5Z1prOWdaa1prWms5Z1prOWdaazlnWmtaa1prOWdaazlnWms5Z1prOWdaazlnWms5Z1prOWdaazlnWms5ZzlnOWdaazlnWms5Z1prOWdaazlnWms5ZzlnOWdaazlnWms5Z1prOWdaa1prWms5Z1prOWdaazlnWms5Z1prOWdaazlnWms5ZzlnOWcAAHtvWmt7b1pre296b3tvem97b3tve296b3tvem97b1pre296b3tvWmt7b3tve29aa3pvWmt6b1prem9aa3pvWmt7b1pre29aa3tvWmt7b1pre29aa3tvWmt7b1prWmtaa1trW2s7ZztnO2c7Z/pe0TnqIEwpdU58b1trWms5Z/dedlLqHOocbi0TQtlafW9+b1xr+V63VnVO8T1MKWwtrjWvNRJCt1YaYztrO2tcb3xvOmc6a3tve298b1prWms5Z1prWWtaa1lrWmtZa1prO2c7Z5dW6yDJHE0tGmN8bzpnW29aa3tvfG9ba/A9CSEKIfliW2tbazlnemtZa3pvWWt6a1prWmtaa1prWmtaa1prWmtaa1prWmtaa1prWmtaa1prWmtaazlnWmtaa1prWmtaa1prWms5Z1prWmtaa1prWmtaa1prWmtaa1prWmtaa1prWmtaa1prWmtaa1prWmtaa1prWmtaa1prWmtaa1prWmtaa1prWmtaa1prWmtaa3tvWmtaa1prWmtaa1prWmtaa1prWmtaa1prWmtaa1prWmtaa1prOWdaazlnWms5Z1prWmtaazlnWms5Z1prOWdaazlnWms5Z1prOWdaazlnWmtaa1prOWdaazlnWms5Z1prOWdaazlnWms5Z1prOWdaawAAWmt6b1prem9aa3pvWmt7b1pre296b3tvWmt6b1pre29aa3tvWmt6b1prem9aa3pvWmtaa1prem9aa1prWmt6b1prWmtaa1prWmtaa1pre29aa1prWmtaa1prWmtaa1prOmdaazpnW2saYztn+mITRqgUKyXxPXxve2ucc1prWmv5XtE9yRwLJU0pdU5+b1xrGmM6ZztnW2sZY7ZWEkLPOW0tbi1uLdA5NErYWhpnXG9ba1xvW2tbbzpnOmc5Z1prOWdaa1lrWmtZa1prWmtbaxpnl1bqHAshCyW3VltrW2taa3tvO2s7Z9he6RzqIAohllJcazpnWmtaa1lrem9Za1lrWmtaa1prWmtaa1prWms5Z1prWmtaazlnWmtaa1prOWdaazlnWms5Z1prOWdaazlnOWcYYzlnOWdaa1prWms5Z1prOWdaazlnWms5Z1prOWdaa1prWms5Z1prWmtaazlnWms5Z1prOWdaazlnWmtaa1prOWdaazlnWmtaa1prWmtaa1prWms5Z1prOWdaazlnWmtaa1prOWdaa1prWms5Z1prOWdaazlnOWc5Z1prOWdaazlnWms5Z1prOWdaazlnOWc5Z1prOWdaazlnWms5Z1prOWdaazlnOWc5Z1prOWc5ZzlnOWc5ZzlnOWdaazlnAAB7b1pre29aa3tvWmt7b3tve296b3tvem97b1pre29aa3tvem97b1prem9aa3tvWmt6b1pre29aa3pvWmt7b1pre29aa3tvWmt7b1pre29aa1prWmt7b1pre29aa1prWmt6a1lnWmtbazpnGmM7Z1RKyBgrJc85W2t8b5xve29bazpn11orJekgbS2vNbdWfW99b1xvXGsaYztnW2s7Z7dadlI0RtE9bjFuMa81EkIzSvle+V46ZzpnW2tba3xvfG9aa1lrWmtZa3prWWtaa1trPGuXViwlDCUrJTRKXGtbb1trW2tcazpndU5mDCwpTCl1Tn1vXG9ba3tvOWeab1lrWmtaa1prWmtaa1prWmtaa1prWmtaa1prWmtaa1prWmtaazlnWmtaa1prOWdaazlnnHN7b1prOWdaa1prWmtaa1prWmtaa1prWms5Z1prOWdaa1prWmtaa1prWmtaa1prWmtaa1prWmtaa1prWmtaa1prWmtaa1prWmtaa1prWmtaa1prWmtaa1prOWdaa1prWmtaa1prWmtaa1prWmtaa1prWmtaazlnWms5Z1prOWdaa1prWmtaa1prOWdaazlnWms5Z1prWmtaa1prWmtaa1prOWdaazlnWms5Z1prOWdaazlnWms5ZzlnOWdaazlnWmsAAFprem9aa3pvWmt7b1pre29aa3tvWmt6b1pre29aa3pvWmt7b1prWmtaa1prWmt6b1prem9aa3pvWmt6b1prem9aa3tvWmtaa1prWmtaa1prWmtaa1prWmtaa1prWmtZa1lrWWs4Z3prGWMZYxpjlVLIGEwpjTFba1trfG85Z1trOmcZY40xKyVLKW0trzUZYztnfW+dc3xvO2dbazpnGmMbZzxn+l53UtE9jjFNLW4xbTHxPXRO+WI6Z1trOmc5ZzpnWmtZZ1lrWWtaa1prW2s8a9haTSkLIeoc8T1ba1xvO2tba1trXGuwNYcQ6hxNLfJBfW9ba1tre285Z1lrWWtZa1prWmtaa1prWmtaa1prOWdaazlnWmtaa1prOWdaazlnWms5Z1prOWc5ZzlnOWf3XjlnOWdaazlnOWc5Z1prOWdaazlnWms5Z1prOWc5ZzlnWms5Z1prWmtaa1prWms5Z1prOWdaazlnWms5Z1prWmtaazlnWms5Z1prOWdaazlnWms5Z1prOWdaazlnWmtaa1prWmtaa1prWmtaa1prWmtaazlnWms5ZzlnOWc5ZzlnWms5Z1prOWdaazlnWms5Z1prOWdaazlnWmtaa1prOWdaazlnWms5Z1prOWdaazlnWms5ZzlnOWc5ZzlnWms5ZwAAe29aa3tvWmt7b3pve296b3tvem97b1pre29aa3tvWmt7b3pve29aa3pvWmt6b3pve29aa3tvWmt7b1pre29aa3tvWmt7b1pre29aa3tvWmt7b1pre29aa3tvWmtaa1lrem9Ya1lrems5ZxljOmeWUsgYTCmOMTtnfG98b3trnHN8b/da8T3pHOkcEkKwNW4tGmM7Z31vXGt9b1xvfW9ca11rPGtdazxnG2OXVjNG0DlNLUwtbTGONRJCdVIaY1xrW2taa1prWmt6b1prW2tba31v+V6PNeoc6RyvNX1vW2udczpnXGtcayslyRjqILA10Dlca1trOmt7bzhne29Za1prWmtba1prW29aa1trWmtaa1prW2taa1tvWmtaazprWmtaa1prOWtaazpnOmcZY/A9VEr5XjpnW2s6Z1prWmtaa1lrWmtZZ1prOWdaazlnWmtaa1prWmtaa1prWmtaa1prWmtaa1prWmtaa1prWmtaa1prWmtaa1prWmtaa1prWms5Z1prOWdaa1prWmtaa1prWmtaa1prWmtaa1prWmtaa1prWms5Z1prOWdaazlnWmtaa1prWmtaa1prWms5Z1prOWdaazlnWmtaa1prWmtaa1prWms5Z1prWmtaa1prWmtaa1prOWdaazlnWmtaa1prAABaa3tvWmt7b1pre29aa3tvWmt7b1pre29aa3tvWmt7b1prWmtaa1prWmtaa1prem9aa1prWmt7b1prem9aa1prWmtaa1lrem96b3tvWmtaa1prem9aa1prWWtaa1lrWmtZa1lrOGdZa1lrOWf4YvheTSkKIY8xt1Z9c1pre296b1lrOWdUTgoh6hzzQZA1TiluLVVO2FoaY1xrfm9da35zfW99b1trO2c6ZztnGWPXWnVOVErxPY8xLSlOLbE1FEL5XhljGmM6ZxpjOmc7Z1xrO2caY9E96RwKISslW2tba3xvW2s7Z9hahxALIQshsDXQOVtrW2s6Z1prW2t7b1trOmtaazprW2s6a1prOmtaazprWms6a1trOmtaazprWms5a1lvOWs6aztrXG8aY7hWDCXqHNE5G1/6XjtjXGcZX1pnWWc5Z1prOWdaZzpnW2s6Z1trOmtaazlnWmtZa1prOWdaa1prWms5Z1prWmtaazlnWms5Z1prOWdaazlnWmtaa1prWmtaa1prWmtaa1prOWdaa1prWmtaa1prOWdaa1prWms5Z1prOWdaazlnWms5Z1prOWdaazlnWms5Z1prWmtaazlnOWc5Z1prWmtaazlnWms5Z1prOWdaazlnWms5ZzlnOWc5ZzlnOWc5ZzlnOWcAAHtvWmt7b1pre29aa3tvWmt7b1pre297b3tvWmt7b3tve29aa3tvWmt6b1pre29aa3pvWmt7b3tve296b3tvWmt7b1prWmtaa3tve297b1pre29aa3pvWmtaa1lrWmtaa1lrWWtZa1lrWWs5Zxlj+V6wOeocjzV2Tp5zW2ubc3pvem8YY7ZW6RwsJbE5VkqyOfNBbjFNLfE9+V48Z11vnnM6Z3tvvXd8b1trOmdbazpnW2saZ/lel1I0RrE1cDEtKSwprjV0TvleXGtca1xrO2dcaxpjEkKnFOkcKyUaY1xre286Z1xrdU5mEMkYsTm3VlRKfG98b1pnfG9aa3xvW2tbazprW29aa1tvOmtbazprW2s6a1tvOmtbazprW286azlrOWtabzprW2tcbzxn2lpwMU8p7BxOKblWfmtdZztjOWNZa5tvWWc5Zzpne2tba1trWmtba1prWmtaa1prWmtaa1prWmtaa1prWmtaa1prWmtaa1prWmtaazlnWmtaa1prWmtaa1prWmtaa1prWmtaa1prWmtaa1prWmtaa1prWmtaa1prWmtaazlnWmtaa1prWmtaa1prWms5Z1prOWdaazlnOWc5Z1prWmtaa1prWms5Z1prOWdaazlnWms5ZzlnOWdaazlnOWc5Z1prOWdaawAAWmt7b1pre29aa3tvWmt7b1pre29aa3tvWmt7b1pre29aa3tvWmtaa1prWmtaa1prWmt7b1pre296b3tvWmt6b1prWmtZa1prem97b1prWmtaa3pvWmtaa1lrWmtZa1prOGdZa1lrWWs5Zzln+GIZYxNCyRxuLRNGfW98b3pvm3N6bzln11oKIS0lbzHbXndODCWPMbA1bjFMKfI92Vp9b1trnG97b3tve2+bb3prWmsZYzpnGmM7Zxtj2VpVShNCjjGOMUwpTS2OMRNGl1YbYxtjPGd2UskcqBgLIVVOXGtba1trXGszRocQyRjyPflet1Z9b1trWmt7a1trOmdbazprWms6a1prOmtaazprOms6a1prOmtaazprW2s6a1prOGdZazlrOms6a1xvO2cbY3ZO8jkMIesYjy2YUjxjfWs6Y1pnOWdaZzljWmc6Z1trWmdaazpnWmtaa1prOWtaa1prWms5Z1prWmtaazlnWmtaa1prOWdaazlnWms5Z1prWmtaa1prWmtaa1prWmtaa1prWms5Z1prOWdaazlnWmtaa1prOWdaazlnWms5Z1prWmtaazlnWms5Z1prOWdaazlnWms5ZzlnOWdaa1prWms5Z1prOWdaazlnWms5Z1prOWdaazlnOWc5Z1prOWc5ZzlnAAB7b3tve29aa3tve297b1pre297b3tvWmt7b3tve29aa3tvem97b1prem9aa3pvWmt7b3pve29aa3tvem97b1pre29aa1prWmt7b3pve29aa3tvWmt6b1prWmtaa1prWmtZa1lremtZa1lrOWc5ZxljllLJGG4t0Dl8b3xvem96b3pvOWcZY00tLSkuKV5r214URk0tTS2vNa81jjHyQVVOW2taa3tve2ubb3tve29ZZ3trWmdaazpnfG87axpn+V63WlRK8T1tLUwpTSmvNdE5NUpWTlZO6hzKHMoc0jkcZ1trOmc7a44xyRgMIbhWG2MaY1trW2s6Z3xvW2tba1trW2taa1tvWmtbb1prWms5a1pvOmtaazprWm86a1prOmtZa1lrWm86a1trW2tcaztnPGd2TtE5TSXrHE4pd05dZ55vOmMZY1pnfG86ZzlnWmdaa1prWmtZa1prWmtaa1prWmtaa1prWmtaa1prWmtaa1prWmtaa1prWmtaa1prOWd7b1prWmtaa1prWmtaa1pre29aa1prOWdaa1prWmtaa1prWmtaazlnWms5Z1prOWdaa1prWmtaa1prWmtaazlnWms5Z1prOWdaa1prWmtaa1prOWdaazlnWms5Z1prOWdaazlnWms5Z1prOWdaazlnWmsAAFpre29aa3tvWmt7b1pre29aa3tvWmt7b1pre29aa3tvWmt7b1prem9aa1prWmt6b1prWmtaa1prWmtaa1prem9aa3pvWmt6b1prem9aa3pvWmt6b1prWmtZa1prWWtaa1lrWWs5Z1lrWWtaaxljGWOXVuocLCWPNRpjfHNaa3pvOWdaa/he8UEMJU4p+2I9axxnEkJMKW0trzUTRvI9bS3wPZVSOWecc3pvWmtZa5tvm2+bb1prWms5ZzpnOmc6ZxpjGmP5XthadU4TQo81bi0tJQwlLSWIFKoYyxwuKbpafW99cztnCyGIEAwl+2JcaztnO2c6Z1prWmtbazpnfG86a1prWmtaazlrWms5Z1prOWdaazlrWms5Z1prOWtaazlrWm9aa1prOWdaazpnW2saYxtj8j0tJU4pLSEuJXdKG2M7ZztnW2s6Z1pnOWdZZ1lnWWtZa1prOWdaazprWms5Z1prWmtaazlnWmtaa1prWmtaa1prWms5Z1prOWdaa1prWmtaa1prWmtaa1prWmtaa1prOWdaazlnWmtaa1prWmtaazlnWms5Z1prOWdaazlnWms5Z1prOWdaazlnWms5Z1prOWdaazlnWmtaa1prOWdaazlnWms5Z1prOWdaazlnWms5Z1prOWdaazlnWms5ZwAAe297b3tve297b3tve297b3tvWmt7b3tve29aa3tve297b1pre29aa3tvWmt7b3pvem9aa3pvWmtaa1prem9aa3tvWmt7b1prem9aa3tvWmt7b1prem9aa1prWWtaa1prem9Za1lrWWt6b1prOmsZY9leLCksJY4x2Fp8b3tvWWtZa1prGWd1Uk0pTimYUj1r+l5ca9haTCnHGI4xM0avNSoljTF0TjljnHOcc5xzem9Za1lre297b3tvemt7b3tvW2tba1trOmcaY9hat1Z2ThNCTi0NJakU7BzsHA0h0z36XjtnG2cMJcocDCEcZ1xrfW87Z3xvWmtba3trW2tba1prWWtab1prWmtZa1prWWtaa1lrWmtZa1prWWtaa1lrWm9aa1pvWmtaazlnWms6ZzpjW2fYWvI9kDFPKS4lDSEUQhtfv3NcZxljWmucb1lnWWtZa1lrWWtaa1prW2taa1prWmtaa1prWmtaa1prWmtaa1prWmtaa1prWmtaa1pre29aa3tvWmtaa1prWmtaa1prWmtaa1prWmtaa1prWmtaa1prWmtaa1prOWdaa1prWmtaa1prWmtaazlnWms5Z1prWmtaa1prWms5Z1prWmtaazlnWms5Z1prOWdaazlnWms5Z1prOWdaazlnWms5Z1prAABaa3tvWmt7b1pre29aa3tvWmt7b1pre29aa3tvWmt7b1prem9aa1prWmt7b1pre29aa3pvWmtaa1prWmtaa3pvWmt7b1prWmtaa1prWmt6b1prem9aa1prWWtaa1lrWmtaa1prOWdZa1lrWms5Zzpn+V7QOekcjjF0Tnxve29aa1lrWms6Z7dajzFuLfNBXm9db1xr+V50To0xCiFtMZZWrjVsLWwtMkb4Xpxve29aa1prem97b5tzem96a1lnWms5ZzpnOmdbaztnO2caY/peG2O4VhRCcDENIe0g7RxPLY8x8T3yPQshLSVOKRxjn3Ncazpne29aazpnfG86Z1trWmtaa1lrWmtZa1prOWdZa1lnWWs5Z1lrWWdZazlnWWtaa1prOWdZa1lrWWs5Z1lnWmc6Z1xr+l7SNbI1kjHMGAwhNUYbYzxnGmNba3prWWdYZ1lrWGdZa1lrWms6a1prWmtaazlnWmtaa1prOWdaa1prWmtaa1prWmtaazlnWmtaa1prWmtaa1prWms5Z1prOWdaazlnWmtaa1prOWdaa1prWms5Z1prOWdaazlnWmtaa1prOWdaazlnWms5Z1prOWdaa1prWms5Z1prOWdaazlnWms5Z1prOWdaazlnWms5Z1prOWc5ZzlnWms5ZzlnOWcAAHtve297b3tve297b3tve297b3tve29aa3tve297b1prem9aa3pvWmt7b3tve297b3tvem96b1prem9aa3tvem97b3pve29aa3pvWmt6b1pre29aa3pvWmtaa1prWmtaa1prWmt6b1lrWms5Z1prOmcaYxJC6hxuMVNKW2+9d1pre285Z3xv2FrSPU4t0jleb11vO2s7a1tr11quNc852Fq3VvE9TClMKRJCtlY6Z3xvfG9ba3prWmt6b3prm297b3tvemt6a1pre29ba1trO2caYzxn+2IURi4l7BxQKXAtsTluLSwliBANJewgmFYbY1xrGWN8bzpnOmd8bztnOmdba1prWmtaa1prWWtaazlnWmtZa1prWWtaa1lrWWtZa1trOWc5Z1lnem9Za1lrOGdZazljOmMaX/paVkrTOXEtqhQuJVZKPGeec1tnOWdZZ3lrWGtZa1lrWmtaa1trWmtba1prWmtaa1prWmtaa1pre29aa1prWmtaa1prWmtaa3tvWmt7b1prWmtaa1prOWdaa1prWmtaa3tvWmtaazlnWmtaa1prOWdaazlnWms5Z1prWmtaa1prWmtaa1prOWdaa1pre29aa1prOWdaa1prWms5Z1prOWdaazlnWms5Z1prOWdaazlnWms5Z1prOWdaawAAe297b3tve29aa3tvWmt7b1pre29aa3tvWmt7b1pre29aa3pvWmt6b1prem9aa3tvWmt7b1prem9aa3pvWmt7b1pre296b3tvWmt7b1prem9aa1prWWtaazlnWmtZa1prOWdaa1lrWmtZa1lrOWc6a/lil1aoGG4trjVcb1prnHNaa3tvW2s7Z1VKLSVvMRxnfW9ca1trW2sZYxljGWM6ZxpjuFozRq81KyVtLTNGO2dca3xvW2t7b1pre2taa1prWWd6b3prem+bb3tvOWdaaztnfW/6XvteyxzLHO0gLymYUjVK0TnKGOwg7CCQMW4xM0a2VjpnfG+VUlRKXGt8bzpnOmdbb51zWms5Zzlne29aa1prOWc5ZzhnWWtZa1prOmdaazlnWWs4Z1lrWWt5a1lnWmc5YzpjG2McY3hO0zlwLaoU6xw0RvpeOmdaa1lnN2NZa1lremtZZ1prOmdaazpnWmtaa1prOWdaazlnWms5Z1prWmtaazlnWmtaa3tvWmtaa1prWmtaa1prWmtaazlnWmtaa1prWmtaa1prWms5Z1prWmtaazlnWmtaa1prWmtaazlnWms5Z1prOWdaa1prWms5Z1prOWdaazlnWms5Z1prOWdaazlnOWc5Z1prOWdaazlnWms5ZzlnOWc5ZzlnAAB7b3tve297b3tvWmt7b3tve29aa3tve297b1pre297b3tvWmt7b1pre29aa3tvem97b3pve29aa3pvWmt7b3tve296b3tve297b1pre29aa3pvWmt6b1prWmtaa1prWmtaa1prem9aa3prWWtaazpnOmeXVukcTSmvNTtrfG97b3tvWmtbaztnl1JOLW8xl1aec1xvfG97bzprOmdba1trO2cbY/piVUqvNSwljjHxPRpjGmNba1trfG9ba3xve2+bb3pveWtZZ3pvemt7b3trfG9ba11r2l7rHMsczBwNJfti+2KYUg0lDSXsIBRG8T1MKW0trjWuNY0xTCkzRhpjXG86ZzpnOmdbb1trW2s6a1prOWdaa1pre29aa1prOWdaazpnWmtZa1lrWGd5a1lrWWdZZ1trOmdcZzxn+l53TrI1sTWqFAshVUp9bzpnOWd7bzlnOWdZZ1prWWtbb1tvWmtaa1prWmtaa1prWmtaa1prWmtaa1prWmtaa1prWmt7b1pre29aa1prWmtaa1prWmtaa1prWmtaa1prWmtaa1prWmtaa1prWmtaa1prWmtaa1prWmtaa1prOWdaa1prWmtaa1prOWdaazlnWmtaa1prOWdaa1prWms5Z1prOWdaazlnWms5Z1prOWdaazlnWmsAAHtve29aa3tvWmt7b1pre29aa3tvWmt7b1pre29aa3tvWmt7b1prem9aa3tvWmt7b1pre29aa3pvWmt7b1pre29aa3pvWmt6b1pre29aa3pvWmt6b1prWmtaa1prWWtaa1prW2taa3prWWtaazlnWms6Z7da6iArJY41GmNba3xvem97bzpnW2u4WrA1LSkTQn1vnXN8b3tvWmt7b1trfG9ba1xrG2f5XpZSM0aOMSsljjESQpZSGmNba3xvO2daZ1lrem9Za1lrWWubb3tve297axpjfm88Z04pLiXNHE8puFZ+c9peTinrHAwhuVqXVtA90DlsLSolKyUKISwll1IaY1xrO2c7ZztnW2saYzpnGWNba3tve285ZxljGWNaazlnWms5Z1lrOWdZa1lnWWs4Z1prWms6ZzpnXGsbY/pemFJvLS0lyhhMKRJCXGs6ZzlnOmdaa3tvWms5Zzlnem9aa1prWmtaa1prWms5Z1prOWdaazlnWms5Z1prOWdaa1pre29aa1prWmtaa1prWmtaa1prWmtaa1prWmtaa1prWmtaazlnWmtaa1prOWdaazlnWms5Z1prOWdaazlnWms5Z1prOWc5ZzlnWms5ZzlnOWdaazlnWms5Z1prOWc5ZzlnWms5Z1prOWc5ZzlnOWc5ZwAAe297b3tvWmt7b3tve297b3tvWmt7b1pre297b3tve297b3pve29aa3tvem97b3pve296b3tvWmt7b3pve29aa1prWmt6b1pre29aa3tvWmt7b1pre29aa3tvWmtaa1prW29ba3tvWmt6b1prWmtaa1tr2FpNLeogrzXXWnxve2+bc3tvW2tba/pi0j1NKY81XGt8c5xzWmt7b3tve297b3xvXGs7ZxpnXGsaY3ZS0DmvNY4xbi1tLdA5VEoZY3xvemt7b5xzem9aa3pre286Z3ROEkLZXjxn0z3tIO4gLykURn5zG2MtKcocDCFeaxpjGmfXWpVSjjFMKSwl6yBOLSwl0T2WUtleXWt9b1xrOmedcztnGWMZY1trfG98b1pnWmtaa1prWWtaa1lrWms5Z1prWmt7bzpnOmc6Z1tnOmP6WndOTSksIagUTSnyPVxrW2tba3xvWmtaa1lrWWs5a1prWmtaa1prWmtaa1prOWdaa1prWmtaa1prOWdaa1pre29aa3tvWmt7b1pre29aa1prWmtaa1pre29aa1prWmtaa1prWmtaa1prWmtaa1prWms5Z1prOWdaa1prWmtaa1prOWdaazlnWms5Z1prOWdaa1prWms5Z1prOWdaazlnWmtaa1prOWdaazlnWms5Z1prAABaa3tvWmt7b1pre29aa3tvWmt7b1pre29aa3tvWmt7b1prem9aa3pvWmt6b1pre29aa3pvWmt7b1prem9aa3tvOWdaa1prem9aa1prWmt6b1prWmtaa3pvWmtaa1prWmtaa1trWmt6b1lrWWtZa1prO2v4Xq816RyOMXVSfG98b1pre29ba1xr+mIURk0tjjH5XnxvnHN6b1pre29aa3tvOWd7b3trWmsaYzpn+V7YWhNC8T2OMUwpKyVsLa81EUL4XlprnG98bzlnW2s6Z9daKyVNKdI9HWdYTs0c7yAOJbE5nnMcZ04tyRgsJV5vPGdcaxpjGmfyQeockDVPLYkUDCVNKSwlDCFuLTRG2FY8ZxtjXGtca3xvO2c7ZzpnWmdaZ3prWmt6a1pnWmc5Z1pnWmtba1pnWmc5Z1lrOGc5Zzpj2VpURuocCyGoFG4tE0I8a31vO2cZYzlnm3N6bzhnOWdaa1prWms5Z1prOWdaazlnWms5Z1prOWdaazlnWmtaa3tvWmt7b1prWmtaa1prOWdaa1prWmtaa1prWmtaazlnWmtaa1prOWdaa1prWms5Z1prOWdaazlnWmtaa1prOWdaazlnOWc5ZzlnOWdaazlnWms5Z1prOWdaazlnWms5Z1prOWdaazlnOWc5ZzlnOWcAAHtvWmt7b1pre29aa3tve297b1pre297b3tvWmt7b3tve29aa3tvWmt7b1pre296b3tvWmt7b3pve29aa3tvWmtaa1prem9aa3tvWmt7b1prWmtaa3tvWmt7b1prWmtaa1trW2t7b1prem9Za1prWmtba/leE0bIGI4xMkadc3xvem97b3tvO2s8Z1VOsDVuMZZWW2u9d3pvm3N7b3pve296a3lrem9ZZ1prWmdbaxpjW2v5XnVO0DmOMUwpTClMKfA9U0oaY31vfW+dc1trU0rJGAwlcDG6Vt1ezhwxKe4gkDE7Zzxrbi3rHC0pXm88a31vGmOec1RK6hyyOVdO7CANIW8tNUYUQm8tLCVuLU0p8j11ThtjXGtcZxpjXGt8b1prWWd6a1pre2taZ1trOmdba1pnWmtZZ3prWWt5a1hnnG/4WrdWt1YLIcoY6xwMITVK2Vp9b1xrWmtaa3pvWGtaa1prWmtaa1prWmtaa1prWms5Z1prWmtaazlnWmtaa3tvWmt7b1pre29aa3tvWmtaa1prWmtaa1prWmtaa1prWmtaa1prWmtaa1prWmtaa1prOWdaazlnWmtaa1prWmtaazlnWms5Z1prOWdaazlnWms5Z1prOWdaazlnWmtaa1prWmtaa1prWms5Z1prOWdaawAAWmt7b1prWmtaa3tvWmt7b3tve29aa3tvWmt7b1prWmtaa3tvWmt6b1pre29aa3tvWmt6b1pre296b3tvWmtaa1prem9aa3pvWmt6b1prWmtZa1prWmt6b1prWms5Z1prOmtba1prWmtZa1lrOWdaazpnGWNUSqgYbTHxPXxvfG9aa5xzWms7azxruFawNW0tEkI6Z5xzem+bc5tzWmubc5pveGs3Z3lre2+bb1prOmf5XjpnOmc7Z/hedE6vNUwpLCVuLRNG2FoaY55zO2fyQYgULSUuJdQ5m1bwJM8crRgtKdhaG2NuLcocTikcZ35vXGs7Z1xrllLKGE8tmlLUPQ4lcDF4UvxiNUbSObE1TiktJSwlTSnyPbhWXGs8ZzpjOGNYZzhnWmdaZ1trOmdbZztnWms5Z1lrWWt5a1hreWs5Y1tnOmPYVrhWLSWIEC0l7CDyPdlefW9bazlnN2dZa1lrWmtaa1prWmtaazlnWms5Z1prWmtaa1prWmtaa1prWmtaa1prWmtaa1prWmtaa1prWmtaa1prWmtaa1prWmtaa1prOWdaa1prWms5Z1prWmtaazlnWms5Z1prOWdaa1prWms5Z1prOWdaazlnWms5Z1prOWdaazlnWms5Z1prWmtaazlnWms5Z1prOWc5ZzlnAAB7b1pre29aa3tvWmt7b3tvnHN7b3tve297b1pre29aa3tvem97b1pre296b3tvem97b1pre296b3tvem97b1pre296b3tvWmt7b1prem9aa1prWmt6b1pre29aa1prOWdaa1prWmtZa3prWWtaazlnW2sZY5ZSpxSOMc85fXN8b3tvm3NbazpnfXPZXvE9TCnQORljnXNaa5xzm29aa5pzmnN5b5pvmm96bzhnOWdba5xvW2s6ZxljOmf4XtdallLRPW0tbi2vNTRKG2c8ZxNCDCFwLZIxUSmcVnMxESXOHE8tl1Zda28x6yAtKfpifW99b1trfG/YWiwlDSXcWrtakjENIRRCPWdeaz1nuVZOLbE1sTWxNU4pLSVNKdI5VEoZYxhjOmc6Z1trW2tca1tnXGs6Z1trWWdZa1hneWt5b1prOmM6Zztn2VqXUrA1hxAMJQshsDm3VnxvW2tZa1lrWmtaa1prWmtaa1lrWms5Z1prWmtaa1prW2taa1trWmt7b1prW2taa1trWmtaa1prWmtaa1prWmt7b1prWmtaa1prWmtaa1prWmtaa1prWmtaa1prWms5Z1prOWdaazlnWmtaa1prOWdaa1prWms5Z1prOWdaazlnWmtaa1prWmtaa1prWmtaa1prOWdaazlnWmsAAFprWmtaa3tvWmt7b3tve297b3tve297b1pre297b3tvWmt6b1prem9aa3pvWmt6b1prem9aa3pvWmt6b1prem9aa1prWmtaazlnWmtaa1prWWt6b1prem9Za1prWmt7b1lnWWtZa1prWWtaa1prW2sZYztndVLpHG0t8D0aZ3xvW2t7b1pre29bazpndlJNLbA5VU6fd1trfG+bc1hnu3d6b5tzem97b1prWmtaa1prW2t7b1prW2s6ZzlnGWM5Z/hedU6OMU0pbS3yPXdONUYNIQ8l1TmUMa4UfE6uFBAh7Bw1Rj1nsTnqHE0pOmedc3trWms5ZxljKyUtKXhSHmezNZIxcC1eaxtjdk4LIesc7BztHA4hcS2RMXAtLSUMJQshbjHyPXZS2V5ca1xrPGv5YlxrfG98b1pnWmtaa3tvOmdaZ1prW2s6ZzlnlVLPOYUQSykrJUwpdE5caztnW2s6Z1prOWc5Zzlnem96b1prOWdaa1prW2taa1trWmtbazpnW2s6a1trOmtba1prW2taa1prWmtaa1prWmtaa1prOWdaa1prWmtaa1prWmtaa1prWms5Z1prOWdaazlnWms5Z1prWmtaazlnWms5Z1prOWdaazlnOWc5ZzlnOWdaa1prWmtaa1prOWdaazlnOWc5ZwAAe29aa3tve297b3tvnHN7b3tve297b3tve297b3tve297b1pre29aa3tvWmt7b1pre29aa3tvWmt7b1pre29aa3pvWmt6b1prWmtaa1prWmtaa1pre29aa1prWWtaa1prWmtZa3pvWmtaa1prW29bazprO2u3VgkhbS3QORpnfG98b3tvWmtaa3tvOWe3Vo4xkDU0Rp93PGt8c5tveWuac5tze2+cc3tve29aa3tvWmt7b1pre29aa1prOWdaazlnGGMZY/haVEqvNS0ljy0uJcwYcS05RrU1Uym2NfAcECHtINM5XmuxOesgTClba5xzm296a1prGWNtMSwlV0odY5lSbyk1QrhWfWvxOcoYTilPKQ4hzRzNHC8lkjE2SplWNUpvLQwhLSmPMY8xE0KWUlxrO2c7ZzpnW2tba3xve297b1prW2s5ZzlnWmdaa/delVJkDOgcrzkKIbA1f29db51zOWc6Z3tvnHM5ZzhnWWtZa1lrWmtaa3tvW2tbb1trW2taa1trW2tba1prW29ba1trWmtba1prWmtaa1prWmt7b1pre29aa1prWmtaazlnWmtaa1prWmtaazlnWmtaa1prWmtaa1prWms5Z1prWmtaazlnWms5Z1prOWdaa1prWmtaa3tvWmtaa1prWms5Z1prAABaa3tvWmt7b3tve297b3tve297b3tve29aa3tvWmt7b1prem9aa3pvWmt6b1prem9aa3pvWmt6b1prem9aa3pvWmtaa1prWmtaa1prWWtaa1lrWmtaa1prWWtaa1lrWmtZa3prWWtaa1prW2taa1trOmdba7daTClLKa852Fqdc3tvnHNZa3tvWms6a9da0DksKRNCXWtca1trm3NYa5pzem97b3tve29aa3tvWmt7b1pre29aa1prWmtaazlnWms5Z3tvOmcZY1RK0DVNKakUqhRxLThG9j1zLXMtrhQQIcwYLyn8YrI1qhhNKRpnfG97b5tzOWc5Z9A5LCXTPR1j/F6xNfM5l05/b28tyhgUQtpaeE6SNQ4lqxjsIHAt9EG5VvtemFLSPS0pTSksKSwlbi2vNRJCtlb5XjpnOmdbaxpjW2tca3xvW2tbazpnOmf4XrdWLCWoGE4tLSUNIXdS+mJba3tvWms5Z3tvem96b1lnWWtZa1prWWtaa1lrWms6a1trOmdba1prW2taa1prWmtaa1prWmtaa1prWmtaa1pre29aa1prWmtaazlnWmtaa1prOWdaazlnWms5Z1prOWdaazlnWms5Z1prOWdaazlnWms5ZzlnOWdaazlnWms5Z1prOWdaazlnWms5ZzlnOWcAAHtve297b3tve297b5xze2+cc3tve297b3tve297b1pre296b3tvWmt7b3pve29aa3tvWmt7b1pre29aa3tvWmt7b1pre296b3tvWmt6b1prem9aa3tvWmt7b1pre296a3pvWmt6b1pre29aa3tvW2tba1tr+V6uNSsljjGXVn1znHOcc3pvem97b1prGWMTRgsl0TkcZ1xrfG+bc3pvem97b3tve297b3tve297b3tve297b3tvWmt7b1prWmtaa3tvWmsZYzpnO2fYWlVKLSUNIS4lFkJZSlIptTWuGO8g7iDMHP1esznKGC0pPGd8b3tvm3NaazlnVEoLIZE1HGMcY5hSbym5Vl5nTikNIXdOfmscY7lWFEKQNQ0lDSHsILI5FEK5Whxn+l40RtE50TluLU0tbS1tLY4xrjURQnROGmc7Z1xrXGt8bztnO2dcazxr+l7ZWtI5yxzsHFAt7CATQtlefW87Zzpne2+cc1prWmtZa1lrWWt6a1lrWmtZa1prWmtaa1prWmtaa1trWmtba1prWmtaa1prWmtaa1prWmtaa1prWmtaa1prWmtaa1prWmtaazlnWms5Z1prOWdaa1prWms5Z1prOWdaa1prWms5Z1prOWdaazlnWms5ZzlnOWdaazlnWmtaa1prOWdaawAAWmt7b3tve297b3tve297b3tve297b3tvWmt7b1pre29aa3pvWmt7b1prem9aa3tvWmt6b1prem9aa3pvWmt6b1pre296b3tvem97b1prem9aa1prWmt6b1pre29aa3pvWWt6b1prem9aa1prWmtbazprOmv5YhFC6RxtLTRKnXN7b5xzWmt7b1prW2saZ3ZS6yCPNbhWfW9ba5tzem+ab1pre29aa3tvWmt7b3tve29aa3tvWmt7b1pre29aa3tvWmt7bzpne287Zxpj2Vo1Ri0lDSXTNR5jtDW0NXItzhwPJc0celL1QaoYTik8Z31vWmucczlnOmeWUiwlTi37XlxrPGdvLXdOmVJxLewcd04bYztnO2caY7hWVUrSOZExDCUMIU4tNUraXhtj+mIbY3ZSVUrxPa81TCkrJSolTCkKIY4x8T12UtlauFqXUvtiHGNea39z3F5QLcwc7iAOJS0lsTV2TjxrXW9baxljOWdZa1lrWWtZa1hrWWtYa1lrWWdaa1lrWmtZa1prWmtaa1prWmtaa1prWmtaa1prWms5Z1prWmtaa1prWmtaa1prOWdaazlnWms5ZzlnOWdaazlnWms5Z1prOWc5ZzlnWms5Z1prOWc5ZzlnOWc5Z1prGGNaazlnWms5Z1prWmtaazlnAAB7b3tve297b3tve297b3tve297b3tve297b1pre297b3tvem97b3pve296b3tvem97b1pre29aa3tvWmt7b1pre297b3tve297b3pve296b1prWmtaa1prem9aa3tvWmt6b1prem9aa1prWmtaa1prW2s5ZzpnVErpHEwtEkJ9b3xznHN7b3tve29ba1xrt1ZNKW4tVU5db3xve2+bc3pvem9aa3tve297b3tve297b3tve297b3tve29aa3tvWmtaa3pve297b1trGmM7Z7dSTSktJbI1P2e7Vi8lOEaLEDEpzhz2QfZBqxguKTxnXGt7b3tvWms6Z/leLCVOKbhWnnP4WnZKsjU3RtQ57Rx3Tn1vfG+cc3prW2v6XrlWV04URvI9bzEMJZA1l1I8ZzxnPGcbY/pe2FrYWnVOEkKPMW0tbS1uLY8xsDULIakYDCU2SplSHmc/a7ta1T0xKasU7SDsIHAxFEb6XjxrfW9ba3tvWmt6a1lrWWtYa3lrWWtaa1lrWmtZa1prWmt6b1prWmtaa1prWmtaa1prW2taa3tvWmt7b1prWmtaa1prOWdaazlnWms5Z1prOWdaazlnWms5Z1prWmtaazlnWmtaa1prOWdaazlnOWc5Z1prOWc5ZzlnWms5Z1prWmtaazlnWmsAAFpre29aa3tvWmt7b1pre29aa3tvWmt7b1pre29aa3tvWmt7b1pre29aa3tvWmt7b1prem9aa3pvWmt6b1prem96b3tvWmt6b1prem9aa3pvWmtaazlnWmtaa3tvWmtaa1prem9aa1prWWtaazlnWmtbazpnGmeWVugcbS3QOX1ve2+cc3pvnHN6b1trW2vYXo4xTSnROVxrW2t7b3pvem9aa3tvWmt7b1pre29aa3tvWmt7b1pre29aa3tvWmtaa1lrems4Z1prWmdba1tr2FqPMSwhby37Xh1jszXTOawYECUQJTEp90FqEC4l+l5ca3trm29ZZ1prGWNMKS0lVUp8a/ha+l6xNfZB9kHtHFZKfG97b1lrWGs5Z1trHGccZ/tiVUqwNY8xTSlNKdE92Vpdb55zXWs7ZxtjPGf6YthadU40So4xbS1uLQslLSU1SuwccC2zOTdKu1q8WrU5zhzuIO4kzRwNJbE1mFY7Z31vW2tba1prWWtZZ1lrWWdZa1lrWWtZZ1lrWWtaa1lrWmtZa1prWmtaa1prWmtaa1prWmt7b1prWmtaa1prOWdaazlnWms5ZzlnOWc5ZzlnOWc5Z1prOWdaazlnOWc5Z1prOWdaazlnOWc5ZzlnOWdaazlnWmtaa1prOWdaa1prWms5ZwAAe29aa3tvWmt7b3tve297b3tvWmt7b1pre297b3tve297b3pve296b3tvem97b3pve29aa3tvWmt7b1pre29aa3tvem96b1prem9aa3pvWmt7b1prWmtaa3tve297b3pve29aa1prWmtaa1lrWms5Z3tvGWdba7da6SBtLdE5XW98b5tze2+bc3tvWmt8b/he0DksJY81PGt8b3tvem9Za3tve297b3tve297b3tve297b3tve29aa3tvWmt7b1prWmt6b3pvWmtaazpnfG/5YlVKCyFuLXdOHWP7Xi4lLyVSLTIt8CAYRqsYLykcZ31vnXN7b3prWmc6Z0wpLSkTQntre2s8Z1ZKOErVPQ4h0jl8b3pvmW94a1lrW2tdaxxnfm8bZ5dW0T2OMU0tbi1uLVRK+l5+c11rPGtca11vO2c7Zzpn+V7YWrhW0TlvMTVGsTkNJQ4lLykwKXExtDlyMVIt7iDOIA8lLylPKRRG+mJ9b1xrW2taa1prWWtaa1lrWmtZa1prWWt6a1premtZa1prWmtaa1prW2taa1trWmtaa1prWmtaa1prWmtaa1prWms5Z1prOWdaazlnWms5Z1prOWdaazlnWms5Z1prOWdaazlnOWc5ZzlnOWdaazlnWmtaa1prWmtaa1prWms5Z1prAABaa3tvWmt7b1pre29aa3tvWmt7b1pre29aa3tve297b1pre29aa3tvWmt6b1prWmtaa3pvWmt6b1prWmtaa3tvWmt6b1prem9aa1prWmtaa1prWmtZa1prWmt7b3pve29aa3tvWmtaazlnWWc5Z1lrOmdaaxlj2F7pIEwp0Tk7Z3xve297b5tze297bzpnGmdVTgohbjF1Tjtn3ntZa3pvWmt7b1pre29aa3tvWmt7b1pre29aa3tvWmt7b1prem9Za3pvWWt6b1prW2s6Zzpn11pMKSwlsDU9ZxxjVkrLGBAlMilTMfdBahBQLRxjfW98b1prnHNbaxlj0TlNKbA1Wmd6aztjHGM4SpMxcS0tJRhfem+6c1dnmnNaaztnXWv6XjtnO2cbY5dSEkJuLSslTSmPNTNG+l5da11rPGdcaztnW2s6ZxpjGmP6XhNCLCWQMdM9sTWyOQ0lDSWrGO0gECXPHGwUlDWzOZI1LilOKVVK2V47a1trOmdba1tvfG84Z1prem+bb1lrWWs5Z1prWmtaa1prWms5Z1prWmt7bzlnWmtaa1prOWdaa1prWmtaa1prWmtaazlnWms5Z1prOWdaa1prWms5Z1prOWdaazlnOWc5Z1prOWc5ZzlnOWc5Z1prOWdaazlnWms5Z1prOWcAAHtve297b3tve297b3tve297b1pre297b3tve297b3tve29aa3tve297b3pve296b3tvWmt7b1prem9aa3tvem97b1pre29aa3pvWmt6b1prem9aa3pvWmt7b3pve296b3tvWmt7b1prWmtZa1prWWtaa1prOmf4XkwtCyHRPflefHN7b3tve2+bc3pvW2s6Z7dW6iCPNRJCfG+cc3tvem97b3tve297b3tve297b3tve297b3tve297b1pre29aa3pvWWt6b1pve29aa1trOmf5XvE9CyHQNfpePGe5Vi4pzhx0MTIpdDXuIA4lPGd9b51zWmu9d1trGmPyQSwljjF7a1lnnW89Z7pW9T1QLS0plVJ6b3hveG96bzlrfW88a553O2f5XhpjXGsaY3VOrzWOMSwlLCmvNVVO2Vpda55zW2t7b51zW2tbaxpjl1LRPZAxsTW5WlZKNUZvLZAxihTvJDIpECXvJO4gUC3TPdI5qRiPNdhaXGt9bztnO2c6Z51zWms4ZxhjOWdaa3tve297b1prWmtaa1prWmt7b1prWmtaa1prWmtaa1prWmtaa1prWmtaa1prWms5Z1prOWdaa1prWmtaa1prOWdaazlnWms5Z1prWmtaazlnWms5Z1prOWdaa1prWmtaa1prWmtaawAAWmt7b1pre29aa3tvWmt7b1pre29aa3tvWmt7b1pre29aa3pvWmt7b3pve296b3tvWmt6b1prem9aa3pvWmt6b1prem9aa1prWmtaa1prWmtaa1prWmt6b3pve29aa1prWmtba1prem9aa3pvWWtaa1pre28ZYxljrzXJHLA5t1Zba3tvemt6b3pve29aazpn2FoLJW4tsDVcb1tve296b1pre29aa3tve297b1pre297b3tve297b3tve29aa3pvWWtZb1lrWm9aa3tvOmc6axlj11rpHNA1dk5da/pe8z1rEJU17yAQJS8pDSEbY35vfG97b5xze2saY3ZO6xxuLRhfWWeecz1n/GJ4Ui4pTSnPOXpvN2eaczhnWWuccztrfG9baxljOmdca1xr+F62VvE9rzVMKQslCiFuMVVKO2d8b5xvW2tca3xvfW/6XpZSDCUtKTVGPWvaWtlad06yOe4g7yCtHA8lcTFQLU8tDSWwNS0pCiHQOdlannN9bztrGWM6a1trfG9aa1prOmdba1prW2s5Z1prOWdaa1lrWmtaa1prOWdaa1prWms5Z1prWmtaazlnWms5Z1prOWc5Z1prWmtaa1prOWdaazlnOWc5ZzlnOWc5ZzlnOWc5ZzlnOWc5ZzlnWmtaa1prWmtaazlnAAB7b3tve297b3tve297b3tve297b3tve297b3tve297b3tvem97b3tvm3N7b3tve297b3pve29aa3tvem97b1pre296b3tvWmt7b1prem9aa3pvWmt6b3pve297b3tvWmtba1tre296b3tvemt6b1lrem9aazlnGWMzSqcUsDVUSnxve2+bc3pve296b3tvOmcaY0wpTCluMTtrW2ucc1pre297b3tve297b3tve29aa5xze297b3tve29aa3tvWmt6b1lrWmtZa3tvWmtbazprOmcZY20tbS0zRl1rPGeYUs0cMi0RJc4cMCkNIRxnfW98b3trnHNba1tr+V4sJW4tlVJaZ51zO2deb9pesTkLJW0t+F56b5tzOGdaa513Oms6Z1trnHN7azpnGWM6ZztnW2uWUtA5TS1tLU0tbi1tLZVS+F6dc51zfW87ZzxnG2fyPSwlTSn6XjxnXWvZWrlWeE6SNewgyxyxNW8xsTlNKU0tTS1uMU0tTSmPMZZSfW99b1trO2s6Z1trW2tbazprW29aa1prWmtaa1prWmtaa1prWmtaa1prWmtaa1prWmtaa1prWmtaa1prWmtaazlnWmtaa1prWmtaazlnWms5Z1prOWdaazlnWms5ZzlnOWdaazlnWmtaa1prWmtaa1prWmsAAFpre29aa3tvWmt7b1pre29aa3tvWmt7b1pre29aa3tvem97b3tve296b3tvWmt7b1prem9aa3tvWmt7b1prem9aa3pvWmt6b1prWmtaa3pvWWtaa1pre296b3tvWmtaa1prW2tba3tvWmtaa1lrWWtZa1prGWMaZ3VOqBhuLfI9Omd7b5tvm29Za3pvWmtba/herzXqHI8xt1Z9c1tre297b3tve297b3tve29aa3tvWmt7b1pre29aa1prWmtaa1lrWW9Za1pvWmtab1prW2s6ZxljEkIrKdA5PGsaY/tiUS3OHFEt7iDtIC4pG2Ncb1tre297b3tvO2cbZ04tTSnwPZxvW2s7Z31vG2dVTgohTClUSp13e285a3tzem9aa1pre297b3tvWmtaazpnOmf4XjpnGmO3VvE9bS0rJU0tTC3POVNK+V5ca55zXWs8Z9lakDXrII8xXWtdaztnPGf7YvtiVk6PMdA5M0a3WnVO8T2vNUwpLCkLIQslTS2wOZZS+V5ca31vO2s6ZzpnW29aa1trWmtaazlnWmtZa1prOWdaa1prWms5Z1prWmtaazlnWms5Z1prOWdaazlnWms5Z1prWmtaazlnWms5ZzlnOWc5ZzlnOWc5ZzlnOWc5ZzlnWms5Z1prOWdaazlnWms5ZwAAe297b3tve297b3tve297b3tve297b3tve297b3tve297b3tvm3N7b3tvem97b1pre29aa3tve297b3pve29aa3tvWmt7b3pve29aa3tvWmt6b1pre296b3tvem97b1pre29ba3tvem96b1lrWWtZa3pvWWs6Zxpjt1oLIU0pjzU6Z3tvnHN7b3pvem97b1pr+WIzRuocjjFUSp1zW2t8b3tve2+cc3tve297b3tve297b1pre29aa3tvWmt7b1prem9Za1pvWWt6b1prW29aa1tr+F7XWislrzX5XjtjPGc3SowUcjEPJcwcTy08Z1xrnG97b3tvWmtcaxtj8z0sJc81nXNba1trfW87ZxpjTClNLa81nnM7a3xvm3N5b1lre296a3tvemt7b1trW2s6Z1trGmMaYxpjGmO3VhNGjjFMKQohCyGPNZdSHGNebz1rHGOYVm8tDCG5Wp9zfnNdaxpjW2tbaxljGWP4Xlpr+F74XpZWVE7xPY4xKyULIeogLCXRObhaO2ddbztrXGtba1trWmtba1prWmtZa3prWWtaa1prWmtaa1prWmtaa1prWmtaa1prWmtaazlnWmtaa1prWmtaa1prWms5Z1prOWdaazlnWms5Z1prOWdaazlnWmtaa1prWmtaazlnWms5Z1prAABaa3tvWmt7b1pre29aa3tve297b1pre29aa3tvWmt7b1pre29aa3tvem97b1prem9aa3tvWmt7b3tve29aa1prWmt7b1prem9aa3pvWmt6b1prem9aa1prWmt7b1prWmtba3tvWmt6b1prem9Za3pvWmtaaxlnGme3Wm4xCyFuMfheWmt7b3pvWWt6b1prW2sZY5dW6hxtLfE9fW86a3xve297b3tve297b3tvWmt7b1pre29aa1prWmt7b1prem9ab3pvWWtaa1prWm86a1prOmc6Z/hejTFtLZZSO2c9a5pW7iDuIC8p7BxPLTtnfG+cc5xzWmt7a1xrG2N3Ti0pjjE6Z1tre2taZ1prO2cSQgslTi24Wl1vW2+cc1hreW9Ya3premt6b1lnWms6Z1trGWNba1xrXGsaY/let1a3VrA1kDVuLU4pLSmRNVZKHWO6Wj5r9EFvMZAxHGcbYztne29Za9Zaem96b1lrWWd6axdjGWP4YthedVISQk0t6hxuLS0pCyGPMVVOG2dba1trOmtbazprWmtaa1prWWtZa1lrWms5Z1prWmtaazlnWms5Z1prOWdaazlnWms5Z1prOWdaazlnWmtaa1prOWdaa1prWms5ZzlnOWdaazlnWms5Z1prOWdaa1prWms5Z1prOWcAAHtve297b3tve297b3tve297b3tve297b3tve297b1prem9aa3tvWmt7b3pve296b3tvem97b3tvm3N7b3tvWmt7b3pve29aa3tvWmt7b1pre29aa3pvWmt7b3pve29aa3xvW2t7b1pre296b5tvem+bb1lrWmsaY9he0DkLIW4t2Fo5Z3tvem96b3pve29aazpn2FosJSwl0Dlba1trfG+cc3tvnHN7b5xze297b1pre29aa3tvWmt7b3tve296b3tzem9ab1prWm9aa1prOWtaa1trGF/POWwtU0p8b1xr21owKcwYLiUuJS4pPGt8b713nHN7b3tvnXMaYxxnTi1uLZdWfW97bzlnWmd7b7dW6iAtKRRGfm98b3tveW95b5tzemtaa1lrem96a3tvWmucb1trOmcaY1trW2s7Z/liGmNVSrA1Ti2PMW8tTy0uKdI5NUZWTi0pbi00Rn5vfXN6b5tzOGd5b1lrm3ObbzhnWmtaa1trGWc6Zxljt1YzRiwlTS1uMU0pTSmPNZZSXGtca1trW2tba1tvWmtaa1prWmtaa1prWmtaa1prWmtaa1prWmtaazpnWmtaa1prWmtaazlnWmtaa1prWmtaa1pre29aa1prOWdaazlnWmtaa1prOWdaa1prWmtaa1prWmtaawAAWmt7b1pre29aa3tvWmt7b1prem9aa3tvWmt6b1pre297b3tvWmt7b1pre296b3tvWmt7b3pve29aa3tvWmt6b1pre29aa3pvWmtaa1prem9aa3pvWmt7b1prem9aa1prW2tba1pre29aa3pvem96bzlnem86Zzpn2V7yQYcQjzV1UrdanHOcc1lnm3NZa3tvW2v4Xo4x6RyvNRlffGt8b1tre297b3tvWmt7b1pre29aa3tvWmt7b3tve29aa3tvWmtaa1prWmtZa1prWWtaa1lrOWc5ZzFGjDGuNfhefG/6XlZOiRTsIOwgLikbY55zfG98b3tve286Zzpn2F5VSk8tNkpdb51zGGO8d/deOmduMesckTU9axpnnHOac1lrWWtaazlnWWs5Z1prWmt7b1prWms6Z1prOmdaazlnOmcaZxpn2Fp1TtA5bjFMKU0pLCksJQshDCULIW8xVk5db5xzWWt6b5xzWWdaa3trW2tba1trWmdaZzljOWcYYzln+F4zRm0xTCkLJQslbS3yQbhaO2dcaztrO2d8b1trOmc5Z1prWmt7bzlnOWc6Z3tvWmtaazlnOmc6Z1prWmtbazlnWms5Z1prOWdaa1prWms5Z1prOWdaazlnOWc5ZzlnOWdaa1prWmtaa1prOWc5ZzlnAAB7b3pve296b3tvem97b3pve29aa3tvem97b1pre296b3tvWmt6b1pre296b3tvWmt7b3pve297b3tvem97b1pre29aa3tvWmt6b1pre29aa3pvWmt7b3pve29aa3pvWmt8b1tre29ba3tvem97b3pvWWtaa1trOmcaYxNGqRiPMVRK2F6dd3xvem96b3prWmt7a/le8T3pHK8xllJ8a3xvfG97b3tve297b3tve297b3tve297b3tvnHN7b3tvWmtba1prWmtaa1prWWt6a1lrWms4Z1lrUkoIIWwtUkpbaztnl1YLIcoYDCEMJfpeXW99c3xvnHN7b1trWmsZY3ZSkTHUPV5rXGtaa5tvWWc6ZxNC6xyQMdpefW9ba5tzWWt6b1prWms5Z1prWmt7b1pre29aa1prWmtaa1prWms6Z1prGWc6ZxljGWO3VjNGrzmOMSwpCyULIeog6yDROZZSfG9aa5tze297b3xvnG9aZ3tvW2tba1prWms5Z1lrOWdaa/hi2F6VUvE9LCkLJSwlTS00RhtnXW9caztrXGtba1tvWmtba1prWms5Z1prOmdbazpnWms6Z1prWmtba1prWms5Z1prWmtaa1prWmtaa1prWmtaa1prWms5Z1prOWdaazlnWmtaa1prWmtaazlnWmsAAHpve29aa3tvem97b1pre29aa3tvWmt7b1pre29aa3tvWmtaa1lrWmtaa3tvWmtaa1pre29aa3tvem97b1prem9aa3tvWmtaa1prem9aa3pvWmt7b1pre29aa3pvWmtaa1tre29aa1prWmt7b1prem9ZZ3pvOmc7axpjVU7JHI810D0aY3xve296b3pvWmtaa1trGmM0RuocbSkSQjpjnXN7b3tve297b3tve29aa3tve297b3tve297b3tvWmtaa1prW2taa1prWWtaa1lrWWs5ZzhnOWeUUoUUKilsLVtrPGv6Ym4tiBTrIAwluFpca3xvfG97b3tvWmt7bzpnuFqzOZI1+2Jca3tvem9aa1pnl1ItKS0pVUp9b1preWt5a3prWms5Z1prWmt7b1pre29aa1prWmtaa1pre29aa1prOmdba1trfG9bazpn+F7YWnVSM0bxPdE9bjEsKSwpjzUZY3xvfG9ba3trnXN7a1prWmtba1prWmtaa1prWmtaa1prW2s6a1tr+V51Tq81TSkLISwlbi0zRvlefXNcbztrW2taazpnWms6a3tve297b1prWms5ZzpnOmdaazprWms5Z1prOWdaazlnWms5Z1prOWdaazlnWms5Z1prOWc5ZzlnWms5Z1prWmtaazlnOWc5ZwAAe297b3tvem97b3tve296b3tvem97b3pve296b3tvem96b1prWmtaa3tve297b1prem9aa3tvem97b3tve296b3tvWmt7b1pre29aa3tvWmt7b3pve29aa3tvWmt7b1prfG9ba3tvWmt7b3pvem9Za3pvWmtbazpnO2eXViwpjzWPNRpne29aa5tzWWt7b1prfG8aY7dSCiFMKa81OmOdb3xve297b3tve297b3tve2+cc3tve297b3tve297b1pre29aa1prWmt6b1prWmtZazlnOWc6Z9ZaCSHoHGwtOmddbztn80FnEAwlLSXZWl1vnXNbb3tvem97b3tvW2v5XhVGUC25VlxvnHNaa3pvOWcaY7E1LSWxNRtnW2t6b1lre29aa1prWmt7b3tve297b3tvWmt7b1pre297b3tvWmt7b1trW2s6ZzpnOmdba1xrXGs7Zxpj2V64VjNGjzUrJZZSXGuec1trfG98b3tvW2t7b1pre2taa3tvWmt7b1trW2s6ZzpnOmt9b1xr+V51TtA5bjFtLUwpjjHxPdhafXNba1tre286azprOmdba1pre29aa1prOWdaa1prWmtaa1prWmtaazlnWmtaa1prWmtaa1prWms5Z1prOWdaazlnWmtaa1prWmtaa1prWms5Z1prAAB6b3tvem97b3pve296b3tvWmt7b3pve29aa3tvem97b1prWmtaa3tvem97b3pve29aa1prWmt7b1pre29aa3tvWmt6b1prem9aa3pvWmt7b1pre29aa3tvWmt6b1pre29ba3tvW2t7b1prem9Za1prWmtaazpnOmcaY9hebi2wNY4xGmdba1prem9Za3pre297azpnuFZMKSsljjEZX51ve297b3tve297b3tve297b1pre29aa3tve297b3tve29aa1prWmtaa1lrWmtZa1prOWd7bxljGWPPOacYbjHYWjxrPGtVSogU6xwtKZdSXG98b3tvWmt7b1prW29baxtjNkZQLRNCfW97a5tvWWc6ZxpjVk4tJW4tVUp8b3premtaa1prWmtaa1pre29aa3tvWmt7b1pre29aa3tve297b3tvWmsYYzpre2+cc1prGWMaZ1xrW2s7ZxtnGmMzRk0pjzG4Wl1rfW98b3tvWmt7b1premtaa3prWmtba1prW2taa3xve29bazpnW2s7a1tr+WKWUvA9jTEqJSsprjUyRvheW2udc51zW2taazpnWmtaa1prOWdaazlnWmtZa1prOWdaazlnWms5Z1prOWdaazlnWms5Z1prOWdaazlnWms5Z1prOWdaazlnWms5Z1prOWcAAHtve297b3tve297b3tve297b3pve297b3tvem97b3tve296b3tve2+cc3tvm3N7b3pvWmt7b3pve29aa3tvWmt7b1pre29aa3pvWmt7b3pve296b3tvem97b1pre297b3xvW2t7b1pre29aa3pvWWt7b1prW2s6Zztn+V6PNW4xrzn4Xnxvem96b1lrem96a3xvOmf5Xo8xTCWOLRlffG98b3tvnHN7b3tve297b3tve29aa3tve297b3tve297b3tvWmt7b1prem9Za1prWmtaa3tvOmcZY5ZSpxSPNTRGXG87Z7hWyhzKHC0pVU4bZ51zW2t7b3pvWmtba1tvGmNXTnAtsDU7Z3tvnHN7a1trO2fZWpA1LSWwOTtnfG9aa3tvWmt7b1pre297b3tvWmt7b1pre29aa3tve297b3tve29aa1prWmt7b3tve286ZzpnW2tbaxljO2tba9da0T0tJfNB+l5+b753fG97a3tve296a3tvWmtba1prW2tba3tve297b1tre29ba1tvO2f5YjpnfG/4XhFCSylLKWwtrjUSQrZW+F5ba3xvnHNba3tvWmtaa1lrWmtZa1prWWtaa1prWmtaa1prOWdaa1prWms5Z1prOWdaazlnWms5Z1prWmtaa1prWms5Z1prWmtaawAAe297b3pve297b3tvem97b3pve29aa3tvem97b1pre296b3tvem97b3tvm3N6b3tvWmt6b1prem9aa3pvWmtaa1prem9aa1prWmt6b1pre297b3tvWmt6b1pre29aa3tve297b1prWmtaa1prWWtZa1prWmtaa1trOmcaY20tCiVtMXROOmt7b1lrem9Za3tvW2tca/pe8j0rIY4x2FZ8a3tve297b3tve297b3tve297b3tvWmt7b1pre29aa3tvWmt7b1prWmtaa1prWmtaa1tre286ZxpjuFoLIU0t8kFcaztr2FpNLagYbi0zRhpjfG97b1pre29aa3tvW2s7Z5hWkTFOLbdWfG97b1pre287ZxtjE0IsJU0pt1Z8b3tvWmtaa1prWmtaa3tvWmtaa1prWmtaa1prWmt7b1prWms5Z3pvWmtaaxhjOWdaa5xze298b1prOmc6Z1tr+F6XVm8xkTEVRjxnfm98b1pre296a3pvWmt6a1prW2tba1trWmtZazhne2+cc5xzW2s6Z1trOmcZYzpnOmf3XhFCjTEKISslSynPOZVSW2tbazpnWmtaazlnWmtZa1prWWdZa1lrWms5Z1prOWdaazlnWms5Z1prOWdaazlnWms5Z1prOWdaazlnWms5Z1prOWdaazlnAACbc3tve297b5tze297b3tve297b3tvem97b3tve296b3tve297b3tvnHN7b3tvWmt7b3pve29aa3tvWmt6b1pre29aa3pvWmt7b1pre296b5tze297b1pre296b3tve2+cc3tve29aa3tvWmtaazlne29aa3tvW2tbaxljbC3HGEwpzzk5Z1prWWubc3pre298a3xrPGc0RiwljjHYVlxrnHN7b3tve297b3tve297b5xze297b1pre297b3tvWmt7b3pve29aa3pvWmtaa1prfG86Z1xvGmPZXk4tTSnyQX1vOmcaY681yRyPMVRKGmedc1pre297b3tve298bztn+2KxNW4tVEqdc1pne297a1xrGmOXUiwlTSk0Rn1vfG97b1prWmtaa3tve297b1pre29aa1prWmt7b1pre29aa3tvWmtaa1pre297b1prOmd7b1prW2tba1trOWc6ZztnNkpwLbE5uVpda1xrfG96b3tvemt7b1pre29ba3xvXGt7b3pvm3N7b3tvOWdaa3tve29ba1prOWc6ZxlnGWP4XnVS8T1tMY4xlVJbb51zOWd7b1prWmtZa3pvWWtZazlnWmtaa1prWmtaa1prWms5Z1prOWdaazlnWmtaa1prOWdaa1prWms5Z1prWmtaa1prWmsAAFpre29aa3tvWmt7b3pve29aa3tvem97b1pre29aa3tvWmt7b3pve297b3tvem97b1pre29aa3tvWmt7b3pve285Z1prWmt7b1pre29aa3pvWmt6b1prem9aa3pvWmt7b3tvfG97b3tvWmtaa1lrWmtaa1prOmdbazpntlquNccYKiVTSlprm3NZa3pvem97b3xvfGv5XpdSLCWOLfE9nW97b3tve297b3tve297b3tve297b1prWmtaa3tvWmt7b1prem9aa1prWWtaa1pre286Z1trO2c7Z/le0TnqHPE9t1adcztnEkbpHCslllJ9c3tve296b3tvWmt7b1trXG8bY/NBCyERQp1zWmtaa3tvOmcaY9hasDkLJbA1PGuec1tre29aa3tvWmtaa1pre29aa3tvWmt7b1pre29aa3tvWWtaa1premtZa1prWmt7b1prWmtaa1prWmtbazpnO2ccY/Q9LimwNdleXGt8b1prWmtaa1pre29ba1trW2t8b1prem96b3pvWWtaazlnWmtaa3tvWmtbazpnOmc5ZzpnGWP5YvheGmM6Z1trWmtaa1prWmtZa1prWWdZa1lrWmtZa1prOWdaazlnWms5Z1prOWdaazlnWms5Z1prOWdaazlnWms5Z1prOWdaazlnWms5ZwAAe297b3tve297b3pve297b3tvem97b3tve296b3tvem97b3pve297b3tve297b3pve296b3tvem97b3pve297b3tvWmt7b3pve29aa3tvWmt7b1pre29aa3tvWmt7b3tvfG97b3xve297b1prem9aa1prWmtaa1prW2sZY7ZWMka2VjpnvXebc3lrWWt6b1prnW9caxpjl1JNKW4tEj59b5xve2+cc3tvnHN7b5xze2+cc3tve29aa3tvWmt7b1pre29aa3pvWmtaa1pre29aa3xvW2tbaztnGmPRPQsh0Dn4XnxvOmcSQiwpTS23VnxvfG97b3tvem97b1pre29cazxnVk4sKW0t+F5ba51zWmt8bztnGmPRPU0pjzH7Yn5zfG9aa3tvWmt7b1pre29aa3tvWmt7b3tve29aa3tvWmtaa1prem9aa1prWmt6b1pre29aa1prWmt7b1prWms6Z/teulqyOY8xrzUaY3xve297a3tvfG9aa3tre298b1pre296b5tvem96b1lrWmtZa3pvWmt7b1pre29aa1trOms7ZxpnOmc6Z1trW2tba1prW2taa1prWWtaa1lremtZa1prWmtaazlnWms5Z1prWmtaazlnWmtaa1prOWdaa1prWms5Z1prWmtaazlnWms5Z1prAAB7b5tze297b3pve296b3tvWmt7b1pre296b3tvWmt7b1pre29aa3tvem97b1pre296b3tvWmt6b1pre29aa3tvem97b1prem9aa1prWmtaa1prem9aa3pvWmt7b1pre29ba3tvWmt7b1pre29aa3tvWmt7b1prOmc5ZzpnGWM5Z3tvnHN7b3pvWGt5a1lre298a3xr+l64Vk0pbi3ROX1ve297b3tve297b3tve297b3tve29aa1prWmt7b1prWmtaa1prWWtaa1lrWmtZa1prWmtbazpnO2caYxJC6iCOMdZafG9ba9heVE6WUjtrnXd7b3tvWmt6b1prWmtaa1trO2e4WkwpKyVTSnxvnG9aa1trfG/5XvJBTSlOKVZKfm9ba3tvWmt7b1pre29aa1prWmtaa1pre29aa3tvWmtaa1lrWmtaa1prWWtaa1prWmtaa1prWmtaa1prWms5ZzprGmMcZ7laLCVNKfE9O2d8b1tre29ba3trW2t7b1trW2taa3tvWmt7b1lrWmtZZ1lrWWt6b1pre29ba3tvW2tbb1trW2s7Z1trOmdbazpnWmtaa1prOWdZa1lrWmtZa1prWWtaazlnWms5Z1prOWdaazlnWms5Z1prOWdaazlnWms5Z1prOWdaazlnWms5Z1prOWcAAJxze297b3tve297b3tvem97b3tve297b3tve297b3pve296b3tvem97b3tve296b3tve297b1pre296b3tvem97b3tve29aa3pvWmt7b1pre29aa3tvWmt7b3pve296b3tve297b1pre29aa3tvWmt7b3tve29aazlnGGM5ZzlnfG9aa1prWWt6b3lrem97b3xvXGs7Y9laji1uLdE5XGucc3tve297b5xze297b3tvnHN7b3tvWmt7b1pre29aa3tvWmtaa1prWmtZa1prWWtaazpnW2s6a1trVEpMLW0x11paa1trOmcaZxpjfXN7b3tvem96b1prem9aa1trO2tca9habi1sLVNKe297b1pre2t7bzpnM0awNS0l9D1/c3xve297b1pre29aa3tvWmtaa1pre29aa3tvWmtaa1prWmtaa3tvWmtaa1prWmtaa3tvWmt7b1pre29aa1prOmtcazxr2V5USm0tbjFUSlxrnXM7Z1trfG+cczpnWmt7b3tve297b1prem9aa3prWWt6b1pre29ba3xve298b1trfG9ba3xvW2tbazprW2taa1trWmtaa1lrWmtaa1prWmtaa1prWmtaa1prWmtaa1prWmtaa1prWmtaa1prWmtaa1prWmtaazlnWmtaa1prOWdaawAAem97b3pve29aa3pvWmt7b1pre296b3tvem97b3pve29aa3tvWmt7b1pre29aa3tvem97b3pve29aa3pvWmt7b1prem9aa3pvWmt6b3pve29aa3pvWmt6b1prem9aa3tve297b3tve29aa1prWmtba1prWmtaa3tvWmtaa1pre29bb1trWmt6b3lveW9Za3tvW2tcaxtj+l5uLW4tsDV9a3tve297b3tve297b3tve297b3tvWmtaa1prWmtaa1prWmtaa1prWmtZa1lrWWtZa1prWmtaa1trW2vYXhJGU0o5Z3tvOWc6ZxljGmdca1trWmt6b1lrem9Za1prOmtbaztn+V6ONUwp8D1ba1tre29aa3tvOmeWUtE5by2yOZ93XGt7b1pre29aa1prWmt7b1prWmtaa1prWmtaa1prWmtaa1prWmtaa1prWmtaa3tvWmtaa1pre29aa1prWmtaa1trOmf4XhpnEkJtLW0tdU47Z1xrfG98b1prWmtaa3pvW2t7b1pre29aa3pvWWtaa1lremtaa3tvW2tba1trXGtaa1trW2tbazpnWms6a1trOmdaazpnWms5Z1prWmtaa1prWmtaa1prOWdaazlnWms5Z1prWmtaazlnWmtaa1prOWdaazlnWms5Z1prOWdaazlnAAB7b3pve296b3tvem97b3tve297b5tze297b3tve297b3tvem97b1pre29aa3tve297b3tve296b3tvWmt7b3pve29aa3tvWmt7b3pve297b3tvWmt7b1pre29aa3tve297b3tve297b3tvWmt7b1pre29aa1prWmt7b3pre297b3xvW297b3pvem9Za3pve297a1xrXGcbY48xTSnROVxrnG97b5xze297b3tve297b3tvWmt7b1pre29aa3tvWmtba1pre29aa3pvWWtaa1lre29Za1prOWdaazpn+GI6Z3tvm3Nba1tvfG9ba51zW2t7b3pvem9Za3pvWmtba1trW2s7ZzNGCiGvNTpnnHN7b3prWmtba9daE0KRMbI1f298b1pre29aa3tvWmt7b1prWmtaa3tvWmt7b1pre29aa1trWmt7b1prW2taa3tvW2tba1pre29aa3tvWmt7b1prem8YY5xvGWMaY681jzFNKbdWXGu/d1trOWebb5tzOGN7b1tre297b3tvem96b1lrem9aa3tvW2t7b1trXGtba1trWmtba1prW2taa1trWmtaazpnWmtaa1prWmtba1prWmtaa3tvWmtaa1prWmtaa1prWmtaa1prWmtaa1prWmtaa1prWmtaa1prOWdaa1prWmsAAFpre29aa3tvem97b3pve296b3tvem97b3tve296b3tvem97b1prem9aa3tvWmt7b3tve29aa3tvWmt6b1prem9aa3tvWmt7b3pve29aa3tvWmt6b1prem9aa3tvWmt7b3pve29aa3tvW2t7b1prW2t7b1prOWdaa1prWms5Z1prWmt7b1prWWtZa3lvemt7b1trfGs8Zxtjby1NKbAxfWt8b3tve297b3tve29aa3tvWmtaa1prWmtaa3tvWmtaa1prW2taa3pvWmt6a1lrWWtZa1lnWWs5ZxhjWms5Z5xzGGNZazlnfG98b1trW2s6a3pvem9Za3pvWmtaazprW2s7Z1trt1avNVNKXGt7a3tvWmtaa1pr+V7zQbI5US0dZ1xre29aa3tvWmt7b1prWmtaa1prWmtaa1prWmtaa1prWmtba1prW2taa1trWmtba1prW2taa3tvWmtaa1prem84Z3pvGGOcb9ha2V6wNS0psTm4VjtnW2s5Z3tvem9YZ3tve29aa3tvem97b1lrWmtaa3pvWmt7b1trW2s7a1trWmtaazlnOWdaa1trOmdaazpnWms6ZzprOmdbazprW2taa1prWmtaa1prWms5Z1prOWdaazlnWms5Z1prOWdaa1prWms5Z1prOWdaazlnWmtaawAAe296b3tvem+bc3tvnHN7b3tve297b3tvm3N7b3tve297b3pve29aa3tvWmt7b3pvm3N7b3tvem97b1pre29aa3tve297b3tve296b3pvWmt7b1pre29aa3tvem97b3pve29aa3tvWmt7b3tve297b3tvWmtaa3pve29aa1prWmtbb3tvnHN6b3pvem96bzlne29ca1xrGmOPMUwpsDV8a5xze297b3tve297b3tvWmt7b1prWmtaa3tve297b1pre29ba3tvWmt7b1premtZa1lnWWecc1prWmtaazpnWmucc3tvWmtba1trOmd8b3tve296b3pvemt7b1prW2taa1trGmNba7ZWXGt8b1premucc1prfG8ZYzNG0jmQMfpefG97b3tvWmt7b1pre29aa3tvWmt7b1pre29aa3tvWmtba1tre29aa1trWmtba1prW2taa3tvW2t7b1pre29aa3prWWdaaxhjfG8aY5dSkDUtKbE5uFZcb51zOWdZa5pve29bb3tvWmt7b3tvem9Za3pvWmt7b1trfG9ba3xvW2t7b1prOWc5Z1prWmtaazlnWms6Z1prOmdba1prW2taa1trWmt7b1pre29aa1prOWdaazlnWms5Z1prOWdaazlnWmtaa1prWmtaa1prWmtaa1prAAB6b3tvem97b3pve297b3tvWmt7b3tvm3N6b3tvem97b1pre29aa3tvWmt7b3tve29aa3tve297b3tve297b3tve297b3tve297b3tve297b1prWmtaa1prWmt7b1prWmt7b3tve297b1pre297b3tvWmt7b3tve29aa1prWmt7b1pre29aa3pvWmtaa1pre29aa1trW2sZY8856ByuNTlne297b3tve297b3tvWmt7b1pre29aa3tvWmt7b1pre29aa3tvWmt7b1prWms5Z1lrOGdaa1prWms5Z3tve29aa1prWmtaa1trWmtba1prWmtaa3pvWmt7b1pre29ba3tvOmc6ZxlnWmtba3xvW2taa1prnHM5Zzpn11qOMUwp+V5aa1prWmt7b1prWmtaa1prOWdaa1pre29aa3tvWmtaa1prWmtaa3tvWmt7b1pre29aa3tve297b1prWmtaa3tvOWdaa1prWms6Zztr+V65WsscLilOLRtjXW9ba1pre29aa3tvWmt7b1prWmtaa1prWWtaa1prWmtaa1prWmtba1prWmtaa1prWmtaa1prWms5Z1prOmdaazpnWmtaa1prWmtaa1prWms5Z1prWmtaa1prWms5Z1prOWdaa1prWms5Z1prWmtaazlnWmtaa1prOWcAAHtve297b3tve297b5tze297b3tvnHN7b5tze297b3tve297b3tve297b3tve297b3tve297b3tve297b3tve297b3tve297b3tve2+cc3tve29aa3tvWmt7b3tve297b5xze297b3tve297b3tve29aa1prnHN7b5xze297b3tve29aa3tvWmt7b1pre297b3tvWmtaaxhjtVZSStZae297b3tve297b3tve297b1pre29aa3tve297b1pre297b3tvWmt7b3tve29aa1prWmtaa1pre29aa1pre2+cc1pre29aa3tvWmt7b1pre29aa3tvWmt7b1pre29aa3tvWmtaazlnWmtaa3tve297b1pre2+cc3tvWmtaa3NOc057b3tvWmt7b1pre29aa3tvWmtaa1pre297b3tvWmt7b1prWmtaa3tvWmt7b1pre29aa1prWmt7b1pre29aa1prWmtaa1prWmtaa1trW2s7Z9le0j3rILE50j1da31vfG9aa3tvWmt7b1pre29aa3tvWmtaa1pre29aa1prWmt7b1prWmtaa1prWmtaa1prWmtaa1prWmtaa1prWmtaa1prWmtaa1prWmtaa1prWmt7b1prWmtaa1prWmtaa1prWmtaa1prWmtaa1prWmtaa1prWmtaawAAem97b3pve297b3tve297b3tvm3N7b5tze297b3pve297b3tvWmt7b1pre29aa3tvWmt7b1pre297b3tve297b1pre29aa3tve297b3tve297b3tvWmt7b1pre29aa3tve297b3tve29aa3tvWmt7bzlne297b5xznHOcc1pre29aa3tvWmt7b1prWmtaa3tve297bzlnOWcYY1pre297b3tve29aa3tve297b1pre29aa3tvWmt7b1pre29aa3tvWmt7b1pre29aa1prOWdaa1pre29aa1prWmt7b3tvWmtaa1prWmtaa1prWmtaa1prWmt7b1prWmtaa1prWmtaa1prWms5Z1prWmtaa1pre285Z3tvWmtaa1prOWc5Z5xzWmt7b1prWmtaa1prWmt7b1prWmtaa3tvWmt7b1prWmtaa1prWmtaa1pre29aa1prWmtaa1prWmtaa1prOWdaazlnWmtZa1prWmt7bztnG2eYVtI9Ti1vLTRKnXNba3tvWmt7b1prWmtaa3tvWmtaa1prWmtaa1prWmtaa1prWmtaa1prWmtaa1prWmtaa1prOWdaazlnWms5Z1prOWdaa1prWms5Z1prWmtaa1prWmtaa1prOWdaazlnWms5Z1prWmtaazlnWmtaa1prOWdaa1prAAB7b3tve297b5tze2+bc3tvm3N7b5xze2+bc3tve297b3tve297b1pre297b3tve297b3tve297b3tve297b3tve297b3tve297b3tvnHN7b3tve297b1prWmtaa3tve2+cc3tve297b3tvWmt7b1prWmt7b5xznHOcc3tve29aa3tve297b1pre29aa3tve297b3tvnHNaa1prWmt7b1pre297b3tve297b3tve29aa3tve297b1pre297b3tvWmt7b3tve29aa3tvWmtaa1prWmt7b3tvWmt7b3tve29aa3tvWmt7b1pre29aa3tvWmt7b3tve29aa3tvWmtaa1pre29aa3tvWmtaa1pre297b3tvWmt7b1prWmtaa3tvWmt7b3tve29aa1prWmt7b3tve29aa3tvWmt7b1pre29aa3tvWmt7b1pre29aa3tvWmtaa1pre29aa3tvWmtaa1prWmtaa1prWWt7b1trW2s7Zxtn+l5vMW4tjzW3Vpxze297b1pre29aa3tvWmt7b1pre29aa1prWmt7b1prWmtaa3tvWmtaa1prWmtaa1prWmtaa1prWmtaa1prWmtaa1prWmtaa1prWmtaa1prWmtaa1prWmtaazlnWmtaa1prOWdaa1prWmtaa1prWmtaa1prWmsAAHpve296b3tvem97b3tve29aa3tve297b1pre29aa3tvWmt7b1pre29aa3tve297b1pre29aa3tvWmt7b3tve29aa3tvWmt7b3tve297b3tvWmt7b1pre29aa1prWmt7b3tve297b3tvWmtaa1pre297b3tve2+cc3tve29aa3tvWmt7b3tve29aa1prWmt7b1pre297b3tvWmtaa3tvnHNaa3tvWmt7b3tve29aa3tvWmt7b1pre29aa3tvWmt7b1pre29aa3tvWmtaa1prWmtaa1prWmtaa1prWmtaa1prWmtaa1pre29aa1prWmt7b3tve29aa3tvWmtaa1prWmtaa3tvWmtaazlnWmtaa3tve29aa1pre285Z1prWmtaa1pre29aa1prWmtaa1pre29aa1prWmt7b1prWmtaa1prWmtaa1pre29aa1prWmtaa1pre29aa3tvWmtaa1pre29aa1prWWtaa1lrWms6a1trG2cbZ1VKbjHRPVNKnHNZa1prWmtaa1prWmtaa1pre29aa1prWmtaa1prWmtaa1prWmtaa1prWmtaa1prWmtaazlnWms5Z1prOWdaazlnWms5Z1prOWdaazlnWmtaa1prOWdaazlnWms5Z1prOWdaazlnWmtaa1prOWdaa1prWms5ZwAAe297b3tve297b3tvm3N7b3tvem+bc3tve29aa3tvem97b3tve297b3tve297b3tve29aa3tve297b3tve297b3tve297b3tve297b3tve297b3tvnHN7b3tvWmt7b3tvnHN7b3tve297b1pre29aa5xze2+cc3tve29aa3tve297b3tve297b3tvWmt7b3tve29aa1pre2+cc3tvnHOcc3tvWmt7b3tve297b3tvWmt7b1pre297b3tvWmt7b3tve29aa3tvWmtaa1pre29aa3tvWmt7b1prWmtaa1prWmtaa1pre297b1prWmt7b3tve297b3tve297b1pre29aa3tve297b1prWmtaa3tve297b1pre297b3tvWmt7b3tve29aa3tvWmt7b1pre297b3tvWmt7b1pre29aa3tvWmt7b1pre29aa3tvWmt7b1pre29aa3tve297b1pre29aa3pvWWtaa1lremtZZ1prW2tca/piG2dUSpZSOmdZa1prWmtaa3tvWmt7b1pre29aa1prWmt7b1prWmtaa3tvWmt7b1pre29aa1prWmtaa1prWms5Z1prWmtaa1prWmtaa1prOWdaa1prWmtaa1prWmtaa1prWmtaa1prWmtaa1prWmtaa1prWmtaa1prWmtaa1prAAB6b3tvem97b3tve297b3tvWmt7b3tve296b3tvWmt7b3tve29aa3tvWmt7b1pre29aa3tvWmt7b1pre29aa3tve297b1pre29aa3tvWmt7b1pre297b5xze297b1pre297b3tvWmt7b1pre29aa3tve297b3tve29aa3tvWmt7b1pre29aa3tvWmt7b1pre297b3tvWmtaa3tvnHNaa1prWmt7b1pre297b3tvWmt7b1pre29aa3tvWmt7b1pre29aa3tvWmtaa1prWmtaa1prWmt7b1prWmtaa1prOWdaa1pre297b3tvWmtaa1pre29aa3tvWmt7b1pre29aa3tvWmt7b1pre29aa3tvWmt7bzlnWmtaa1prWmt7b1pre29aa3tvWmt7b1pre29aa3tvWmt7b1prWmtaa1prWmtaa1pre29aa3tvWmtaa1prWmtaa3tvWmt7b1prWmtaa1prWmtZa1lneW9Za1lrOWdbb1xrW2saZ1tr+F7eezhjem9Za1prWmtaa1prWmtaa1prWmtaa1prWmtaa1prWmtaa1prWmtaa1prWmtaazlnWms5Z1prOWdaazlnWms5Z1prOWdaazlnWms5Z1prOWdaa1prWmtaa1prWmtaa1prWmtaa1prOWdaa1prWms5Z1prOWcAAHtve297b3tvm3N7b5tze297b3tvnHN7b5tze297b3tve297b3tvWmt7b3tve297b3tvWmt7b1pre297b3tve2+cc3tve297b3tve297b1prWmt7b5xze297b1prWmtaa3tve297b1pre29aa3tvWmt7b3tve297b3tve297b1pre297b3tve297b1pre297b1pre2+cc3tve2+cc5xzWmt7b1pre29aa3tve297b1pre297b3tvWmt7b3tve29aa3tvWmt7b1prWmtaa3tvWmt7b3tve29aa3tvWmtaa1prWmt7b3tve297b1pre297b3tvWmt7b1pre29aa3tvWmt7b3tve297b3tve297b1prWmucc3tvOWdaa3tvWms5Z3tvWmt7b3tve297b3tvWmt7b1pre29aa3tvWmt7b1pre29aa3tvWmt7b1prWmtaa1prWmt7b1pre29aa1prWmtaa1lrWWt5b3pvWWt6a3tvW2tcbztrOmd8b/dem3NZa1prWmtaa1pre29aa3tvWmt7b1prWmtaa3tvWmtaa1pre29aa3tvWmtaa1prWms5Z1prOWdaazlnWmtaa1prOWdaa1prWms5Z1prWmtaa1prWmtaa3tvWmt7b1prWmtaa1prWmtaa1prWmtaa1prWmtaawAAe297b3tve296b3tve297b3tve297b3tvem97b3tvm3Naa3tvWmt7b1pre29aa3tve297b1pre297b3tvWmtaa1pre297b3tvWmt7b1pre29aa3tvWmt7b1pre29aa3tvWmtaa1prWmtaa3tve297b3tve297b3tve297b1pre29aa3tvWmt7b1pre29aa3tvWmt7b1pre29aa3tve297b1pre29aa3tvWmt7b1pre29aa1prWmt7b1pre29aa3tvWmt7b1pre29aa1prWmt7b1prWmtaa3tvWmtaa1prWmtaa3tve297b1prWmtaa3tvWmt7b1pre29aa3tvWmt7b1prWmtaa1prWmtaa1pre29aa1prWmtaazlnWmtaa3tvWmt7b3tve29aa3tvWmtaa1pre29aa1prWmtaa1pre29aa3tvWmt7b1prWmtaa1prWmtaa1prWmtaa1prWmtaazlnWmtZa3lrWGtZa1lrWmtaa1trO2dba1prWmtZa3pvWmt7b1prWms5Z1prWmtaa1prWmtaa1prWmtaa1prWmtaa1prWmtaazlnWms5Z1prOWc5ZzlnWms5Z1prWmtaazlnWms5ZzlnOWdaa1prWmtaa1prWmtaa1prWmtaa1prOWdaa1prWms5Z1prWmtaazlnAACbc3tvm3N7b3tve2+cc3tvm3N7b5tze297b3tvm3N7b3tve297b3tve297b3tve297b3tve29aa3tvWmt7b1pre297b3tve297b3tve29aa3tve297b3tve29aa3tvWmt7b1prWmtaa3tve297b3tve297b3tve297b3tve297b3tve297b3tve297b3tve297b1pre297b3tve297b3tve29aa3tve297b3tve29aa3tvWmt7b1pre29aa3tve297b1pre29aa3tvWmt7b1pre29aa3tvWmt7b1pre29aa3tve2+cc3tvWmtaa3tve297b1pre29aa3tvWmt7b1prWmtaa3tvWmt7b1pre29aa1prWmt7b1prWmtaa3tvWmt7b3tve29aa1prWmt7b1pre29aa3tvWmtaa1pre29aa3tvWmt7b1pre29aa3tvWmt7b1pre29aa1prWmtaa1prWmtaa3pvWWt5a1lremtZa3tvW2tba1prW2taa3pvWWt6b1pre29aa1prWmtaa1pre29aa3tvWmt7b1pre29aa1prWmtaa1prWmtaa1prWmtaazlnWmtaa1prWmtaa1prWmtaa1prOWdaazlnWmtaa1prWmtaa1prWmtaa1prWmtaa1prWmtaa1prWmtaa1prWmsAAHpve296b3tve297b3tvm3N7b3tve297b3tve297b3tvWmt7b1pre29aa3tvWmt7b3tve29aa3tvWmt7b1pre29aa3tvWmt7b3tve29aa3tve297b3tve297b3tvWmt7b1pre29aa1prWmt7b1pre297b3tve297b3tve29aa3tve297b1pre29aa3tvWmtaa1pre29aa3tve297b1pre29aa3tvWmt7b3tve29aa3tvWmt7b1pre29aa3tvWmt7b1pre29aa1prWmt7b1pre297b3tvWmtaa1prWmtaa1prWmt7b1pre29aa1prWmt7b1prWmtaa1prWmtaa1prWmtaa1prWmtaa1pre29aa1prWmtaa1prWmtaa1prWmt7b3tve29aa1prWmt7b1prWmtaa1prWmtaa1prWmtaa1prWmt7b1prWmtaa1prWmtaa1pre29aa1prWmtaa1prWmtaa1prWWtZa1lreWtYa1prWmtbazpnWmtaa3prWWtZa1lrWmtaa1prWmtaa1prWmtaa3tvWmtaa1pre29aa1prWmtaazlnWms5Z1prOWdaazlnWms5Z1prWmtaazlnWms5Z1prOWc5ZzlnWms5Z1prWmtaazlnWmtaa1prOWdaa1prWms5Z1prWmtaazlnWms5ZwAAe297b3tvem+bc3tvnHN7b5tze2+bc3tvnHN7b5tze297b3tve297b3tve297b3tvnHN7b3tve2+cc3tvnHN7b3tve297b3tve297b3tvWmt7b3tve297b3tve297b3tve297b3tvWmt7b3tve29aa3tve297b3tve297b3tvWmt7b3tve297b3tvWmt7b1pre29aa3tve297b3tve29aa3tve297b3tve297b3tve297b1pre29aa3tvWmt7b1pre29aa3tvWmt7b1pre297b5xze297b1pre29aa3tvWmtaa1pre29aa3tvWmt7b1pre29aa1prWmt7b1prWmtaa3tvWmt7b1pre29aa3tvWmtaa1prWmtaa1prWmt7b3tve297b3tvWmt7b3tve285Z1prWmtaa1pre29aa1prWmt7b1pre29aa3tvWmt7b1pre29aa3tvWmt7b1prWmtaa1trWmtaa1lreW9Za3lrWWt7b1trW2taa3tvWmtZa1lrWmtaa1prWmt7b1prWmtaa3tvWmt7b1pre29aa3tvWmt7b1prWmtaa1prWmtaa1prWmtaa1prWmtaa1prWmtaa1prWmtaazlnWmtaa1prWmtaa1prWmtaa1prWmtaa1prWmtaa1prWmtaa1prWmtaa1prAABaa3tvWmt7b3pve297b5xzem97b3tvm3N7b3tve297b1pre29aa3tvWmt7b1pre29aa3tve2+cc5xznHN7b3tvWmt7b1pre29aa3tvWmt7b3tve297b3tve297b1pre29aa3tvWmt7b1pre29aa3tvWmt7b1pre29aa3tvWmt7b1pre297b3tvWmtaa1prWmtaa1prWmt7b1pre29aa3tvWmt7b3tve29aa3tvWmt7b1pre29aa3tvWmt7b1pre29aa1prWmtaa1pre29aa3tve297b1prWmtaa1prWmtaa1prWmtaa3tvWmtaa1pre29aa1prWmtaa1prWmtaa1prWmtaa1pre29aa1prWmtaazlnWmtaa1prWmtaa1pre29aa3tvWmtaa1pre29aazlnOWdaa1prWmtaa1prWmtaa1prWmtaa1prWmtaa1pre29aa3tvWmt7b1prWmtaa1trWmtba1premtZa3lrWWtaa1prW2taa1trWmtaa1lrWWs5Z1prWmtaa1prWmtaa1prWmtaa1prWmtaa1prWmtaa1prWmtaa1prOWdaazlnWms5Z1prWmtaa1prWmtaa1prOWdaazlnWms5Z1prWmtaazlnWmtaa1prOWdaa1prWms5Z1prWmtaazlnWmtaa1prOWcAAHtvem97b3tve297b5tze297b3tvnHN7b5xze2+bc3tve297b3tve297b3tve297b3tvWmt7b3tvnHN7b3tvWmt7b1pre297b3tve297b3tve297b3tve297b3tve297b3tve297b3tve29aa3tve297b1pre297b3tve297b3tve297b3tve297b1pre29aa3tvWmt7b3tve29aa3tve297b1pre297b3tvWmt7b1pre29aa3tvWmt7b1pre29aa3tvWmt7b1pre29aa3tve297b1pre29aa1prWmt7b1pre29aa3tvWmt7b1pre29aa3tvWmt7b1pre29aa3tvWmt7b1pre29aa3tvWmt7b1prWmtaa3tvWmtaa1pre297b3tvWmt7b1pre297b1prGGNaa1pre29aa3tvWmt7b1pre29aa3tvWmt7b1pre29aa3tvWmt7b1pre29aa3tvWmtba1tre29aa3pvWWt6b1lre29aa1trW2t7b1premtZa1prWmtaa1prWmtaa1prWmtaa1pre29aa1prWmt7b1prWmtaa1prWmtaa1prWmtaa1prWmtaa1prWmtaa1prWmtaazlnWmtaa1prWmtaa1prWmtaa1prWmtaa1prWmtaa1prWmtaa1prWmtaa1prWmtaawAAem97b1pre296b3tvem97b3pve297b5tze2+bc3pve29aa3tvWmt7b1pre29aa3tvWmt7b1pre297b3tve297b1pre29aa3tve297b1pre29aa3tvWmt7b1pre29aa1prWmt7b3tve29aa3tvWmt7b1pre29aa3tvWmt7b1pre29aa3tvWmt7b1pre29aa1prWmt7b1pre29aa3tvWmt7b1pre29aa3tvWmt7b1prWmtaa3tvWmt7b1pre29aa1prWmt7b1prWmtaa3tvWmt7b1prWms5Z1prWmtaa1prWmtaa3tvWmtaa1prWmtaa1prWmt7b1prWmtaa3tvWmtaa1pre29aa1prWmtaa1prWmtaa1prWmtaa1prWmtaa3tvWmt7b1prWmtaa3tvOWcYY1prWmtaa3tve297b1pre29aa1prWmtaa1pre29aa3tvWmt7b1pre29aa3tvWmtba1trXGtaa1prWWt5b1lrWmtaa1trOmtba1prem9Za1lrOWdaazlnWms5Z1prWmtaa1prWmtaa1prWmtaa1prWmtaa1prOWdaazlnWms5Z1prWmtaa1prWmtaa1prOWdaazlnWms5Z1prOWdaazlnWms5Z1prOWdaazlnWms5Z1prWmtaazlnWmtaa1prOWdaazlnAACbc3tve296b3tve297b3tve297b5tze2+cc3tve296b3tve297b3tve297b3tve2+cc3tve29aa3tve2+cc3tve29aa3tve297b3tve297b3tve297b3tve29aa3tvWmt7b3tvnHN7b3tvWmt7b1pre29aa3tve297b3tve297b3tvWmt7b1pre297b3tvWmt7b1pre29aa3tve297b1pre29aa3tvWmt7b1pre29aa3tve297b1pre29aa3tvWmt7b3tve29aa3tvWmt7b1prWmtaa1prWmt7b1prWmtaa3tvWmt7b1pre29aa1prOWd7b1pre29aa3tvWmt7b1pre29aa3tvWmt7b1prWmtaa3tvWmt7b1prWmtaa1prWmt7b1prWms5Z3tve29aaxhjWmtaa3tve2+cc3tve29aa3tvWmt7b1pre29aa3tvWmt7b3tve29aa3tvWmt7b1prW29ba3tvWmt6b1lrem9Za1prWmtba1tre296b3pvWWtaa1prWms5Z1prWmtaa1prWmtaa1prWmtaa1prWmtaa3tvWmtaa1prWmtaa1prWmtaa1prWmtaa3tvWmtaa1prWms5Z1prWmtaa1prWmtaa1prWmtaa1prWmtaa1prWmtaa1prWmtaa1prWmtaa1prWmsAAHtve297b3tvWmt7b3tve297b3tve297b3tve297b5xzWmt7b1pre29aa3tvWmt7b1pre297b3tve297b3tve29aa3tve297b3tve297b3tvWmt7b1pre29aa1prWmtaa1pre297b3tve297b1pre297b3tvWmt7b1pre297b3tvWmtaa3tve297b3tvWmtaa1prWmtaa3tvWmt7b1pre29aa1prWmtaa1prWmtaa1prWmtaa1pre29aa3tvWmt7b1prWmtaa3tvWmt7b1pre285Z1prWmt7b1prWmtaa1prWmtaa1pre29aa1prWmtaa1prWmtaa1prWmtaa1prWmtaa1prWmt7b1prWmtaa1prWmtaa1prWmtaa1prWmt7b1prWmtaa1prWmtaa1pre29aa3tvWmt7b1prWmtaa1prWmtaa1pre29aa3tvWmt7b1pre29aa3tvWmtaa1prWmtaa1trW2t7b1prem9aa1prWmtaazlnWmtaa3tvWmtaa1prWmtaa1prWmtaa1prWmtaa1prWmtaazlnWms5Z1prWmtaa1prWmtaa1prWmtaazlnWmtaa3tvOWdaazlnWms5Z1prOWdaazlnOWc5Z1prOWdaazlnWms5Z1prOWdaa1prWmtaa1prOWdaa1prWmtaawAAe297b3tve297b3tve297b3tve2+cc3tvnHN7b5xze297b1pre29aa3tvWmt7b3tve297b3tve297b3tve297b3tve297b3tve297b3tve297b3tve297b3tvWmt7b1pre297b3tve297b3tve29aa3tve297b3tve297b3tve29aa1pre297b3tve297b1pre29aa3tve297b3tve297b3tvWmt7b1pre29aa3tvWmt7b1pre29aa3tvWmt7b3tve29aa3tve297b1pre29aa1prWmt7b1prWmtaa3tvWmt7b1pre29aa3tvWmt7b1pre29aa3tvWmtaa1prWmtaa3tvWmt7b1pre29aa3tvWmt7b1pre29aa1prWmt7b1pre29aa3tvWmtaa1pre29aa3tve297b3tve29aa3tvWmtaa1pre29aa3tvWmt7b3tve29aa3tvWmt7b1pre29aa3tvWmt7b3tve29aa3tvWmtaa1prWmtaa3tvWmt7b1prWmtaa1prWmtaa1prWmtaa1prWmtaa1prWmtaa1prWmtaa1prWmtaa1prWmtaa1prWmtaa3tvWmtaazlnWmtaa1prWmtaazlnWms5Z1prOWdaa1prWmtaa1prWmtaa1prWmtaa1prWmtaa1prWmtaa1prAABaa3tvWmt7b3tve297b3tve297b3tve297b3tve297b3tve29aa3tvWmt7b1pre29aa3tvWmt7b1pre29aa3tve297b1pre297b3tvWmt7b1pre29aa3tve297b1pre29aa3tvWmt7b1pre29aa3tve297b1pre29aa3tvWmt7b1pre29aa3tve297b1prWmtaa3tvWmt7b1pre29aa3tvWmtaa1prWmtaa1prWmtaa1pre29aa3tvWmt7b1pre29aa3tvWmt7b1pre29aa1prWmtaa1prWmtaa1prWmtaa1prWmtaa1prWmt7b1prWmtaa3tvWmtaa1prWmtaa1prWmtaa1prWmtaa3tvWmt7b1prWmtaa1prWmtaa1prWmtaa1prWmtaa1prWmtaa1prWmt7b1pre29aa3tvWmt7b1prWmtaa1prWmt7b1pre29aa3tvWmtaa1prWmtaa1prWmt7b1pre29aa3tvWmtaa1prWms5Z1prWmt7b1prWmtaa1prWmtaa1prWmtaa1prWmtaazlnWms5Z1prOWdaa1prWmtaa1prWmtaa1prWms5Z1prWmtaa1prWms5Z1prWmtaazlnWms5Z1prOWdaazlnWms5Z1prOWdaazlnWmtaa1prOWdaa1prWmtaa1prWmsAAHtve297b3tve297b5xze297b3tve297b5xze2+cc3tve297b3tvWmt7b3tve297b3tvWmt7b1pre297b3tve297b3tve297b3tve297b3tve297b3tve2+cc3tve297b3tvWmt7b1pre297b3tvWmt7b3tve297b3tve297b3tve29aa3tve297b3tve29aa3tvWmt7b1pre297b3tvWmt7b1pre29aa3tvWmt7b1pre29aa3tvWmt7b1pre29aa3tvWmt7b1pre29aa3tvWmt7b1pre29aa3tvWmtaa1pre29aa3tvWmt7b1pre29aa3tvWmt7b1pre29aa1prWmtaa1prWmtaa3tvWmt7b1pre29aa1prWmt7b1pre29aa3tvWmtaa1pre29aa3tvWmt7b1pre29aa3tve297b3tve29aa3tvWmt7b1pre29aa3tvWmt7b1pre29aa3tvWmt7b1pre29aa3tvWmtaa1pre29aa3tvWmt7b1prWmtaa1prWmtaa1prWmtaa1prWmt7b1prWmtaa1prWmtaa1prWmtaa1prWmtaa1prWmtaa1prWmtaa1prWmtaa1prWmtaa1prWms5Z1prWmtaa1prWmtaa1prWmtaa1prWmtaa1prWmtaa1prWmtaa1prWmtaawAAWmt7b1pre297b3tve2+cc1pre297b3tve297b3tve297b3tve297b1pre29aa3tvWmt7b1pre29aa3tvWmt7b3tve297b3tvWmt7b1pre29aa3tvWmt7b3tvnHN7b3tvWmtaa1pre29aa3tvWmt7b1pre29aa3tvWmt7b1pre29aa3tvWmt7b1pre29aa3tvWmtaa1pre29aa3tvWmtaa1prWmtaa1prWmtaa1prWmtaa3tvWmt7b1pre29aa3tvWmtaa1pre29aa3tvWmt7b1pre29aa3tvWmtaa1pre29aa1prWmt7b1prWmtaa1prWmt7b1pre29aa1prWmtaa1prWmtaa1prWmtaa1pre29aa1prWmtaa1prWmtaa1prWmtaa1prWmtaa1prWmt7bzlnWmtaa1prWmt7b1pre29aa1prWmtaa1prWmtaa3tvWmtaa1prWmtaa1prWmt7b1prWmtaa3tvWmtaa1prWmtaa1prWmtaa1prWmtaa1prWmtaa1prWmtaa1prWmtaa1prWmtaa1prOWdaazlnWmtaa1prWmtaa1prWmtaa1prOWdaazlnWms5Z1prWmtaazlnWms5Z1prOWdaazlnWms5Z1prOWdaazlnWms5Z1prOWdaazlnWms5Z1prWmtaazlnAAB7b3tve297b3tve2+cc3tve297b3tve297b3tvnHN7b5xze297b3tve29aa3tve297b1pre297b3tve297b3tve297b3tve297b1pre29aa3tvWmt7b3tvnHN7b5xze297b1pre29aa3tvWmt7b3tve297b3tve297b3tve297b3tvWmt7b3tve29aa3tvWmt7b1pre29aa3tvWmt7b1prWmtaa3tvWmtaa1pre29aa3tvWmt7b1pre29aa3tvWmt7b1pre297b3tvWmt7b1pre297b3tvWmtaa1pre297b3tvWmt7b1pre29aa3tvWmt7b1pre29aa3tvWmt7b1pre29aa3tvWmt7b1pre29aa3tvWmtaa1prWmtaa3tvWmtaa1prWmtaa1prWmt7b1prWmtaa1prWmt7b1pre29aa3tvWmt7b1pre29aa3tvWmt7b1pre29aa3tvWmt7b1pre29aa3tvWmtaa1pre29aa3tvWmt7b1prWmtaa1prWmtaa1prWmtaa1prWmtaa1prWmtaa1prWmtaa1prWmtaa1prWmtaa1prWmtaa1prWmtaa1prWms5Z1prWmtaa1prWmtaa1prWmtaa1prWmtaa1prWmtaa1prWmtaa1prWmtaa1prWmtaa1prWmtaa1prWmsAAHtve29aa3tve297b3tve297b3tvWmt7b3tve297b3tve297b3tve29aa3tvWmt7b1pre29aa3tve297b3tve297b3tvWmt7b1pre29aa1prWmtaa1pre297b5xze297b3tve29aa3tvWmt7b1pre29aa3tvWmt7b3tve29aa3tvWmt7b1pre29aa3tvWmt7b1pre29aa3tvWmtaa1prWmtaa1prWmtaa1prWmtaa1prWmt7b1pre29aa3tvWmtaa1pre29aa3tvWmt7b1prWmt7b3tvWmtaa1prWmtaa3tvWmtaa1prWmtaa3tvWmtaa1pre29aa3tvWmt7b1prWmtaa3tvWmtaa1prWmtaa1prWmtaa1prWmtaa1prWmtaa1prWms5Z1prWmtaa1pre29aa1prWmtaa1pre29aa3tvWmtaa1prWmtaa1prWmtaa1prWmtaa1prWmt7b1pre29aa3tvWmtaa1prWmtaa1prWmtaa1prWmtaa1prWmtaa1prWmtaa1prWmtaa1prWmtaa1prOWdaazlnWms5Z1prWmtaa1prWmtaa1prWmtaa1prWms5ZzlnWmtaa1prWms5Z1prOWdaazlnWmtaa1prOWdaazlnWms5Z1prOWdaa1prWms5Z1prOWdaazlnWms5ZwAAe297b3tve297b3tve297b3tve297b3tve297b3tve2+cc3tve297b3tve297b3tve297b3tve297b3tve297b3tve297b3tve29aa3tvWmt7b1prWmtaa5xznHOcc3tvnHN7b3tvWmt7b3tve297b3tve297b3tve297b3tvWmt7b3tve29aa3tve297b1pre29aa3tvWmt7b1prWmtaa1prWmtaa1prWmtaa1prWmt7b3tve29aa3tvWmt7b1pre29aa3tvWmt7b1pre29aa3tve297b1prWmtaa3tvWmt7b1pre29aa3tvWmt7b1pre297b3tvWmt7b1pre29aa3tve297b1pre29aa1prWmt7b1prWmtaa1prWmtaa1prWmtaa1prWmtaa1pre29aa3tvWmt7b1pre29aa3tvWmt7b1pre29aa3tvWmtaa1pre29aa3tvWmt7b1pre29aa3tvWmt7b1prWmtaa1prWmtaa1pre29aa1prWmtaa1prWmtaa1prWmtaa1prWmtaa3tvWmtaa1prWmtaa1prWmtaa1prWmtaa1prWmtaa1pre29aa1prOWdaa1pre29aa1prWmtaazlnWmtaa1prWmtaa1prWmtaa1prWmtaa1prWmtaa1prOWdaazlnWms5Z1prAABaa3tve297b3tve297b3tvWmt7b1pre29aa3tve297b3tve297b3tve297b1pre297b3tve297b3tvnHN7b3tve297b3tve29aa3tvWmt7b3tve29aa3tve2+cc3tve297b3tve297b1pre29aa3tvWmt7b3tve297b3tve297b1pre29aa3tvWmt7b3tve29aa3tvWmt7b1prWmtaa3tvWmtaazlne29aa1prWmt7b1prWmtaa1prWmtaa1pre29aa3tve297b1pre29aa3tvWmt7b1pre29aa3tvWmt7b1pre29aa3tvWmtaa1pre29aa3tvWmt7b1prWmtaa3tvWmt7b1pre29aa1prWmt7b1prWmtaa1prWmtaa1prWmtaa1prWmtaa1prWmtaa3tvWmtaa1prWmtaa1prWmtaa1prWmtaa1prWmtaa1prWmtaa1prWmtaazlnWmtaa1prWmtaazlnWms5Z1prWmt7bzlnWmtaa1prWmtaa1prWmtaa1prWmtaa1prWmtaa1prWmtaazlnWms5Z1prWmtaa1prWms5Z1prOWdaazlnWms5Z1prOWdaazlnWmtaa1prOWdaa1prWms5Z1prWmtaazlnWms5Z1prOWdaazlnWms5Z1prOWdaazlnWms5Z1prOWcAAHtve2+cc3tvnHN7b5xze297b3tve297b3tve2+cc3tve297b5xze297b3tve29aa3tve297b3tvnHN7b5xze297b3tve297b3tvWmt7b3tve297b3tve2+cc3tvnHN7b5xze2+cc3tve297b3tve297b1pre297b3tve297b3tve297b3tve297b3tve297b3tvWmt7b1prWmtaa3tvWmt7b1prWmtaa3tvWmtaa3tvWmtaa3tvWmt7b1pre29aa3tvWmt7b3tve297b3tve297b1pre29aa3tvWmt7b1pre29aa3tvWmt7b1pre29aa3tvWmt7b1pre29aa3tvWmt7b1pre29aa3tvWmt7b1prWmtaa3tvWmtaa1pre29aa1prWmtaa1prWmtaa3tvWmtaa1pre29aa3tvWmt7b1prWmtaa3tvWmtaa1pre29aa1prWmtaa1prWmtaa3tvWmtaa1prWmtaa1prWmt7b1prWmtaa3tvWmt7b1pre29aa3tvWmt7b1prWmtaa3tvWmt7b1prWmtaa1prWmt7b1prWmtaa1prWmtaazlnWmtaa1prOWdaa1prWmtaa1prWmtaa1prWmtaa1prWmtaa1prWmtaa1prWmtaazlnWms5Z1prOWdaazlnWms5Z1prOWdaawAAe297b3tve297b5xze297b3tve297b3tve297b3tvnHN7b3tve297b3tve29aa3tve297b1pre297b3tve297b3tve29aa3tvWmt7b1pre297b3tvWmt7b3tve297b3tve297b3tve297b3tvWmt7b1pre29aa3tvWmt7b1pre29aa3tvWmt7b1pre29aa3tvWmt7b1prWmtaa1prWmtaa1prWms5Z1prWmtaa1pre29aa1prWmtaa1pre29aa1prWmt7b1pre29aa3tvWmt7b1pre29aa1prWmt7b1prWmtaa3tvWmtaa1pre29aa3tvWmt7b1prWmtaa3tvWmt7b1pre29aa1prWmtaa1prWmtaa1prWmtaa1prWmtaa1prWmtaa1prWmtaa1prWmtaa1prWmtaa1prWmtaa1prWmtaa1prWmtaa1prWmtaa1prWmtaa1prWmtaa1prWmtaa1prWms5Z1prWmtaa1prWmtaa1prWmtaa1prWmtaa1prWmtaa1prWmtaa1prWmtaa1prWmtaa1prOWdaa1prWmtaa1prOWdaazlnWms5Z1prOWdaazlnWms5Z1prOWdaa1prWms5Z1prWmtaazlnWmtaa1prOWdaazlnWms5Z1prOWdaazlnWms5Z1prOWc5ZzlnAAB7b3tve297b5xze297b3tvnHN7b3tve297b3tve297b3tve297b3tve297b3tvWmt7b3tve29aa3tve297b1pre297b3tve297b3tve297b3tve297b3tve297b3tve297b3tve297b3tve297b1pre29aa3tvWmt7b1pre29aa3tve297b1pre297b3tvWmt7b1pre29aa3tvWmtaa1pre29aa1prWmt7b1prWmtaa1prWmtaa1pre29aa3tvWmt7b1pre29aa3tve297b1pre29aa3tvWmt7b1pre29aa3tvWmt7b1pre29aa3tvWmt7b1pre29aa3tvWmt7b1pre297b3tvWmt7b1prWmtaa1prWmtaa1pre29aa3tvWmtaa1prWmtaa1prWmtaa1prWmtaa3tvWmt7b1prWmtaa1prWmtaa1pre29aa3tvWmtaa1prWmtaa3tvWmtaa1prWmtaa1prWmtaa1prWmtaa1prWmtaa1pre29aa3tvWmtaa1prWmtaa1prWmt7b1pre29aa1prWmtaa1pre29aa1prWmtaazlnWms5Z1prOWdaazlnWms5Z1prWmtaa1prWmtaa1prWmtaa1prWmtaa1prWmtaa1prWmtaa1prOWdaa1prWms5Z1prOWdaazlnWmsAAFpre29aa3tve297b3tve297b3tvWmt7b1pre29aa3tvWmt7b3tve297b3tvWmt7b3tve29aa3tvWmt7b1pre29aa3tvWmt7b1pre297b3tvWmt7b3tve29aa3tve297b1pre29aa3tvWmt7b1pre29aa3tvWmt7b1prWmtaa3tvWmt7b1pre29aa3tvWmt7b1pre29aa3tvWmt7b1prWmtaa1prWmtaa1prWmtaa1prWmtaa1prWmtaa1prWmtaa1prWmtaa3tvWmt7b1prWmtaa1prWmtaa1prWmtaa1prWmtaa1prWmtaa1prWmt7b1pre29aa3tvWmt7b1pre29aa3tvWmtaa1prWmtaa1prWmtaa1prWmtaa1prWmtaa1prWmtaa1prWmtaa1prWmtaa1prWmtaa1prWmtaa1prWmtaa1prWmtaa1prWmtaa1prWmtaa3tvWmtaa1prWms5Z1prWmtaa1prWmtaa1prOWdaa1prWmtaa1prWmtaazlnWmtaa1prOWdaa1pre29aa1prWmtaa1prWmtaa1prWmtaazlnWms5Z1prOWdaazlnWms5Z1prOWdaa1prWms5Z1prWmtaazlnWmtaa1prOWdaazlnWms5Z1prOWdaazlnWms5Z1prOWdaazlnWms5ZwAAe29aa3tve297b3tve297b3tve297b1pre29aa3tve297b3tve297b3tve297b3tve297b3tve297b3tve29aa3tvWmt7b3tve297b3tve297b3tvnHN7b3tvWmt7b3tve297b3tve297b1pre297b3tvWmt7b1pre29aa3tvWmt7b3tve297b3tvWmt7b1pre297b3tve297b3tve29aa1prWmt7b1prWmtaa3tvWmtaa1prWmtaa1prWmt7b1prWmtaa3tvWmt7b1pre29aa3tvWmt7b1pre29aa3tvWmtaa1prWmtaa1prWmt7b3tve29aa3tvWmt7b1pre297b3tvWmt7b1prWmtaa1prWmtaa1pre29aa1prWmt7b1prWmtaa1prWmtaa1prWmtaa1prWmt7b1pre29aa3tvWmtaa1pre29aa1prWmt7b1prWmtaa3tvWmt7b1pre29aa1prWmtaa1prWmtaa3tvWmtaa1pre29aa3tvWmt7b1prWmtaa3tvWmtaa1pre297b1prWmt7b1prWmtaa3tvWmtaa1prWmtaa1prOWdaa1prWms5Z1prWmtaa1prWmtaa1prWmtaa1prWmtaa1prWmtaa1prWmtaa1prOWdaazlnWms5Z1prOWdaazlnWms5Z1prAABaa3tvWmt7b3tve29aa3tve297b1pre29aa3tvWmt7b1pre297b3tve297b1pre297b3tvWmt7b3tve29aa3tvWmt7b1pre297b3tvWmt7b1pre297b3tvWmt7b1pre29aa3tvWmt7b1pre29aa3tvWmt7b1pre29aa3tvWmtaa3tve29aa3tvWmtaa1prWmtaa3tvWmt7b3tve29aa1prWmt7b1prWmtaa3tvWmtaa1prWmtaa1prWmtaa1prWmtaa1prWmtaa1prWmtaa1prWmtaa1prWmtaa1prWmtaa1prWmtaa1prWmt7b1pre29aa3tvWmtaa1pre29aa3tvWmt7b1prWmtaa1prOWdaa1prWmtaa1prWmtaa1prWmtaa1prWmtaa1prWms5Z1prWmtaa1prWmtaa1prWmtaa1prWmtaa1prWmtaa1prWmtaa1prWmt7b1pre29aa1prOWdaa1prWmtaa1prWmtaa1prWmtaa1prWmtaa1prWmtaa3tvWmtaazlnWmtaa3tvWmtaa1prWmtaa1prOWdaa1prWms5Z1prOWdaazlnWms5Z1prOWdaazlnWms5Z1prWmtaazlnWmtaa1prOWdaa1prWms5Z1prOWdaazlnWms5Z1prOWdaazlnWms5ZzlnOWcAAHtve297b3tvnHN7b3tve2+cc3tve297b3tve297b3tve297b3tve2+cc3tve297b5xze297b3tve297b3tvWmt7b3tve297b3tve297b3tve297b5xze297b1pre297b3tve297b1pre297b3tve297b3tve297b3tvWmt7b1pre297b3tvWmt7b1prWmtaa3tvWmt7b3tve29aa1prWmtaa3tve29aa1prWmt7bzlnWmtaa1prWmtaa1prWmtaa1prWmt7b1pre29aa1prWmt7b1prWmtaa3tvWmtaa1prWmtaa1prWmt7b1pre29aa3tvWmt7b1pre29aa3tve297b3tve29aa1prWmtaa1prWmtaa1prWmt7b1pre29aa1prWmtaa1prWmtaa1prOWdaa1pre29aa3tvWmtaa1prWmtaa1prWmt7b1pre29aa1prWmt7b1pre29aa1prWmtaa1prWmtaa3tvWmtaa1prWmtaa1prWmt7b1pre29aa1prWmt7b1prWms5Z1prWmtaa1prWmtaa1prWmtaazlnWmtaa1prOWdaazlnWms5Z1prOWdaazlnWmtaa1prWmtaa1prWmtaa1prWmtaa1prWmtaa1prWmtaa1prWms5Z1prWmtaazlnWms5Z1prOWdaawAARgAAABQAAAAIAAAAR0RJQwMAAAAiAAAADAAAAP////8iAAAADAAAAP////8lAAAADAAAAA0AAIAoAAAADAAAAAQAAAAiAAAADAAAAP////8iAAAADAAAAP7///8nAAAAGAAAAAQAAAAAAAAA////AAAAAAAlAAAADAAAAAQAAABMAAAAZAAAAAAAAAB8AAAAqAEAAMwAAAAAAAAAfAAAAKkBAABRAAAAIQDwAAAAAAAAAAAAAACAPwAAAAAAAAAAAACAPwAAAAAAAAAAAAAAAAAAAAAAAAAAAAAAAAAAAAAAAAAAJQAAAAwAAAAAAACAKAAAAAwAAAAEAAAAJwAAABgAAAAEAAAAAAAAAP///wAAAAAAJQAAAAwAAAAEAAAATAAAAGQAAAAOAAAAfAAAAD8BAACSAAAADgAAAHwAAAAyAQAAFwAAACEA8AAAAAAAAAAAAAAAgD8AAAAAAAAAAAAAgD8AAAAAAAAAAAAAAAAAAAAAAAAAAAAAAAAAAAAAAAAAACUAAAAMAAAAAAAAgCgAAAAMAAAABAAAACUAAAAMAAAAAQAAABgAAAAMAAAAAAAAABIAAAAMAAAAAQAAAB4AAAAYAAAADgAAAHwAAABAAQAAkwAAACUAAAAMAAAAAQAAAFQAAACoAAAADwAAAHwAAACcAAAAkgAAAAEAAABVVY9BJrSPQQ8AAAB8AAAADwAAAEwAAAAAAAAAAAAAAAAAAAD//////////2wAAABIAHUAbQBiAGUAcgB0AG8AIABDAG8AbABtAGEAbgAAAAwAAAAKAAAADwAAAAoAAAAJAAAABgAAAAYAAAAKAAAABQAAAAsAAAAKAAAABAAAAA8AAAAJAAAACgAAAEsAAABAAAAAMAAAAAUAAAAgAAAAAQAAAAEAAAAQAAAAAAAAAAAAAACpAQAA0QAAAAAAAAAAAAAAqQEAANEAAAAlAAAADAAAAAIAAAAnAAAAGAAAAAQAAAAAAAAA////AAAAAAAlAAAADAAAAAQAAABMAAAAZAAAAA4AAACZAAAAPwEAAK8AAAAOAAAAmQAAADIBAAAXAAAAIQDwAAAAAAAAAAAAAACAPwAAAAAAAAAAAACAPwAAAAAAAAAAAAAAAAAAAAAAAAAAAAAAAAAAAAAAAAAAJQAAAAwAAAAAAACAKAAAAAwAAAAEAAAAJQAAAAwAAAABAAAAGAAAAAwAAAAAAAAAEgAAAAwAAAABAAAAHgAAABgAAAAOAAAAmQAAAEABAACwAAAAJQAAAAwAAAABAAAAVAAAAKAAAAAPAAAAmQAAAH4AAACvAAAAAQAAAFVVj0EmtI9BDwAAAJkAAAAOAAAATAAAAAAAAAAAAAAAAAAAAP//////////aAAAAFYAaQBjAGUAcAByAGUAcwBpAGQAZQBuAHQAZQALAAAABAAAAAgAAAAJAAAACgAAAAYAAAAJAAAABwAAAAQAAAAKAAAACQAAAAoAAAAGAAAACQAAAEsAAABAAAAAMAAAAAUAAAAgAAAAAQAAAAEAAAAQAAAAAAAAAAAAAACpAQAA0QAAAAAAAAAAAAAAqQEAANEAAAAlAAAADAAAAAIAAAAnAAAAGAAAAAQAAAAAAAAA////AAAAAAAlAAAADAAAAAQAAABMAAAAZAAAAA4AAAC2AAAAmgEAAMwAAAAOAAAAtgAAAI0BAAAXAAAAIQDwAAAAAAAAAAAAAACAPwAAAAAAAAAAAACAPwAAAAAAAAAAAAAAAAAAAAAAAAAAAAAAAAAAAAAAAAAAJQAAAAwAAAAAAACAKAAAAAwAAAAEAAAAJQAAAAwAAAABAAAAGAAAAAwAAAAAAAAAEgAAAAwAAAABAAAAFgAAAAwAAAAAAAAAVAAAAFABAAAPAAAAtgAAAJkBAADMAAAAAQAAAFVVj0EmtI9BDwAAALYAAAArAAAATAAAAAQAAAAOAAAAtgAAAJsBAADNAAAApAAAAEYAaQByAG0AYQBkAG8AIABwAG8AcgA6ACAASABVAE0AQgBFAFIAVABPACAAQQBSAEkARQBMACAAQwBPAEwATQBBAE4AIABDAEEAUwBUAEkATABMAE8AAAAIAAAABAAAAAYAAAAPAAAACQAAAAoAAAAKAAAABQAAAAoAAAAKAAAABgAAAAQAAAAFAAAADAAAAAwAAAAPAAAACgAAAAkAAAAKAAAACQAAAA0AAAAFAAAACwAAAAoAAAAFAAAACQAAAAgAAAAFAAAACwAAAA0AAAAIAAAADwAAAAsAAAANAAAABQAAAAsAAAALAAAACQAAAAkAAAAFAAAACAAAAAgAAAANAAAAFgAAAAwAAAAAAAAAJQAAAAwAAAACAAAADgAAABQAAAAAAAAAEAAAABQAAAA=</Object>
</Signature>
</file>

<file path=_xmlsignatures/sig1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NtbCEoEzRPTZjz0ZDWBdRw1DzqGtY6/JkeIVqzJyD+M=</DigestValue>
    </Reference>
    <Reference Type="http://www.w3.org/2000/09/xmldsig#Object" URI="#idOfficeObject">
      <DigestMethod Algorithm="http://www.w3.org/2001/04/xmlenc#sha256"/>
      <DigestValue>KdBrIqB3kAhAFkG7skr7j4n5RO9iOJ4+MFeyKeAMnRA=</DigestValue>
    </Reference>
    <Reference Type="http://uri.etsi.org/01903#SignedProperties" URI="#idSignedProperties">
      <Transforms>
        <Transform Algorithm="http://www.w3.org/TR/2001/REC-xml-c14n-20010315"/>
      </Transforms>
      <DigestMethod Algorithm="http://www.w3.org/2001/04/xmlenc#sha256"/>
      <DigestValue>wBUIRBPmpx2l43ful2Znb+PGwVSjCafr8fPHpGVFIrc=</DigestValue>
    </Reference>
    <Reference Type="http://www.w3.org/2000/09/xmldsig#Object" URI="#idValidSigLnImg">
      <DigestMethod Algorithm="http://www.w3.org/2001/04/xmlenc#sha256"/>
      <DigestValue>Wvo8sa5rgeSZ0RYsH8Dyu5bkH4lknXhjf8ftriONvhw=</DigestValue>
    </Reference>
    <Reference Type="http://www.w3.org/2000/09/xmldsig#Object" URI="#idInvalidSigLnImg">
      <DigestMethod Algorithm="http://www.w3.org/2001/04/xmlenc#sha256"/>
      <DigestValue>A3TY9gmJPkr2cQTsyGN0NkQlg5dU2RKYrGByPS0CSEc=</DigestValue>
    </Reference>
  </SignedInfo>
  <SignatureValue>RDbVAs5qirMnSloCKbf6z1TvuidhOHqbns0xBARj/OQ/Vm7R8Lzv4EOMonSoK2i9SCKnKSOwwecL
gBf0ODc1NNmj9M2YcnEcvUsp76QEaomkNZNTdmFec6M81Jm6X5RL84Nfb0MEwhogn/x2WVmQP5tI
ZCxKHGZA4sYGQadBxzrJZI0OmpVhFt1VZHBwdf+I5S6V4FZuQfeRiLs8T50o+icx2rFVGCzMPTpg
ZIABChxLDW21UvVv+VUXac8nxcfK1oYhqUhu7ZbrqMgg0h9RXIU9yCiekniB44O9Ne0iKp+eta2O
PJjHYVeF8VtumZi2XIcGinL1EGbx1ARynICw3A==</SignatureValue>
  <KeyInfo>
    <X509Data>
      <X509Certificate>MIIKpjCCCI6gAwIBAgIIWArCh0TnJoIwDQYJKoZIhvcNAQELBQAwgYcxFjAUBgNVBAMMDUNPTkZJUk1BIFMuQS4xFzAVBgNVBAUTDlJVQyA4MDExMzgyMy0wMTgwNgYDVQQLDC9QcmVzdGFkb3IgQ3VhbGlmaWNhZG8gZGUgU2VydmljaW9zIGRlIENvbmZpYW56YTENMAsGA1UECgwESUNQUDELMAkGA1UEBhMCUFkwHhcNMjYwNDIxMTgwMjAwWhcNMjgwNDIwMTgwMjAwWjCBwTELMAkGA1UEBhMCUFkxNTAzBgNVBAoMLENFUlRJRklDQURPIENVQUxJRklDQURPIERFIEZJUk1BIEVMRUNUUk9OSUNBMQswCQYDVQQLDAJGMzEYMBYGA1UEBAwPQ09MTUFOIENBU1RJTExPMRcwFQYDVQQqDA5IVU1CRVJUTyBBUklFTDESMBAGA1UEBRMJQ0kyMzU3MDcxMScwJQYDVQQDDB5IVU1CRVJUTyBBUklFTCBDT0xNQU4gQ0FTVElMTE8wggEiMA0GCSqGSIb3DQEBAQUAA4IBDwAwggEKAoIBAQDJoouSV+NXB8EKsCdl/KAZqOr0ytK4GWXSJUVFS2tiHZziCA4LbnIOVf9DrhKraJXjlzEWmcWzvXM7Rsu/wchCw/MVAkAjNx1y7Kq9OGyXwgOEYp4joHKzeFo6mxPQ9lgZoSNVWw2DfmRQkw7Rtr4JbtN+S+S7BI2MKZMelxRwQaUUMiOgBh/EkEKqld+VTtHDcvGrNYu+B0luNoXIvN4ZCVKVGWIO/p9I1IBxtFL7h2aJSXUKESHuCpBeO+JrlXo0YTS+9Hcmino0owFqeqajfGcBcac/zGuj5a1NI3PAyZVsWwFbOP49rd6zXbHE2Nl+N3ooXQ3nYwJmsrwLVOQhAgMBAAGjggXYMIIF1DAMBgNVHRMBAf8EAjAAMB8GA1UdIwQYMBaAFDj6s5eLGoZm2MDIh5/0YA14tjhKMIG/BggrBgEFBQcBAQSBsjCBrzA9BggrBgEFBQcwAoYxaHR0cHM6Ly93d3cuY29uZmlybWEuY29tLnB5L3JlcG9zaXRvcmlvLWNvbmZpcm1hLzA2BggrBgEFBQcwAYYqaHR0cDovL29jc3AxLnVhbmF0YWNhLmNvbS9wdWJsaWMvcGtpL29jc3AvMDYGCCsGAQUFBzABhipodHRwOi8vb2NzcDIudWFuYXRhY2EuY29tL3B1YmxpYy9wa2kvb2NzcC8waAYDVR0RBGEwX4EQSFVNQ09M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QYFWyion+i/ZXcBrrccaa1MWRhlzAOBgNVHQ8BAf8EBAMCBeAwDQYJKoZIhvcNAQELBQADggIBAKbNtOa1SB03pUbQpImhk+wVOMDOePlcQCQxK5X2GlXT7+023fr/WqpXpbRvzUAebjqXCmdBLxAfDY2Md9XI0Oue9VhbGSI+dSZDnNT0dD5KQ0rPsk9Su40F10U9k6hpNIRNMByCIvXfsNNclzolpDzPR3L3Kjslxkym3vP7Yx6H7gFqa7ND2wnORvi4ODDcdf/avo9CqyWHuKVycINJFmxGnKB/GLqmFbCpPh9GJXs3XRpgM3xOyFyikqIi4sUKcQsJkudZ73ATezphOIplgYmTAP4JHXnyUxW1YZ0t1jHLySfKLvnayUI8JclK5DVrSTBly58bk1/gB1widjczuXsk2T43dTRn0IaLBL0heAmS4olk22fZPW5yEtwWJBpe99GOGFO3xYGGHqjx/fobvKYOzJuxN+IR50TP5p8WEMcuJUXU3cI7nxar1A+4tHf1dLXaJBfBDWJ6Ss9EAz3ziR05IgJj+I9jIg7Jc0Dy6yu6CMbH/iH66pa9ufTpglQoBE//hG6Bdsa1cKTp/9/MVPl37795AbYviMmFw/gmwl5d3qPQE9/sgE7ogq+VKt7a9yDVKkSV5WnWUUvDEfn9Y3mGx2519XWoXlOjaf/3bpcoZqAZvll2usWcWz7gYm6dIB3/iwuJYQUcTszJDXu9itW/WT1e5bc6jjua1fjLOYt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Transform>
          <Transform Algorithm="http://www.w3.org/TR/2001/REC-xml-c14n-20010315"/>
        </Transforms>
        <DigestMethod Algorithm="http://www.w3.org/2001/04/xmlenc#sha256"/>
        <DigestValue>/Ck4NrQeZAHF831xLBB7K7yeBD4HVDqFdSeGjxFIugk=</DigestValue>
      </Reference>
      <Reference URI="/xl/calcChain.xml?ContentType=application/vnd.openxmlformats-officedocument.spreadsheetml.calcChain+xml">
        <DigestMethod Algorithm="http://www.w3.org/2001/04/xmlenc#sha256"/>
        <DigestValue>+NyeNyIHrQv7x/d7NUuWQqqgB6nR5SiUKZdjjhHZnLU=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ucrTLbStQr/H2WHX3yG6MmDb0NXX+PwHVU4uUbcl8jY=</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gJN++dn2wxx/Cd6pFFOPi1CJuYShB1qNyNFMqnAERYg=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ucrTLbStQr/H2WHX3yG6MmDb0NXX+PwHVU4uUbcl8jY=</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7YsyKqJFttyEEYgq8OCabNHbiPUxlADESpJUKW5fCBk=</DigestValue>
      </Reference>
      <Reference URI="/xl/drawings/drawing1.xml?ContentType=application/vnd.openxmlformats-officedocument.drawing+xml">
        <DigestMethod Algorithm="http://www.w3.org/2001/04/xmlenc#sha256"/>
        <DigestValue>ub074ZLH8w4xlalqairs0BhLike/ijp43YfbOrzi420=</DigestValue>
      </Reference>
      <Reference URI="/xl/drawings/drawing2.xml?ContentType=application/vnd.openxmlformats-officedocument.drawing+xml">
        <DigestMethod Algorithm="http://www.w3.org/2001/04/xmlenc#sha256"/>
        <DigestValue>jSEA7QF2epsqpRqyAn5pGlelL7JhshD38KzThNyanj4=</DigestValue>
      </Reference>
      <Reference URI="/xl/drawings/drawing3.xml?ContentType=application/vnd.openxmlformats-officedocument.drawing+xml">
        <DigestMethod Algorithm="http://www.w3.org/2001/04/xmlenc#sha256"/>
        <DigestValue>w1km3rn21G8nhqvfeQQCJPmdK8nSug1i56T6Su0Ay7A=</DigestValue>
      </Reference>
      <Reference URI="/xl/drawings/drawing4.xml?ContentType=application/vnd.openxmlformats-officedocument.drawing+xml">
        <DigestMethod Algorithm="http://www.w3.org/2001/04/xmlenc#sha256"/>
        <DigestValue>Inzha6baeAKE0WuKvq0NbHcSeKHit1HfjuHs2WT/AC8=</DigestValue>
      </Reference>
      <Reference URI="/xl/drawings/drawing5.xml?ContentType=application/vnd.openxmlformats-officedocument.drawing+xml">
        <DigestMethod Algorithm="http://www.w3.org/2001/04/xmlenc#sha256"/>
        <DigestValue>Tpe4YJTEcZHjnkuwCRyvhPu/MIzXAWLSeBBMA18aXRI=</DigestValue>
      </Reference>
      <Reference URI="/xl/drawings/drawing6.xml?ContentType=application/vnd.openxmlformats-officedocument.drawing+xml">
        <DigestMethod Algorithm="http://www.w3.org/2001/04/xmlenc#sha256"/>
        <DigestValue>t0IiKkrStl/PiA8NVpK6Yzzs0p7cTjDqmZEHG31Qyng=</DigestValue>
      </Reference>
      <Reference URI="/xl/drawings/drawing7.xml?ContentType=application/vnd.openxmlformats-officedocument.drawing+xml">
        <DigestMethod Algorithm="http://www.w3.org/2001/04/xmlenc#sha256"/>
        <DigestValue>virplHJot2IoRHIXdPVnprgNPvJSCFYXhwmEbMvdtaE=</DigestValue>
      </Reference>
      <Reference URI="/xl/drawings/drawing8.xml?ContentType=application/vnd.openxmlformats-officedocument.drawing+xml">
        <DigestMethod Algorithm="http://www.w3.org/2001/04/xmlenc#sha256"/>
        <DigestValue>1BVrvUMHBLQW/qes4fhJwFjL6MIO+dw9dzaEu6di9KE=</DigestValue>
      </Reference>
      <Reference URI="/xl/drawings/vmlDrawing1.vml?ContentType=application/vnd.openxmlformats-officedocument.vmlDrawing">
        <DigestMethod Algorithm="http://www.w3.org/2001/04/xmlenc#sha256"/>
        <DigestValue>ExUTJEbNBuk1CckpWwd+8plgcmJe8qoGbB2TUFKe+kA=</DigestValue>
      </Reference>
      <Reference URI="/xl/drawings/vmlDrawing2.vml?ContentType=application/vnd.openxmlformats-officedocument.vmlDrawing">
        <DigestMethod Algorithm="http://www.w3.org/2001/04/xmlenc#sha256"/>
        <DigestValue>h2FOx/Jlq4UYa4Cpos0p40QGXDtAcRKPPYKd8I7NjvY=</DigestValue>
      </Reference>
      <Reference URI="/xl/drawings/vmlDrawing3.vml?ContentType=application/vnd.openxmlformats-officedocument.vmlDrawing">
        <DigestMethod Algorithm="http://www.w3.org/2001/04/xmlenc#sha256"/>
        <DigestValue>AA278wmMGW/Y9QsgFZqd+7Z8mopkpG53UQ93BDbx4WE=</DigestValue>
      </Reference>
      <Reference URI="/xl/drawings/vmlDrawing4.vml?ContentType=application/vnd.openxmlformats-officedocument.vmlDrawing">
        <DigestMethod Algorithm="http://www.w3.org/2001/04/xmlenc#sha256"/>
        <DigestValue>ArJYfFm9RCQzoEjHp9F2NIgGy/rbhUv/OzAFzV+JEV4=</DigestValue>
      </Reference>
      <Reference URI="/xl/drawings/vmlDrawing5.vml?ContentType=application/vnd.openxmlformats-officedocument.vmlDrawing">
        <DigestMethod Algorithm="http://www.w3.org/2001/04/xmlenc#sha256"/>
        <DigestValue>6u8vsyy6r4PKsRHLrr6eKcYZlGcnaa5JNs92G7m0x50=</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77SVdrsY4G7JRFikg775s6ndkn/5KeYu/l1XKd699gw=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XmN+S1Rb9DQwXeJhiPMr1ywuylQu67StAn77KPQ/9M4=</DigestValue>
      </Reference>
      <Reference URI="/xl/externalLinks/externalLink1.xml?ContentType=application/vnd.openxmlformats-officedocument.spreadsheetml.externalLink+xml">
        <DigestMethod Algorithm="http://www.w3.org/2001/04/xmlenc#sha256"/>
        <DigestValue>Asaf0dJqvI2CGiR4mDOs5Bz0dA7uFptOxkq8VP6/Axg=</DigestValue>
      </Reference>
      <Reference URI="/xl/externalLinks/externalLink2.xml?ContentType=application/vnd.openxmlformats-officedocument.spreadsheetml.externalLink+xml">
        <DigestMethod Algorithm="http://www.w3.org/2001/04/xmlenc#sha256"/>
        <DigestValue>MAymwNHVD9MjrQzp8QSFTGHiEzTtpA6htR4Lpqs3neg=</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henAiMKyQumysm/rmsKObYIquv2sss0Xb+LHqi1agew=</DigestValue>
      </Reference>
      <Reference URI="/xl/media/image3.emf?ContentType=image/x-emf">
        <DigestMethod Algorithm="http://www.w3.org/2001/04/xmlenc#sha256"/>
        <DigestValue>YVtsuH8bDXjJV2Dy/6lemD+B/MEJUFMlT3OBultaYYw=</DigestValue>
      </Reference>
      <Reference URI="/xl/media/image4.emf?ContentType=image/x-emf">
        <DigestMethod Algorithm="http://www.w3.org/2001/04/xmlenc#sha256"/>
        <DigestValue>aFnNK946hBo3dFBQ1iTrTWLYet31AXs15w+XcScy08U=</DigestValue>
      </Reference>
      <Reference URI="/xl/media/image5.emf?ContentType=image/x-emf">
        <DigestMethod Algorithm="http://www.w3.org/2001/04/xmlenc#sha256"/>
        <DigestValue>SGUAmXtIKfISNtJWaJhypXvQVrvZhFb92d4E5f7ZI/o=</DigestValue>
      </Reference>
      <Reference URI="/xl/media/image6.emf?ContentType=image/x-emf">
        <DigestMethod Algorithm="http://www.w3.org/2001/04/xmlenc#sha256"/>
        <DigestValue>GRQ8cc4rAjEFr9roH+f7cutoGCMFBXoxc1fwnubaFII=</DigestValue>
      </Reference>
      <Reference URI="/xl/printerSettings/printerSettings1.bin?ContentType=application/vnd.openxmlformats-officedocument.spreadsheetml.printerSettings">
        <DigestMethod Algorithm="http://www.w3.org/2001/04/xmlenc#sha256"/>
        <DigestValue>OGD3iF2+l78gTInlDCWFPycZVuHBpUE02raJ/Wr5XCI=</DigestValue>
      </Reference>
      <Reference URI="/xl/printerSettings/printerSettings10.bin?ContentType=application/vnd.openxmlformats-officedocument.spreadsheetml.printerSettings">
        <DigestMethod Algorithm="http://www.w3.org/2001/04/xmlenc#sha256"/>
        <DigestValue>8ULINyTSns7e3+F/twyhXb2p4OEI5M6paxloUp/0tKM=</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aKO8XWThzgvGlTVSu23kX37OoqtKGS6PBUkmhsicI1Y=</DigestValue>
      </Reference>
      <Reference URI="/xl/printerSettings/printerSettings14.bin?ContentType=application/vnd.openxmlformats-officedocument.spreadsheetml.printerSettings">
        <DigestMethod Algorithm="http://www.w3.org/2001/04/xmlenc#sha256"/>
        <DigestValue>aKO8XWThzgvGlTVSu23kX37OoqtKGS6PBUkmhsicI1Y=</DigestValue>
      </Reference>
      <Reference URI="/xl/printerSettings/printerSettings15.bin?ContentType=application/vnd.openxmlformats-officedocument.spreadsheetml.printerSettings">
        <DigestMethod Algorithm="http://www.w3.org/2001/04/xmlenc#sha256"/>
        <DigestValue>dw1o09s0o0lRppdgih3gsQGBOYtYP6TDvnCBQSPWvnk=</DigestValue>
      </Reference>
      <Reference URI="/xl/printerSettings/printerSettings16.bin?ContentType=application/vnd.openxmlformats-officedocument.spreadsheetml.printerSettings">
        <DigestMethod Algorithm="http://www.w3.org/2001/04/xmlenc#sha256"/>
        <DigestValue>+CD8yXTcV7R0UPktSQ1iysCJtCvCSVF2j80e6m46HpQ=</DigestValue>
      </Reference>
      <Reference URI="/xl/printerSettings/printerSettings17.bin?ContentType=application/vnd.openxmlformats-officedocument.spreadsheetml.printerSettings">
        <DigestMethod Algorithm="http://www.w3.org/2001/04/xmlenc#sha256"/>
        <DigestValue>hqnMLvZ6XBY2fH1KhK00vJXWuxlSZRWkoKrdKDrIF2Q=</DigestValue>
      </Reference>
      <Reference URI="/xl/printerSettings/printerSettings18.bin?ContentType=application/vnd.openxmlformats-officedocument.spreadsheetml.printerSettings">
        <DigestMethod Algorithm="http://www.w3.org/2001/04/xmlenc#sha256"/>
        <DigestValue>TRrCOIAvgyay9+dOHANtMRhI4Mlj24DaFIyKQoKcdPw=</DigestValue>
      </Reference>
      <Reference URI="/xl/printerSettings/printerSettings19.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tK77ymY2j+63o2PazHk01j2EtE8ZSKwdI1Ei+LUjmS0=</DigestValue>
      </Reference>
      <Reference URI="/xl/printerSettings/printerSettings20.bin?ContentType=application/vnd.openxmlformats-officedocument.spreadsheetml.printerSettings">
        <DigestMethod Algorithm="http://www.w3.org/2001/04/xmlenc#sha256"/>
        <DigestValue>TRrCOIAvgyay9+dOHANtMRhI4Mlj24DaFIyKQoKcdPw=</DigestValue>
      </Reference>
      <Reference URI="/xl/printerSettings/printerSettings21.bin?ContentType=application/vnd.openxmlformats-officedocument.spreadsheetml.printerSettings">
        <DigestMethod Algorithm="http://www.w3.org/2001/04/xmlenc#sha256"/>
        <DigestValue>OGD3iF2+l78gTInlDCWFPycZVuHBpUE02raJ/Wr5XCI=</DigestValue>
      </Reference>
      <Reference URI="/xl/printerSettings/printerSettings22.bin?ContentType=application/vnd.openxmlformats-officedocument.spreadsheetml.printerSettings">
        <DigestMethod Algorithm="http://www.w3.org/2001/04/xmlenc#sha256"/>
        <DigestValue>GyyR84UYFfbFvVrs+ip9vPggIMAXC0nxkmeUVNsGxCc=</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ZVxXhJn6XmjT/m1Dw2UhwYZPVXYMSYE+DUFTlsgHV4s=</DigestValue>
      </Reference>
      <Reference URI="/xl/printerSettings/printerSettings25.bin?ContentType=application/vnd.openxmlformats-officedocument.spreadsheetml.printerSettings">
        <DigestMethod Algorithm="http://www.w3.org/2001/04/xmlenc#sha256"/>
        <DigestValue>ZVxXhJn6XmjT/m1Dw2UhwYZPVXYMSYE+DUFTlsgHV4s=</DigestValue>
      </Reference>
      <Reference URI="/xl/printerSettings/printerSettings26.bin?ContentType=application/vnd.openxmlformats-officedocument.spreadsheetml.printerSettings">
        <DigestMethod Algorithm="http://www.w3.org/2001/04/xmlenc#sha256"/>
        <DigestValue>ZVxXhJn6XmjT/m1Dw2UhwYZPVXYMSYE+DUFTlsgHV4s=</DigestValue>
      </Reference>
      <Reference URI="/xl/printerSettings/printerSettings27.bin?ContentType=application/vnd.openxmlformats-officedocument.spreadsheetml.printerSettings">
        <DigestMethod Algorithm="http://www.w3.org/2001/04/xmlenc#sha256"/>
        <DigestValue>ZVxXhJn6XmjT/m1Dw2UhwYZPVXYMSYE+DUFTlsgHV4s=</DigestValue>
      </Reference>
      <Reference URI="/xl/printerSettings/printerSettings28.bin?ContentType=application/vnd.openxmlformats-officedocument.spreadsheetml.printerSettings">
        <DigestMethod Algorithm="http://www.w3.org/2001/04/xmlenc#sha256"/>
        <DigestValue>ZVxXhJn6XmjT/m1Dw2UhwYZPVXYMSYE+DUFTlsgHV4s=</DigestValue>
      </Reference>
      <Reference URI="/xl/printerSettings/printerSettings29.bin?ContentType=application/vnd.openxmlformats-officedocument.spreadsheetml.printerSettings">
        <DigestMethod Algorithm="http://www.w3.org/2001/04/xmlenc#sha256"/>
        <DigestValue>ZVxXhJn6XmjT/m1Dw2UhwYZPVXYMSYE+DUFTlsgHV4s=</DigestValue>
      </Reference>
      <Reference URI="/xl/printerSettings/printerSettings3.bin?ContentType=application/vnd.openxmlformats-officedocument.spreadsheetml.printerSettings">
        <DigestMethod Algorithm="http://www.w3.org/2001/04/xmlenc#sha256"/>
        <DigestValue>etcbSocZ+fnLsUbJz0LkI2IH94+TEQQYef5apUBQ778=</DigestValue>
      </Reference>
      <Reference URI="/xl/printerSettings/printerSettings30.bin?ContentType=application/vnd.openxmlformats-officedocument.spreadsheetml.printerSettings">
        <DigestMethod Algorithm="http://www.w3.org/2001/04/xmlenc#sha256"/>
        <DigestValue>QYEL4KgfVDON32G6gR2kYQY44f245JdSxX29nAOa8qU=</DigestValue>
      </Reference>
      <Reference URI="/xl/printerSettings/printerSettings4.bin?ContentType=application/vnd.openxmlformats-officedocument.spreadsheetml.printerSettings">
        <DigestMethod Algorithm="http://www.w3.org/2001/04/xmlenc#sha256"/>
        <DigestValue>8ULINyTSns7e3+F/twyhXb2p4OEI5M6paxloUp/0tKM=</DigestValue>
      </Reference>
      <Reference URI="/xl/printerSettings/printerSettings5.bin?ContentType=application/vnd.openxmlformats-officedocument.spreadsheetml.printerSettings">
        <DigestMethod Algorithm="http://www.w3.org/2001/04/xmlenc#sha256"/>
        <DigestValue>8ULINyTSns7e3+F/twyhXb2p4OEI5M6paxloUp/0tKM=</DigestValue>
      </Reference>
      <Reference URI="/xl/printerSettings/printerSettings6.bin?ContentType=application/vnd.openxmlformats-officedocument.spreadsheetml.printerSettings">
        <DigestMethod Algorithm="http://www.w3.org/2001/04/xmlenc#sha256"/>
        <DigestValue>8ULINyTSns7e3+F/twyhXb2p4OEI5M6paxloUp/0tKM=</DigestValue>
      </Reference>
      <Reference URI="/xl/printerSettings/printerSettings7.bin?ContentType=application/vnd.openxmlformats-officedocument.spreadsheetml.printerSettings">
        <DigestMethod Algorithm="http://www.w3.org/2001/04/xmlenc#sha256"/>
        <DigestValue>8ULINyTSns7e3+F/twyhXb2p4OEI5M6paxloUp/0tKM=</DigestValue>
      </Reference>
      <Reference URI="/xl/printerSettings/printerSettings8.bin?ContentType=application/vnd.openxmlformats-officedocument.spreadsheetml.printerSettings">
        <DigestMethod Algorithm="http://www.w3.org/2001/04/xmlenc#sha256"/>
        <DigestValue>8ULINyTSns7e3+F/twyhXb2p4OEI5M6paxloUp/0tKM=</DigestValue>
      </Reference>
      <Reference URI="/xl/printerSettings/printerSettings9.bin?ContentType=application/vnd.openxmlformats-officedocument.spreadsheetml.printerSettings">
        <DigestMethod Algorithm="http://www.w3.org/2001/04/xmlenc#sha256"/>
        <DigestValue>8ULINyTSns7e3+F/twyhXb2p4OEI5M6paxloUp/0tKM=</DigestValue>
      </Reference>
      <Reference URI="/xl/sharedStrings.xml?ContentType=application/vnd.openxmlformats-officedocument.spreadsheetml.sharedStrings+xml">
        <DigestMethod Algorithm="http://www.w3.org/2001/04/xmlenc#sha256"/>
        <DigestValue>V/w+UFDuoKCaMO9SSgiqgdegozZgbqeeTZ78vhxZs4Y=</DigestValue>
      </Reference>
      <Reference URI="/xl/styles.xml?ContentType=application/vnd.openxmlformats-officedocument.spreadsheetml.styles+xml">
        <DigestMethod Algorithm="http://www.w3.org/2001/04/xmlenc#sha256"/>
        <DigestValue>z/eeshVk+brcI+H+/v+xG/3T6WFPSRAeaKjEIgLbkPc=</DigestValue>
      </Reference>
      <Reference URI="/xl/tables/table1.xml?ContentType=application/vnd.openxmlformats-officedocument.spreadsheetml.table+xml">
        <DigestMethod Algorithm="http://www.w3.org/2001/04/xmlenc#sha256"/>
        <DigestValue>QTRSFVlS4HnbP6Y2+j++lvSrT1G6wMfxJrt66Q3MxtU=</DigestValue>
      </Reference>
      <Reference URI="/xl/tables/table2.xml?ContentType=application/vnd.openxmlformats-officedocument.spreadsheetml.table+xml">
        <DigestMethod Algorithm="http://www.w3.org/2001/04/xmlenc#sha256"/>
        <DigestValue>IKN1IhsRr9HunQR58XkrS2sj34eYQN7uwQ3Oy8wQ0eI=</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Iod+Xl9RCPODBPIpko8c6sQtIg/QuqibY8/4p+Z/JNc=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jDc0sWYJkR/CBrRak8ingqluwJ7oQsCcOInX+LVxKvE=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pZw3bSadmKfHZZmptVaCzS0QUOVcJ//YwG7scJq0pf8=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Mnq392zy7n/68NDdV/yytQb7iuJvY10PdgkI8Mb+g6k=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ucQ64hiB/nP1Fi8WKz3Th1kdZisK8aGhJEPJfohLxM8=</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Tli28rN8igOjzPasqezpYxpfwxhNMdfjzhfnghEdtVc=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iCVOH+dXPW5Yow03OFzE3KFxd7gLMdb90NF1eBlmABk=</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zgur8m8h3dHGUIjwiYWUwhCf0M5q1vRr8/fpz0BeqjQ=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7K0RfRaSjDP6tX2AJJpMSRjcmHBmC4suCih810VKQKE=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YJfbdRjw9jzDIHxg9lF8IV5su7pXZUZ3BubXlm6sSbI=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N8qijj8WXJ10YGO5eKPxvirB/H7N/Cb0D2n1Mzyaryo=</DigestValue>
      </Reference>
      <Reference URI="/xl/worksheets/sheet1.xml?ContentType=application/vnd.openxmlformats-officedocument.spreadsheetml.worksheet+xml">
        <DigestMethod Algorithm="http://www.w3.org/2001/04/xmlenc#sha256"/>
        <DigestValue>RQrBSlri31PMwZlIl5U8oN6J/gyebqTN0C1tnBaPr1M=</DigestValue>
      </Reference>
      <Reference URI="/xl/worksheets/sheet10.xml?ContentType=application/vnd.openxmlformats-officedocument.spreadsheetml.worksheet+xml">
        <DigestMethod Algorithm="http://www.w3.org/2001/04/xmlenc#sha256"/>
        <DigestValue>VdSSMhq7PPyGTGDw8th3UTvOa3U89Ih1rcKsbGp6WEc=</DigestValue>
      </Reference>
      <Reference URI="/xl/worksheets/sheet11.xml?ContentType=application/vnd.openxmlformats-officedocument.spreadsheetml.worksheet+xml">
        <DigestMethod Algorithm="http://www.w3.org/2001/04/xmlenc#sha256"/>
        <DigestValue>tvzKKq8EPOADTa94CUdCYmoZ4T6lnIZpEmf/8HsdSIo=</DigestValue>
      </Reference>
      <Reference URI="/xl/worksheets/sheet2.xml?ContentType=application/vnd.openxmlformats-officedocument.spreadsheetml.worksheet+xml">
        <DigestMethod Algorithm="http://www.w3.org/2001/04/xmlenc#sha256"/>
        <DigestValue>R7gGbROsq8wtNMf9wb9NhnoX7CbE0LKzExehQybw3Z8=</DigestValue>
      </Reference>
      <Reference URI="/xl/worksheets/sheet3.xml?ContentType=application/vnd.openxmlformats-officedocument.spreadsheetml.worksheet+xml">
        <DigestMethod Algorithm="http://www.w3.org/2001/04/xmlenc#sha256"/>
        <DigestValue>t7XEAo8Uy0vjd/DJ2C4BITc81JYXlBr/JkVguL11LaQ=</DigestValue>
      </Reference>
      <Reference URI="/xl/worksheets/sheet4.xml?ContentType=application/vnd.openxmlformats-officedocument.spreadsheetml.worksheet+xml">
        <DigestMethod Algorithm="http://www.w3.org/2001/04/xmlenc#sha256"/>
        <DigestValue>cEnOJfsnp/NBRY+3I/VQDmCO7RMEqgGuf8UEqrDuCIU=</DigestValue>
      </Reference>
      <Reference URI="/xl/worksheets/sheet5.xml?ContentType=application/vnd.openxmlformats-officedocument.spreadsheetml.worksheet+xml">
        <DigestMethod Algorithm="http://www.w3.org/2001/04/xmlenc#sha256"/>
        <DigestValue>EswEMBCM4zdmW1cMOh7rkhk8swYW2MNO2WQBh8M1rRc=</DigestValue>
      </Reference>
      <Reference URI="/xl/worksheets/sheet6.xml?ContentType=application/vnd.openxmlformats-officedocument.spreadsheetml.worksheet+xml">
        <DigestMethod Algorithm="http://www.w3.org/2001/04/xmlenc#sha256"/>
        <DigestValue>D58Ad9xw9rLp8vtfuoXZKREoJCKBX5r+HJLMNlecAok=</DigestValue>
      </Reference>
      <Reference URI="/xl/worksheets/sheet7.xml?ContentType=application/vnd.openxmlformats-officedocument.spreadsheetml.worksheet+xml">
        <DigestMethod Algorithm="http://www.w3.org/2001/04/xmlenc#sha256"/>
        <DigestValue>gSn74GrP21z2K652QtORivHMqG62kbL+N6pM0KMuNoM=</DigestValue>
      </Reference>
      <Reference URI="/xl/worksheets/sheet8.xml?ContentType=application/vnd.openxmlformats-officedocument.spreadsheetml.worksheet+xml">
        <DigestMethod Algorithm="http://www.w3.org/2001/04/xmlenc#sha256"/>
        <DigestValue>RHD7ig3kB2XIS94P7M7laThHUC2ZEnlItLh4CQ8e2cA=</DigestValue>
      </Reference>
      <Reference URI="/xl/worksheets/sheet9.xml?ContentType=application/vnd.openxmlformats-officedocument.spreadsheetml.worksheet+xml">
        <DigestMethod Algorithm="http://www.w3.org/2001/04/xmlenc#sha256"/>
        <DigestValue>NbdLLWXsZdwhOiIfvFm/hDyLJl0+E1xl/cjBrRt6I8I=</DigestValue>
      </Reference>
    </Manifest>
    <SignatureProperties>
      <SignatureProperty Id="idSignatureTime" Target="#idPackageSignature">
        <mdssi:SignatureTime xmlns:mdssi="http://schemas.openxmlformats.org/package/2006/digital-signature">
          <mdssi:Format>YYYY-MM-DDThh:mm:ssTZD</mdssi:Format>
          <mdssi:Value>2026-08-13T20:34:56Z</mdssi:Value>
        </mdssi:SignatureTime>
      </SignatureProperty>
    </SignatureProperties>
  </Object>
  <Object Id="idOfficeObject">
    <SignatureProperties>
      <SignatureProperty Id="idOfficeV1Details" Target="#idPackageSignature">
        <SignatureInfoV1 xmlns="http://schemas.microsoft.com/office/2006/digsig">
          <SetupID>{F0F7E78C-40F2-414B-80F9-4B1E7D483245}</SetupID>
          <SignatureText/>
          <SignatureImage>AQAAAGwAAAAAAAAAAAAAAJQAAABMAAAAAAAAAAAAAABtCgAAZgUAACBFTUYAAAEAtAsBAAwAAAABAAAAAAAAAAAAAAAAAAAAgAcAADgEAABYAQAAwgAAAAAAAAAAAAAAAAAAAMA/BQDQ9QIARgAAACwAAAAgAAAARU1GKwFAAQAcAAAAEAAAAAIQwNsBAAAAeAAAAHgAAABGAAAA2A8AAMwPAABFTUYrIkAEAAwAAAAAAAAAHkAJAAwAAAAAAAAAJEABAAwAAAAAAAAAMEACABAAAAAEAAAAAACAPyFABwAMAAAAAAAAAAhAAAUkDwAAGA8AAAIQwNsBAAAAAAAAAAAAAAAAAAAAAAAAAAEAAAD/2P/gABBKRklGAAEBAQDIAMgAAP/bAEMACgcHCQcGCgkICQsLCgwPGRAPDg4PHhYXEhkkICYlIyAjIigtOTAoKjYrIiMyRDI2Oz1AQEAmMEZLRT5KOT9APf/bAEMBCwsLDw0PHRAQHT0pIyk9PT09PT09PT09PT09PT09PT09PT09PT09PT09PT09PT09PT09PT09PT09PT09PT09Pf/AABEIAI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gOOtGMnrQPelAoAQ8CjBOaQnJoGaADpS4z+FIRmgEKD70ABGKTBNHPU0vtQAhGaQnjGKX+HNJjIoAb1/lQBRindaADbxSYpe1ITkg0AAGDS9DSdqCaABhk0gpevWkxzQAmM0vagDBpwGOpoAaKM8YpQM0dKAGj0pR0pSOM0nXp2oAO4z2pOM4opD1oAQ9aBTqTpz60AFIaM4NFACGinY55oxQBYA55pe2KQUEcDmkA2lyAD1z60negCmAdBQcYpQM9aaTnA4wKADOePSlxgUMOeKU4KA9D6UANI44oA4ozyKgmv7e2nihnlVGmO1AxxuPoKAJ8DFJ1p2MA0lACd+aRgATjpQ3HNH3u/bNAAR0z3o5oz09qU+woATrSDqM0obceOg61FcXUNq0YndU8xgi7j1J6CgCV14Yeo60AkDFLnn2pOozQAdKCaOooPQcUAJnij1AprOEQsTgDmsbRtWn1jUp5IAv9nxjaHI5Zvb/AD0+tNRbTYG1jH1pcClxikpANPWgHIpTzTQKAAdcUuKAOaMnpQAUlLSYHrQBY6Hg0Z4ozSZpAGO9B5NAY4IIpMcc0AGfxFA60nQ0pPegAbj2qtd3kNlC01w6pEvLMxwBVgjdmud8aTImgyJIMrK6Jj6sKpK7sB0EM0dxCksLrJE4yrKcgiub8QHd4m0aPus2f1WtnRYBb6LaIqhcRjIHr3/WsKRmvfiHCi8paxZb2zn/AOtVQ0bEzriM1GRgkCnk0h6E9agZGc9Kytf1VtIslmjQO5kVFUnjk1qk5rlfFHm3us6TYIhKvL5khHYDj+pP4U42vqBuvq1vFqNrZyttmuV3IME9vWr7g1wdzc/b/idBEpJSFQnHrgsf6V3V1IIYXdjgAE1Uo2sBh6Vcz3XijUvnY20CLGF/h3dfz61BrMhuvFOl2ajcA4kbnsDk/wAqt+GIvL0qW6b791K0uT6ZwP8APvVLw6v9qa5faueUQmCH6Dqf8+tX8Mm+wjpzSYOKARuIo3KM5rEYnpQTgfSqd5qtpYIWuZ0T0BPP5d65+88YxXhNppUcst1J8qHbgA+tUotgWdRmm1u/OlWbFIV5uZh/CP7v1/z61v2tpDZWyQW6BI0GAB/P61DpGmJpOnrCDukPzSOerN3q0zgHk4pya2WwhzHA+tISAOTisjU/E9hpwKNJ5s2cCKP5mz/SqCLreuBWcjTbU8nvKw/p+lJRe4zogysTtOfWlAwao6Zo9rpW4weY0kgw8kjli1Xs5JFJ+QAT2pOKOtIeKQCk0bhR2zSYoAsUdaFwaCMdKADjHpSZ4xRmkpABNA5B9aCw9OaQHHrzQAFsDrg1yfjLNzcadYqeZ58n6Af4kV1Zwa5XUf8AS/Hemwg8QL5h/E5/9lq4b3A6wqIoQAMBRiuX8KIbnXNYvm5/eeWp9gcf+yj866DVboWunzynoiE/pWf4PtDbeH4S4+eYmRvqTj+lC0i2Btk5FNIx0NKfl60x3C9akBG6EmuVjvo317UtRdv3NhD5YPv1P9R+FXta8RQ2UbxW6tcXO04jj5I47+lcLJfMvhryF5admmlOeeSFGfoTn64rejSchNljwo8kvjC0nkGGnaRz9SpJ/LIFdt4yumt9BlCk75iIxj3OD+ma5Hw1bGLXtBZgQ00c0p59cgfoorpfFeLi+0qz6+Zchz9FHP8AOrqtOorAP1u7Gh+GVhjIEwhESY7HGCf61f8AD9gNL0O2t9u1tm5/948//W/CuW165F5DJqJYm3jvI4sdQEByT+f6EVPqHjkTy+TpcasOhnlOxB+dQ6baSXzBM6i+1G3sYGlnkVFXqSev09a51tY1TW5DFpFsY4c4NzLwP8/nWbDi8u/tM0Nxq8+ekaFYV/E9f5VuhPEV2oVFtLGPGAPvED2xxS5VECKPw5YaZDJe6tObyUDcxk+6Pw7/AI1m6dq9jp8k+q35jjlcbLeBBzGg+nc/561oz+GS8Ql1DWLlmRg5YYVRj2ORXPTxw6nL/Z/hmzDDkS3b8k+4Y9B79+2auDT0bAvL4+uJp5TFaqIRwNzck47noO3FTxWuveI0DTTmxtG9AQ7D2HX88VpaD4StNIAllxPddS7DIU+w/rW/15rOcoJ+4hmVpfhyw0ra0UW+Yf8ALWTk/h2H4Vq98UCis229wEpDxTj/AJxTCOaQCngcU0k9aXHSkx81ADh09KbTuQOfSmUAWcYNHXrRmigA70e1JnB4ox3zSAMHHNNOMYp3XJ9Ka3WgBDjbXK6b/pXxEu5O1vEFH5f/AGddNK22Mn/Irm/BKm5u9Vvyf9bMVU+2T/QCrjs2Bb8YysbCK1j5e5lWMD1reiWO0gigUgKihR+FcjreoRp4ws0nbENrGZmPvzj9QPzqBV1bxLqKTKjwwRnMeThFPZj/AHj9OKvlvFAb+q+IIbJxBGGnuX+5EgySf6VRfTdd1Vv9KuUsoD1SPl/z/wDr1qaXotro0bOW824fl5pPvH/Cm3viKxsvlaUNJ2RPmY/lUrtFCH2mhWdjZSQQJgyIVeVuWOfeuB8RaSugaTa2Ly+bNPKWZxn7qjAH/j2a63+0dY1Dizsfs8Z/5aXDYP8A3z1rlL+wvb7xra6feXfnkgMxVdoQckgfgK1pNxd2wL811bab4v0gGRTHa2exyDnDbW/rTtaudQ1jVrOXT7O4j+R44pJEIALdW/AUana2nh/xxpUscSx28kbBs8/MMjJJ/wB4V28TrNCki4KuoYY9DzScrWaA5mx8LXiaetrdagUg53R2643k9csev5VqWfh7TbLBS2WRx/HL87fr0/CtM9KSs3OTHYAABhRimTTpbxtI7BVUZJPanMwVGY8ADJrjJXu/F2otHbO0OmR8NLjG71x6n+VEIc2+wnoQ3Ml54z1R7S2cxaZC371x/F7e/wBPz9uy0/T7bTLRbe0jCRj8yfUnvRYWMGm2kdraxhIkGAPX3PvVmicr6LYEB6UDPFFBNQMccUnag80n8qACk780HrQaAEOc0dKUHJwe1JQAMaSjIpcCgCcdaUikzSZzSAUjqfSm5pfakPWgAPB5pD0oPvVa6voLOPfPKkajuzAUwItVm8jTriU/wRs36Vg+D7u30nwrE1xKqtK7MMnHTA/pUHibxTbTaXPbWiyTmRCu9F+UZ9TUFr4Ym1PTrWaeQwW9vGRGCMswPzZI6D9a2jFcvvaCKmlXdnrHiC81TUnWO2QgKjfxjsPfpkiupOsX16u3TLB9nQSy/IuPUDqazfA2m28mnvfyR+ZM8rbXcZIHH68muu20ptJ2QGENDvL/AAdVvnZf+eUHyr+fetCz0my04AW1uiH+9jJ/PrV7jFIfWocmxjc4FcfpMRuviJqNweRbpgH3IAx/OuukOEY+grmfBKmYalftndPcbPwUf/Xpx0i2BZ8X6DNrdtbG0K/aLeXcu44BBHPP5H8K3YIhBbxRDGEQKMewxUmCRxSHipbbVgCk9qWkpAIVycGmxxJEoSNFRB0CjAFPyaO1ACYzS9KUYA96Q0AJS96SloAMc8UZo6UhGDQAh5NBNB60EUAAOKDx3paYQaAF980fiKTqfrT8f7NAEuKOgpQc0h4pAJ1xVe8vYbGFpbiRUQdyasdKzm0hJr2Wa6czxNjZE44SqSXUDK/tjUNYOzSbYpF3uJhgfgP8/SrFt4VhZhNqc0l5MOcscKPoP8/St1FVECqAqqMADoBQTjpT5rbAYfiDQ2vtLS1sBFDiRSRjaMd+lXNXkFl4fuTGceVbtj8Fq8eKzvEEUk/h+/iiRnd4HCqo5JIPShNuyAr+DIfK8K2fqwYn/vo1u5OCO2c1j+E45I/DNmkyMjANwwwcbjjj6Vr4ol8TAB05pD6ClI/Ok7VIDCAylTyD1qtpWmQaTYi1ttxQMWyxySTVoDtSii+lgD6cUnv3px6cU2gBc96TGeTS4o6UAITSe4p1JyKADtxS9evWmg80vY0ABwR1oHAz2oxkUnagB3akODQDgHBpMcZoAKQnpzmlB496aRxQA5iCOBTTSjpxSE5IoABwaN9FGF9KAJ+1HbmlJyB0pO1ACH1o60cjg0dKAEoFGCaToaAA9OlAFPHcUmcGgApeO1NyM0c9jxQAvbrSUNxgUEk896AG5PenHGAMYIpMg0AECgA60Ypevem9hg0ALnikzk0dD1o6jrQAo5FJgfWgEg+1JnOaAA89KXqpFGKSgAHSg8DmijH40ACnPWlbhsCk+tDc4/KgA4PXqKbnBNLwTil2nbu/A0AJ1/CkbGTikzzSlcke9ACUbvelPWj5fagD/9kAAAhAAQgkAAAAGAAAAAIQwNsBAAAAAwAAAAAAAAAAAAAAAAAAABtAAABAAAAANAAAAAEAAAACAAAAAAAAgAAAAIAAAHlDAAAAQwMAAAAAAACzAAAAs/3/FEMAAACzAAAAs/7/mUIhAAAACAAAAGIAAAAMAAAAAQAAABUAAAAMAAAABAAAABUAAAAMAAAABAAAAFEAAAB4+gAAAAAAAAAAAACUAAAATAAAAAAAAAAAAAAAAAAAAAAAAAD5AAAAgAAAAFAAAAAoAAAAeAAAAAD6AAAAAAAAIADMAJUAAABNAAAAKAAAAPkAAACAAAAAAQAQAAAAAAAAAAAAAAAAAAAAAAAAAAAAAAAAADlnWmtaa3tvWmtaa1pre29aa1prWmt7b1pre29aa3tve297b1pre29aa1prWmtaa1pre29aa3tvWmtaa1prWmtaa1prWmt7b1pre29aa3tvWmtaa1prWms5Z1prWmtaa1prWmtaa1prWmt7b1pre29aa1prWmtaa1prWmtaa1prWmtaazlnWms5Z1prWmtaazlnWmtaa3tvWmtaa1prWmtaa3tvWmtaazlnWms5Z1prWmtaa1prWmtaa1prWmtaazlnWms5Z1prOWdaa1prWmtaa1prWmt7b1prWmtaa1prOWdaa1prWmtaa1prWmtaazlnWmtaa1prOWdaazlnWmtaa1prOWdaazlnWms5Z1prOWdaazlnWms5Z1prOWdaazlnWmtaa1prWmtaazlnWms5ZzlnOWdaazlnWms5Z1prWmtaa1prWmtaa1prWmtaazlnWms5Z1prOWdaazlnWms5Z1prOWdaazlnWms5Z1prOWdaazlnWms5Z1prWmtaazlnWmtaa1prOWdaazlnWmtaa1prOWdaazlnOWc5Z1prOWc5ZzlnOWc5ZzlnOWdaa1prOWc5Z3tve297bzlnWms5ZzlnOWc5ZzlnOWc5ZzlnOWdaa1prWms5ZzlnOWd7bzlnWms5ZzlnOWc5ZzlnWmsYYwAAe29aa3tve297b1pre297b3tvWmt7b3tve29aa3tvWmt7b3tve29aa1prWmt7b1pre29aa3tvWmt7b1pre29aa1prWmt7b1pre29aa3tvWmt7b1prWmtaa1prWmtaa1pre29aa3tvWmt7b1pre297b3tvWmt7b1prWmtaa3tvWmtaa1prWmtaa1prWmtaa1prWmtaa3tvWmt7b1pre29aa3tve297b1prWms5Z1prWmtaa1pre29aa3tvWmt7b1prWms5Z1prWmtaa1prWmtaa1prWmt7b1pre29aa3tvWmtaa1pre29aa3tvWmt7b1prWmtaa3tvWmtaa1prWmtaa1prWmtaa1prWmtaa1prWmtaazlnWmtaa1prWmtaa1prWmtaa1prWmtaa1prWmtaa1prOWdaazlnWmtaa1prOWdaa1prWmtaa1prWmtaa1prWmtaa1prWmtaa1prWmtaa1prWmtaa1prWmtaa1prWmtaa1prWmtaa1prWmtaa1prWmtaa1prWmtaazlnWmtaa1prOWdaa1prWms5Z1prWmtaazlnWms5ZzlnOWdaa1prWms5Z1pre297b1prWms5Z1prOWc5ZzlnOWc5Z1prOWdaa1pre29aa1prOWdaa1prWms5Z1prOWdaazlnWms5Z1prAABaa3tve297b1pre29aa3tvWmt7b1pre29aa3tvWmtaa1pre29aa1prWmtaa1prWmtaa3tvWmtaa1prWmtaa1prWmtaa1prWmtaa1prWmtaa1prWmtaa1prWmtaa1prWmtaa3tvWmtaa1pre29aa3tvWmt7b1prWmtaa1prWmtaa1prWmtaa1prWmtaa1prWmtaa3tvWmtaa1prWmtaa1prWmt7b1prWms5Z1prOWdaazlnWmtaa1prWmtaazlnWmtaa1prOWdaa1prWmtaa1prWmtaa1prWmtaa1prWmtaa1prWmtaa1prWmt7b1pre29aa1prWmtaa1prWms5Z1prWmtaa1prWmtaa1prWmtaazlnWmtaa1prWmtaa1prWmtaa1prOWdaazlnWms5Z1prOWdaazlnWms5Z1prOWdaa1prWms5Z1prWmtaazlnWms5Z1prOWdaazlnWms5Z1prOWdaazlnWms5Z1prOWdaa1prWmtaa1prOWdaazlnWms5Z1prOWdaazlnWms5Z1prWmtaazlnWms5ZzlnOWdaazlnWms5ZzlnOWdaazlnWms5Z1prWmt7b1prWms5Z1prOWc5ZzlnOWc5ZzlnOWc5ZzlnWms5Z1prOWc5ZzlnWms5Z1prOWc5ZzlnOWc5ZzlnOWcAAHtvWmt7b3tve29aa3tvWmt7b1pre29aa3tvWmt7b1prWmtaa1prWmt7b1pre29aa3tvWmt7b1pre29aa3tvWmtaa1prWmtaa1prWmtaa1pre29aa1prWmtaa1prWmtaa3tvWmtaa1pre297b3tvWmt7b1pre29aa3tvWmt7b1pre29aa3tvWmt7b1pre29aa3tvWmtaa1prWmtaa1prWmt7b1pre29aa1prWmtaa1prWmtaa1prWmt7b1prWms5Z3tvWmtaa1pre29aa3tvWmtaa1prWmtaa1prWmtaa1pre29aa3tvWmt7b1pre29aa1prWmt7b1prWmtaa1prWmt7b1prWmtaa1prWmtaa1prWmtaa1prWmt7b1prWmtaa1prWmtaazlnWms5Z1prWmtaa1prWms5Z1prWmtaazlnWmtaa1prWmtaa1prWmtaa1prWmtaa1prWmtaa1prWmtaa1prWmtaa1prWmtaa1prWmtaa1prWmtaa1prWms5Z1prOWdaazlnWmtaa1prWmtaa1prWmtaa1prOWdaazlnWmtaa1prOWdaa1prWmtaazlnOWdaa1prWms5Z1prOWdaazlnOWc5Z1prOWdaazlnWmtaa1prOWdaazlnWmtaa1prOWdaazlnWms5Z1prOWdaawAAWmt7b3tve29aa1prWmt7b1prWmtaa3tvWmt7b1pre285Z1prWmtaa1prWmtaa3tvWmtaa1prWmtaa1prWmt7b1prWmtaa1prOWdaa1prWmtaa1prWmtaazlnWmtaa1prWmtaa1pre29aa3tvWmt7b1prWmtaa1prWmtaa1pre29aa1prWmtaa1prWmtaa3tvWmtaa1prWms5Z1prOWdaa1prWmtaa3tvWmtaa1prWmtaa1prWmtaa1prWms5Z1prWmtaa1prWmtaa1prWmtaazlnWms5Z1prWmtaa1prWmtaa1prWmtaa1prWmtaa1prOWdaa1prWms5Z1prOWdaazlnWms5Z1prOWdaa1prWms5Z1prOWdaazlnWms5Z1prOWdaazlnOWc5Z1prWmtaa1prWms5Z1prOWdaazlnWms5Z1prWmtaazlnWmtaa1prOWdaazlnWms5Z1prOWdaazlnWms5Z1prOWdaazlnWms5Z1prOWdaazlnWmtaa1prOWdaazlnWms5Z1prWmtaazlnWmtaa1prOWc5ZzlnWms5Z1prOWdaazlnWms5Z1prGGNaa1prWms5ZzlnOWdaazlnOWc5ZzlnOWc5ZzlnWms5Z1prOWdaazlnOWc5Z1prOWdaazlnOWc5ZzlnOWdaazlnAAB7b3tvnHN7b3tvWmt7b3tve29aa3tve297b1pre29aa1prWmt7b1pre29aa3tvWmt7b1pre29aa3tvWmt7b1prWmtaa3tvWmtaa1prWmtaa1prWmtaa1prWmtaa3tvWmt7b1pre29aa3tve297b1pre29aa3tvWmt7b1pre297b3tvWmt7b1pre29aa3tvWmtaa1prWmtaa1prWmtaa1prWmtaa3tvWmtaa1prWmtaa3tvWmt7b1prWmtaa1prWmt7b1pre29aa1prWmtaa1prWms5Z1prWmtaa1prWmtaa1prWmtaa1prWmtaa1prWmtaa1prWmtaa1prOWdaa1prWms5Z1prOWdaazlnWmtaa1prWmtaa1prWms5Z1prOWdaa1prWmtaa1prWmt7b1prWmtaa1prWmtaa1prWms5Z1prWmtaa1prWmtaa1prWmtaa1prWmtaa1prWmtaa1prWmtaa1prWmtaa1prWmtaa1prOWdaazlnWmtaa1prWmtaazlnWmtaa1prWmtaa1prWmtaa3tvWmtaazlnWms5Z1prWmtaa1prWms5Z1prOWc5Z1prWms5ZzlnOWdaazlnWms5Z1prOWc5ZzlnWms5Z1prOWdaazlnOWc5ZzlnOWdaazlnWms5Z1prOWdaazlnWmsAAHtve297b3tve297b1pre29aa3tvWmt7b1pre29aa1prWmtaa1pre29aa3tvWmtaa1prWmtaa1prWmt7b1pre29aa1prWmtaa1prWmtaa1prWmtaazlnWmtaa1prWmtaa1prWmtaa3tve297b1prWmtaa3tvWmtaa1pre29aa3tvWmtaa1prWmtaa1prWmtaa1prWmtaa1prWmtaa1prWmtaa1prWmt7b1prWms5Z1pre297b1prWmtaa1prWmtaa1prWmtaa1prWmtaazlnWms5Z1prOWdaa1prWmtaa1prWmtaa1prWmtaa1prWmtaazlnWmtaa1prWmtaazlnWms5Z1prOWdaazlnWmtaa1prWmtaa1prWmtaa1prOWdaazlnWms5Z1prWmtaa1prWmtaa1prOWdaa1prWms5Z1prOWdaazlnWms5Z1prOWdaazlnWms5Z1prOWdaazlnWms5Z1prOWdaazlnWms5Z1prOWdaazlnWms5Z1prOWdaazlnWms5Z1prOWdaazlnWms5Z3tvWmtaazlnWms5ZzlnOWdaazlnWms5Z1prOWc5ZzlnWms5ZzlnOWdaazlnOWc5Z1prOWc5ZzlnOWc5Z1prOWdaazlnOWc5ZzlnGGM5ZzlnWms5ZzlnOWc5ZzlnOWc5ZwAAe297b3tve297b1pre29aa3tvWmt7b1pre29aa3tvWmt7b1pre297b3tve297b1pre29aa3tvWmt7b1pre29aa3tvWmt7b1pre29aa1prWmtaa1prWmtaa1prWmt7b1pre29aa3tvWmt7b3tve29aa3tvWmt7b1pre29aa3tve297b1prWmtaa1prWmtaa1prWmtaa3tve297b3tve29aa1prWmt7b1pre29aa1prWmucc3tve29aa1prWmt7b1pre29aa1prWmtaa1prWmtaa1prWmtaa1pre29aa3tvWmt7b1pre29aa3tvWmtaa1prWmtaa1prWmtaa1prWmtaa1prWmtaa1prWmtaa3tvWmt7b1prWmtaa3tvWmtaazlnWmtaa1prWmt7b1pre29aa3tvWmtaa1prWmtaa1prOWdaa1prWmtaa1prWmtaa1prWmtaa1prWmtaa1prWmtaa1prWmtaa1prWmtaa1prWmtaa1prWms5Z1prOWdaazlnWmtaa1prWmtaazlnWms5Z1prWmt7bzlnWms5Z1prOWdaazlnWms5Z1prOWc5ZzlnWmtaa1prOWdaa1prWms5Z1prOWdaazlnWms5Z1prOWdaazlnOWc5ZzlnOWc5ZzlnWms5Z1prOWdaazlnWms5ZzlnAABaa1prWmt7b1pre29aa3tvWmt7b1pre29aa1prWmtaa1prWmtaa3tvWmtaa1prWmtaa1prWmtaa1prWmtaa3tvWmtaa1prWmtaa1prWmtaa1prWmtaa1prWmtaa1prWmtaa1prWmt7b1prWmtaa1prWmtaa1prWmtaa1prWmtaa1prWmtaa3tvWmtaa1pre29aa1prWmtaa1prWmtaa3tvWmtaa1prWmtaa1prWmtaa1prWmtaa1prWmtaa1prWmtaa1prWmtaazlnWms5Z1pre297b1prWms5Z1prWmtaazlnWmtaa1prWmtaa1prWmtaa1prWmtaa1prWmtaa1prOWdaa1prWmtaa1prOWdaazlnWms5Z1prOWdaa1prWms5Z1prWmtaa1prWmtaa1prOWdaazlnWms5Z1prWmtaazlnWms5Z1prOWdaa1prWms5Z1prOWdaa1prWmtaa1prOWdaazlnWms5Z1prOWdaa1prWmtaa1prOWc5ZzlnOWc5ZzlnOWdaazlnWms5Z1prWmtaazlnWms5Z1prOWdaa1prWms5ZzlnOWdaazlnWms5ZzlnOWc5ZzlnOWc5ZzlnOWc5ZzlnOWc5Z1prOWdaazlnOWc5ZzlnOWc5ZzlnOWc5ZzlnOWc5ZzlnOWc5ZzlnGGMAAHtvWmt7b3tve29aa3tvWmt7b1pre297b3tvWmt7b1pre29aa3tvWmt7b1pre29aa1prWmt7b1pre29aa3tvWmtaa1pre29aa1prWmt7b1prWmtaa3tvWmtaa1pre29aa1prWmt7b1prWmtaa1prWmtaa1prWmtaa1prWmt7b1pre29aa3tvWmt7b1pre29aa3tvWmt7b1pre29aa3tvWmt7b1pre29aa3tvWmt7b1prWmtaa3tvWmtaa1pre29aa1prWmtaa1prWmtaa1prWmt7b1prWmtaa1prWmt7b1prWmtaa1prWmtaa1pre29aa1prWmt7b1prWmtaa3tvWmtaa1prWmtaa1prWmtaa1prWms5Z1prOWdaa1prWmtaa1prOWdaa1pre29aa3tvWmtaa1prWmtaa1prWmtaa1prWms5Z1prWmtaa1prWmtaa1prOWdaa1prWmtaa1prWmtaazlnWmtaa1prWmtaa1prWmtaa1prWmtaazlnWms5ZzlnOWdaazlnWmtaa1prWmt7b1prWms5Z1prOWdaa1prWms5Z1prOWdaa1prWms5Z1prOWdaazlnWms5Z1prOWdaazlnWms5Z1prWmtaazlnWms5Z1prOWdaazlnWms5Z1prOWdaazlnWms5Z1prOWc5ZwAAWmt7b1pre29aa3tvWmtaa1pre29aa3tvWmt7b1pre29aa3tvWmt7b1prWmtaa1prWmtaa1prWmtaa3tvWmtaa1prWmtaa1prWmtaa1prWmtaa1prWmtaa1prWmtaa1prWmtaa1prWmtaa1prOWdaa1prWmtaa1prWmtaa1prWmtaa3tvWmtaa1pre29aa1prWmt7b1pre29aa3tvWmt7b1pre29aa3tvWmt7b1prWmtaa1prWmtaa1prWmtaa1prOWdaazlnWms5Z1prOWdaazlnWmtaa1prWmtaa1prWmtaa1prOWdaa1prWmtaa1prWmtaa1prWmtaa1prWmtaazlnWmtaa1prWmtaazlnWms5Z1prOWdaazlnWms5Z1prOWdaazlnWmtaa1prWmtaa1prWmtaa1prWmtaazlnWms5Z1prOWdaazlnWms5Z1prOWdaazlnWmtaa1prWmtaazlnWms5Z1prWmtaazlnWms5Z1prOWdaazlnWms5ZzlnOWc5ZzlnWms5Z1prWmtaa1pre29aa1prOWdaazlnWms5Z1prOWdaa1prWms5Z1prOWdaazlnOWc5Z1prOWc5ZzlnWms5ZzlnOWdaazlnWmtaa1prOWc5ZzlnWms5ZzlnOWc5ZzlnOWc5ZzlnOWc5ZzlnAAB7b1pre29aa3tvWmt7b1pre29aa3tvWmt7b3tve29aa3tvWmt7b1pre29aa1prWmt7b1pre29aa3tvWmt7b1pre29aa1prWmt7b1prWmtaa1prWmtaa1pre29aa3tvWmtaa1prWmtaa1prWmtaazlnWmtaa1prWmtaa1prWmtaa3tvWmt7b1pre29aa3tvWmt7b3tve297b3tvWmt7b1pre29aa3tvWmt7b1pre29aa3tvWmtaa1pre29aa1prWmtaazlnWms5Z1prWmtaa1prWmtaa3tvWmt7b1prWmtaa1prWmtaa1prWmtaa1prWmtaa1prWmtaa1prWmtaa1prWmtaa1prWmt7b1prWmtaa1prWmtaazlnWmtaa1prWmtaa1prWmtaa3tvWmtaa1pre29aa1prWmtaa1prWmtaa1prWmtaa1prWms5Z1prOWdaa1prWmtaa3tvWmtaazlnWms5Z1prWmtaa1prWmtaa1prWmtaa1prWmtaa1prOWdaazlnWms5Z1prWmtaa1pre29aa1prOWdaazlnWms5Z1prOWdaa1pre29aa1prWmtaazlnOWc5Z1prOWdaazlnWms5Z1prOWdaa1prWms5Z3tvWmtaazlnWms5Z1prOWdaazlnWms5Z1prOWdaazlnWmsAAFprWmtaa3tvWmt7b1pre29aa1prWmt7b1pre29aa3tvWmt7b1prWmtaa1prWmtaa1prWmtaa3tvWmtaa1prWmtaa1prWmtaa1prWmtaa1prWmtaa1prWmtaa1prWmtaa1prWmtaa1prWmtaa1prWms5Z1prWmtaa1prWmtaa1prWmtaa1pre29aa1prWmt7b1pre29aa3tvWmt7b1pre29aa1prWmt7b1prWmtaa1prWmtaa1prWmtaa1prWmtaazlnWms5Z1prOWdaa1prWmtaa3tve297b1prWmtaa1prWmtaa1prWmtaa1prWmtaa1prWmtaa1prWmtaa1prWms5Z1prWmtaa1prWmtaa1prWmtaa1prWms5Z1prWmtaazlnWmtaa1prWmtaa1prWms5Z1prWmtaa1prWmtaa1prWmtaa1prWms5Z1prOWc5ZzlnWms5Z1prWmtaazlnWms5Z1prOWdaazlnWms5Z1prOWdaazlnWms5Z1prOWdaazlnOWc5Z1prOWdaa1prWmtaa1prWmtaazlnWms5Z1prOWdaa1prWmtaa1prWmtaazlnOWc5ZzlnOWdaazlnWms5Z1prOWdaazlnOWc5Z1prWmtaazlnWms5ZzlnOWc5ZzlnOWc5ZzlnOWc5ZzlnOWc5ZwAAe29aa3tve297b1pre29aa3tvWmt7b3tve29aa3tvWmt7b1pre29aa1prWmt7b1pre29aa3tvWmt7b1pre29aa1prWmt7b1prWmtaa3tvWmtaa1pre29aa1prWmt7b1pre29aa3tvWmt7b1prWmtaa1prWmtaa1prWmtaa1prWmt7b1pre29aa3tvWmt7b1pre29aa3tvWmt7b1pre29aa1prWmt7b1pre29aa3tvWmtaa1pre29aa1prWmt7b1prWmtaa1prWmtaa1prWmtaa1pre2+cc3tve29aa1prWmtaa1pre29aa1prWmtaa1prWmtaa1prWmtaa1prWmtaa1prWmt7b1pre29aa1prWmtaa1prWmtaa1prWmtaa1prWmtaa1prWmtaa1prWmtaa1prOWdaa1prWmtaa3tvWmtaa1prWmtaa1prOWdaazlnWmtaa1prWmt7b1prWms5Z1prOWdaa1prWmtaa1prWmtaazlnWmtaa1prWmtaa1prWms5Z1prWmtaa1prWmtaa3tvWmtaa1prWms5Z1prWmtaa1prWmtaa1prOWdaa1prWms5Z1prOWdaa1prWms5Z1prOWdaa1prWms5Z1prWmtaa1prWms5Z1prOWdaazlnWms5Z1prOWdaazlnWms5Z1prAABaa3tvWmt7b1pre29aa1prWmt7b1pre29aa3tvWmtaa1pre29aa1prWmtaa1prWmtaa3tvWmtaa1prWmtaa1prWmtaa1prWmtaa1prWmtaa1prWmtaa1prWmtaa1prWmtaa1prWmtaa1prWms5Z1prOWdaazlnWmtaa1prWmtaa1pre29aa1prWmt7b1prWmtaa3tvWmtaa1pre29aa3tvWmtaa1prWmtaa3tvWmtaa1prWmtaa1prWmtaa1prWmtaa1prWmtaa1prWmtaa1prOWdaa1pre29aa1prOWdaa1prWmtaa1prWmtaazlnWmtaa1prOWdaa1prWms5Z1prWmtaa1prWmtaa1prWmtaa1prWmtaa1prWmtaazlnWmtaa1prWmtaa1prWms5Z1prOWdaazlnWms5Z1prOWdaa1prWms5Z1prOWdaazlnWms5Z1prOWdaa1prWms5ZzlnOWdaazlnWmtaa1prOWdaazlnWms5Z1prOWdaazlnWms5Z1prOWdaa1prWms5Z1prWmtaazlnWms5Z1prOWdaazlnWmtaa1prOWc5ZzlnWms5Z1prOWc5ZzlnWms5Z1prOWdaazlnWms5ZzlnOWdaa1prWms5ZzlnOWdaazlnOWc5ZzlnOWc5ZzlnOWc5ZzlnOWcAAHtvWmt7b1pre29aa3tvWmt7b3tve29aa3tvWmt7b1pre29ba3tvWmtba1pre29aa3tvWmt7b1pre29aa1prWmt7b1prWmtaa3tvWmtaa1prWmtaa1prWmt7b1pre29aa1prWmtaa1prW2taa1prOWdaa1prWmtaa1trWmtba1trfG9ba3tvWmt7b1prem9aa1prWmtba1pre29ba3tvWmt7b1pre29aa3tvWmt7b1pre29aa1prWmt7b1prWmtaa3tvWmt7b1pre29aa1prWmtZa1lrem9aa1prOWdaa1pre29aa1prWmtaa1prWmtaa1prWmtaa1prWmtaa1prWmtaa1pre29aa3tvWmtaa1pre29aa1prWmtaa1prWmtaa1prWmtaa1pre29aa1prWmtaa1prWms5Z1prOWdaazlnWmtaa1prWmtaa1prWms5Z1prWmtaa1pre29aa1prOWdaazlnWmtaa1prWmtaa1prWmtaa1prWmtaa1prWms5Z1prWmtaa1prWmtaa1prWmtaa1prWmtaa1prWmtaa1prWmtaa1prOWc5ZzlnOWc5Z1prOWc5ZzlnWmtaa1prOWdaa1prWmtaa1prOWdaazlnWms5ZzlnOWdaazlnWms5Z1prOWdaazlnWms5Z1prOWdaawAAWWtaa1prem9aa3pvWmt7b1pre29aa3pvWmtaa1prWmtba1tvW2t7b1prW2taa1trWmt7b1prWmt6b3tvOWdaazlnWmtaa1prWmt7b1prOWdZa1prWmtaa1lrWmtZa1prWmtaa1prW2s6Z1prOWdaazlnem97b1prO2s7Z11v2V40StlenXNba1prWWd6b3pvWmt7b1tre29ba1tvWmt7b1pre29aa1prWmtaa1pre29aa1prWmtaa1prWmtaa1prWWtaazlnWms5Z1prWWt6b1lnWWtZa1prWWtaa1prWmtaa1prWmtaa1prWmtaa1prOWdaa1prWms5Z1prWmtaa1prWmtaa1prWmtaa1prWmtaa1prWmtaa1prWmtaa1prWmtaa1prWmtaa1prWmtaa1prWmtaa1prWmtaa1prWms5Z1prOWdaazlnWms5Z1prOWdaazlnWmtaa1prWmtaazlnWmtaa1prWmtaa1prWms5Z1prOWdaazlnWms5Z1prOWc5ZzlnWms5Z1prOWdaazlnWmtaa1prWmtaazlnWms5Z1prOWdaazlnWms5Z1prOWdaazlnWms5Z1prOWc5ZzlnOWc5Z1prOWdaazlnWms5ZzlnOWc5ZzlnOWc5Z1prOWc5ZzlnWms5ZzlnOWdaazlnAABaa1prem9aa3tvWmt7b3tve296b3tvWmt6b1prem9aa3tvW2t7b1trW29ba3tvWms5Z1pre29aa3tvWmtaa3pve29aa3tvWmtaa1pre29aa3pvWmt6b1prWmtZa1prWWt6a1prW2taa1trOmdbazlnWms5Z1prOWd8bxtn2l5vMS0lsTVca3xvnHN6b3pvWWt7b1trfG9ba3tvW2t7b1pre29aa3tvWmt7b1pre29aa1prWmt7b1pre29aa3tvWmtaa1lrWmtZa1prWWt6b1prWmtZa1prWWtaa1prem9aa1prWmt7b1pre29aa1prWmtaa1prWmtaa1prWmtaa1prWmtaa3tvWmtaa1pre29aa1prWmt7b1prWmtaa1prWmtaa1prWmtaa1prWmtaa1prWmtaa1prWmtaa1prWmtaa1prOWdaazlnWms5Z1prWmtaa1prWmtaa1prWmtaazlnWmtaa1prWmtaa1pre29aa1prOWdaa1prWmtaa1prWmtaazlnWmtaa1prWmtaazlnWms5Z1prWmtaa1prWms5Z1prOWdaazlnWms5Z1prWmtaazlnWmtaa1prOWdaazlnOWc5Z1prWmtaa1prWmtaazlnOWdaazlnOWc5Z1prWmtaazlnWms5Z1prOWdaazlnWmsAAFprWmtaa3pvWmt7b1pre29aa3tvWmt6b1prem9aa1prWmtbb1prW2taa1trWmtbazpne29ba1trW2tbazlne29aa1prWmt7b1prWmtaa3tvWmt6b1prWmtZa1prOWdZa1lrWmtaa1prOmdbazpnWmtZa1lrOWc5Z1xvO2t2UqkU6yAtKRpjXGtaa3tvWWt6b1pre29ba1trW2tbb1prWmtaa3tvWmt7b1pre29aa1prWmtaa1prWmtaa1prWmtaa1lrWms5Z1prWWtaa1lrWmtZa1prWWdaa1lrWmtZa1prWmtaa1prWmtaa1prOWdaa1prWms5Z1prWmtaazlnWmtaa1prWmtaa1prWmtaa1prWmtaa1prWmtaa1prOWdaa1prWmtaa1prWmtaa1prWmtaa1prOWdaazlnWms5Z1prOWdaazlnWms5Z1prOWdaa1prWms5Z1prWmtaazlnWms5Z1prOWdaa1prWmtaa1prOWdaazlnWms5Z1prOWdaa1prWms5Z1prWmtaazlnWms5Z1prOWdaa1prWms5Z1prOWdaazlnWmtaa1prOWdaazlnWms5Z1prOWdaazlnOWc5Z1prOWdaazlnWms5Z1prOWdaazlnOWc5ZzlnOWdaazlnWms5ZzlnOWdaazlnOWc5ZwAAe29aa3tvWmt7b3pve296b3tvem97b1pre29aa3pvWmt7b1tre29ba3tvW2tbb1trnHNbaxlj+F5ba1tvW2taa1trOmdba3tvnHNaa3tve297b1prem9aa1prWWtaa1lremtZa1prWmtba1prWms5Z1prWWt7bzlnW2s7Z7hayhhvMS0pXGtbazlnem96b5tze29ba3tvW2t7b1tre29aa3tvWmt7b1pre29aa1prWmtaa1pre29aa3tvWmtaa1prWmtZa1prWWtaa1lrWmtZa1prWWtaa1lrWmtaa1prWmt7b1pre29aa3tvWmtaazlnWmtaa1prWmtaa1prWmtaa1prWmtaa1prWmtaa1prWmtaa1prWmtaa1prWmtaa1prWmtaa1prWmtaa1prWmtaa1prWmtaazlnWmtaa1prOWdaa1prWms5Z1prWmtaa1prWmtaa1prWmt7b1prWms5Z1prWmtaa1prWmtaa1prWmtaa1prWmtaa1prWmtaazlne29aa1prWmt7b1prWms5Z1prWmtaa1prWmtaa1prOWdaazlnWmtaa3tvWmtaazlnWms5Z1prOWdaazlnWms5Z1prOWdaazlnWms5Z1prOWdaazlnWms5Z1prOWdaazlnWms5Z1prOWdaazlnWms5Z1prAABaa3pvWmt7b1pre29aa3tvWmt6b1prem9aa1prWmt6b1prW2taa1trWmtba1trW298b/heEUIRRrdaW2tca1xvW2tbazpre29bb3tvWmtaa1pre29aa1prWWtaa1lrWWtZa1lrWWtaazpnWms6Z1prOGc4Z1prOWcZYztn2FrqHC0lDCU8a51zWmt7b1lnem9aa1trW2tba1prW2taa1prWmtaa1pre29aa1prWmtaa1prWmtaa1prWmtaa1prWms5Z1lrOWdaazlnWmtZa1prOWdaa1lrWmtZa1prWWtaa1prWmtaa3tvWmtaazlnWms5Z1prWmtaazlnWmtaa1prWmtaa1prWmtaa1prWmtaa1prWmtaa1prWmtaa1prWmtaa1prWmtaa1prWmtaa1prOWdaazlnWms5Z1prOWdaazlnWms5Z1prOWdaa1prWms5Z1prOWdaa1prWmtaa1prOWdaa1prWms5Z1prOWdaazlnWms5Z1prOWdaazlnWms5Z1prOWdaa1prWms5Z1prOWdaazlnWms5Z1prOWdaazlnOWc5Z1prWmtaazlnWms5ZzlnOWdaazlnOWc5ZzlnOWdaazlnWms5Z1prOWdaazlnWms5Z1prOWc5ZzlnWms5ZzlnOWdaazlnOWc5Z1prOWcAAHtvWmt7b3pve296b3tvem97b1pre29aa3tvWmt7b1pre29aa3tvWmt7b1tre29ba1trlVKvOY4xdE4aY1xvfG99b3xvfG9aa1trW2t8b1pre29aa3tvWmt6b1lrem9Za1lrWWtaa1prW2taa1trWmt6bzhnWms5Z1trW2vYXocUDCVNKVxrfXN7b3pvWmtaa3pvWmt7b1trW29ba3tvWmt7b1pre29aa3tvWmtaa1prWmtaa3tvWmt7b1pre29aa1prWWdaa1prWmtZa1prWWtaa1lrWmtaa1prWmt6b1pre29aa3tvWmt7b1prWmtaa1prWmtaa1prWmtaa1prWmtaa1prWmtaa1prWmtaa1prWmtaa1prWmtaa1pre29aa1prWmtaa1prWmtaa1prWmtaazlnWmtaa1prWmtaa1prWmtaa1prWmtaa1prWmtaa1prWmtaa1prWmtaa1prOWdaa1prWmtaa1prWmtaazlnWms5Z1prWmtaa1prWmtaa1prOWdaa1prWmtaa1prWmtaazlnWmtaa1prOWdaa1prWms5Z1prWmtaa1prWmtaa1prOWdaazlnWms5Z1prOWdaazlnWmtaa1prOWdaazlnWmtaa1prOWc5ZzlnWms5Z1prOWdaazlnWms5Z1prOWdaawAAWmt7b1pre29aa3tvWmt7b1prem9aa3pvWmt6b1prem9aa1prWmtaa1prW29ba1tvOmf4XjNKEkJUSpZSllK4WvheW2t8b1trOmdbb1tvW2taa1prWmtaa1lrem9Za3prWGtZa1lnWms6a1trOmdaa3tvOGdZa3pvWmtba7dahxQsJdI5O2dca1prWWtZa3pvWmtba1prW2taa1trWmtaa1pre29aa1prWmtaa1prWmtaa1prWmtaa1prWmtaa1prOWdZazlnWmtaa1prOWdaa1prWms5Z1prWWtaa1lrWmtaa1prWmtaa1prWmtaa1prWmtaazlnWmtaa1prOWdaa1prWms5Z1prWmtaazlnWmtaa1prOWdaa1prWmtaa1prWmtaa1prWmtaa1prWmtaazlnWms5Z1prWmtaa1prWms5Z1prOWdaazlnWmtaa1prWmtaazlnWmtaa1prOWdaazlnWms5Z1prOWdaazlnOWc5Z1prOWdaazlnWms5Z1prOWdaazlnWmtaa3tvWmtaazlnWms5Z1prOWdaazlnWms5Z1prOWdaa1prWmtaa1prOWdaazlnOWc5ZzlnOWc5ZzlnOWc5Z1prOWdaazlnWms5Z1prOWdaazlnOWc5Z1prOWdaazlnOWc5Z1prOWc5ZzlnAAB7b3tve296b3tvem97b3pve29aa3pvWmt7b1pre29aa3pvWmt7b1pre29ba3tvW2tba1trO2e3WnVS8kGwObA5VEr5Yp1zXG9ba3xvfG86a1trWmtba1pre29aa3tvemtZa1lrWmtaa1trWmtba1prem8XY3pvem9aaxlj2F7IGOsg8j08a1xrnHNZa3pvWWd6b1prW2tba1tvW2tba1pre29aa1prWmtaa1prWmtaa1prWmt7b1pre29aa1prWmtZa1lnWmtZa1prWmtaazpnW2taa1prWmtaa1premtZa1prWmtaa1pre29aa1prWmtaa1prWmtaa1prWmtaa1prWmtaa1prWmtaa1prWmtaa1prWmtaa1prWmtaa1prWmtaa1prWmtaa1prWmtaa1prWmtaa1prWmt7b1pre29aa1prWmtaazlnWmtaa1prWmtaa1prWmtaa3tvWmtaazlnWmtaa1prWmtaa1prWms5Z1prWmtaa1prWmtaa1prOWdaa1prWmtaa3tve297b1prWmtaa1prOWdaazlnWms5Z1prWmtaazlnWmtaa1prWmtaazlnWms5Z1prOWc5ZzlnOWc5Z1prOWdaa1prWmtaa1prWmtaazlnWms5Z1prOWdaazlnWms5Z1prOWdaazlnOWcAAFprem9aa3tvWmt6b1pre29aa3pvWmt7b1prWmtaa1prWWdaa1prem9aa1trW2t8bzprW2s7Zztn2FpUTo81KyVtLdA5VE4ZYztrW2s6a1trOmtba1tve29aa1prWmtaa1lreWtZa1prWmtbazpnOms5Z1prOGd6bxhjOWfXWskcDCWxOVxrfG9aa3pvemt6a1pre29ba1tvW2t7b1trWmtaa1prWmt7b1prWmtaa1prWmtaa1prWms5Z1prWmt6bzlnWWc5Z1prOmdba1prW2s5Z1trOmdaa1prWmtZZ5tzWWtaa1prWmtaa1prWmtaazlnWmtaa1prOWdaa1prWms5Z1prWmtaa1prWms5Z1prOWdaa1prWmtaa1prWmtaazlnWms5Z1prOWdaazlnWms5ZzlnOWdaa1prWms5Z1prOWdaazlnWmtaa1prWmtaa1prWmtaa1prOWdaa1prWms5ZzlnOWdaazlnWms5Z1prOWdaa1pre29aa1prOWc5ZzlnWmtaa1prWmtaa1prWms5Z1prOWdaazlnWms5Z1prOWdaazlnWms5Z1prOWdaaxhjOWc5ZzlnOWc5ZzlnWms5ZzlnOWdaazlnWms5Z1prOWdaazlnWms5ZzlnOWc5ZzlnWms5ZzlnOWc5ZzlnWmsYYwAAe29aa3tvem97b1pre296b3tvWmt7b3pve29aa3pvWmtaa1pre29aa3tvWmt7b1tvfG9ca3xvXGs7a9hedVISQislTC2uNc85dE4ZY3xvOmc6Z3tvfG86Z1trnXedczlnem96a1prWmt8bztnOmd8b1prWmtZa3pvOWc6Z/he6RwsJZA1fW98b3tvWmt6b1pre29aa3tvW2t7b1tve29aa1prWmt7b1pre29aa3tvWmt7b1pre29aa1prWmt7b1prWmtZa1prWmtaa1prW2tba1trW2tba1pre29aa1prWWtaa1prWmtaa1prWmt7b1prWmtaa1prWmtaa1prWmtaa1prWmtaa1prWmtaa1prWmtaa1prWmtaa3tvWmtaa1prWmtaa1prWmtaazlnWmtaa1prOWdaa1prWmtaa1prWmtaa1prWmtaa1prWmtaa1prWmtaa1prWmtaa1pre29aa1prWmtaa1prWmtaa1prWmtaazlnWmtaa3tvWmtaazlnWmtaa1prWmtaa1prWmtaa1prWmtaa1prWmtaa1prWmtaa1prWmtaa1prWmtaa1prWms5Z1prWmtaazlnWms5Z1prOWdaa1prWms5Z1prOWdaazlnWms5Z1prOWdaazlnWms5Z1prOWdaazlnWms5ZzlnAABaa3pvWmt6b1prem9aa3pvWmt6b1prem9aa3pvWmtaa1lremtaa3prWmtaa1pre29ba1trOmtba1trW2v5YvheU0quNSolTC2NMdA9VE4aY31vOmcZY3xvfG86ZzpnfG84Z3pvOWdba3xv+V6VUhpjOmt8bzlne285Z1pr+F4KIesgkDVca3xvWmt6b1lremtaa1trOmtba1trW29aa1prWmtaa1prWmtaa3tvWmtaa1pre29aa1prWmtaa1prWmtZa1prWWtaazpnWms6Z1trW2tbazpnOmtaa3pvWWtZazlnWms5Z1prWmtaa1prWms5Z1prWmtaa1prWms5Z1prOWdaa1prWmtaa1prOWdaazlnWms5Z1prWmtaa1prWmtaa1prOWdaazlnWms5Z1prOWdaazlnWms5Z1prOWdaa1prWmtaa1prWmtaazlnWms5Z1prOWdaa1prWmtaa1prWmtaa1prWmtaa1prWmtaazlnWms5Z1prWmtaazlnWmtaa1prWmtaa1prWmtaa1prWmtaazlnWmtaa1prOWdaazlnWms5Z1prOWdaazlnWmtaa1prWmtaazlnOWc5ZzlnOWdaazlnWms5Z1prOWc5ZzlnWms5ZzlnOWc5ZzlnOWc5Z1prOWc5ZzlnWms5Z1prOWcAAHtvWmt7b1pre29aa3tvWmt7b1pre29aa3tvWmt6b1prem9aa3pvWmt6b1pre29ba3tvWms6azpnW2taa1prOmcZYxljtlaNNSspbTHQOa81dE4aY31vOmc7Z31vnXM6Z3tvnHN7b1trO2sSQkwp0Dlba3xve297b1trWmv4Xisl6yBvMVxrfG97b1lremtaa3tvWmtba1tre29ba3tvWmtaa1prWmtaa3tve297b1pre29aa3tvWmtaa1prWmtZa1prWWt6a1prW2s6Z1xrW2t8b1trW2taa1prWmt7b1lrWmtaa1prWmtaa1prWmtaa1prWmtaa1pre29aa1prOWdaa1prWmtaa1prWmtaa1prWmtaa1prWmtaa1prWmtaa1prWmtaa1prWmtaa1prOWdaa1prWmtaa1prWmtaazlnWmtaa1prWmtaa1prWms5Z1prWmtaa1pre29aa1prWmt7b1pre29aa3tvWmtaa1prWmtaa1prWmtaa1prWmtaa1prWmtaa1pre29aa1prWmt7b1prWmtaa1prWmtaa1prWmtaa1prWmtaa1prWmtaa1prWmtaa1prWms5Z1prOWd7b1prWmtaa1prOWdaazlnWms5Z1prOWdaazlnWms5Z1prOWdaazlnWms5Z1prOWdaawAAWmt6b1prem9aa3pvWmt6b1prWmtaa3tvWmt6b1prem9Za3prWmt6b1lrWmtaa3tvWmtaazlnWmtaa1prWmtaazpnGGP4YjlnlVKuNSspjTFtLY41M0Y7Z31vO2c7Z753OWd7bzpnO2f5XrA1yRhtLflenHNaa3tvWmtaa/hebTHKHE4tGmN8b1prWmtZa3pvWmtaazpnW29ba1trWmt7bzlnWmtaa3tvWmt7b1pre29aa3tvWmtaa1prWmtaa1prOGdZa1lrWms6Z1trO2tca/he+WJba5xzWmtZa1prWWtaa1prWmtaazlnWms5Z1prOWdaa1prWmtaa1prOWdaa1prWmtaa1prWmtaa1prWms5Z1prOWdaazlnWmtaa1prWmtaa1prWms5Z1prOWdaa1prWms5Z1prOWdaazlnWmtaa1prWmtaazlnWms5Z1prOWdaa1prWmtaa1prWmtaa1prWmtaa1prWmtaazlnWms5Z1prOWdaazlnWmtaa1prOWdaa1prWmtaa1prWmtaa1prWmtaa1prWmtaa1prWms5Z1prOWdaazlnWms5Z1prOWdaazlnWms5ZzlnOWdaa1pre29aa1prWmtaazlnWms5Z1prOWdaazlnOWc5ZzlnOWc5ZzlnOWc5ZzlnOWdaazlnAAB6b1pre29aa3pvWmt7b1prem9aa3tvem97b1pre29aa3pvWmt7b3prWmtaa3pvWmt7b1prem9aa3pvWmt6b1prGGNaa3xvGWcZY/helVLQOUspbS2ONY81M0bZWjxn+V5aa1trW2s7a/pi0TksJW4x11p8b3xvW29bazpnGmOwOescLSkaY1tre29aa3pvWmt7b1prW2t8b3xzW2tba3tvWmtaa3tvWmt7b1pre29aa3tvWmt7b1pre29aa1prWWtZazlnWmtaa1tvW2tbaztn0DnQPddafHN7b1lrem9Za3pvWmt7b1prWmtaa1prWmtaa1prWmtaa1prWmtaa1pre29aa1prWmtaa1pre29aa1prWmtaa1prWms5Z1prWmtaa1prWmtaa1prWmtaa1prWmtaa1prWmtaazlnWmtaa1prWmtaa1prWmtaa1prWmtaa1prWmtaa1prWmtaa1prWmtaa1prWmtaazlnWms5Z1prOWdaa1prWmtaa3tvWmtaa1prWmtaa1prWmtaa1pre29aa3tvWmtaa1prWmtaa1prWmtaa1prWmtaa1prWms5ZzlnWms5Z1prOWdaa1pre29aa3tvWmtaa1prWms5Z1prOWdaazlnWms5Z1prOWdaazlnWms5Z1prOWdaa1prWmsAAFprem9aa1prWmt6b1prWmtaa1prWmt6b1pre29aa3pvWmt6b1prem9Za1prWWt6a1lrWmtZa1prWWt6b1lrWWt7bzpnGGNba1trOmf4XhljdVLxPW0tbjFuMY8x0T11ThljOmc7Z1xr2V7SPQshCyVVTlxrW2t7b1trW2s6ZxNGyhwtJdhaOmdaa3pvWWtaa3pvWmtaa3xzfG97b1pre29aa1prWmtaa1pre29aa1prWmtaa1prWmtaa1prWmtaa1lrWWs4Z1prW2tcaxpj+WLqIAohEkZba3tvWWtaa1prWWtaa1prWmtaa1prWmtaa1prWms5Z1prOWdaa1prWmtaa1prWmtaa1prWmtaa1prWmtaazlnWms5Z1prOWdaa1prWmtaa1prWmtaazlnWms5Z1prOWdaazlnWms5Z1prOWdaazlnWmtaa1prOWdaa1prWmtaa1prWmtaazlnWmtaa1prWmtaazlnWms5ZzlnOWdaazlnWmtaa1prWmtaa1prWmtaa1prWmtaa1prWmtaa1prWmtaazlnWms5Z1prOWdaazlnWms5Z1prOWdaazlnWms5Z1prOWdaazlnWmtaa1prWmtaa1prWms5ZzlnOWdaazlnOWc5ZzlnOWc5ZzlnOWc5ZzlnOWdaazlnWms5ZwAAe29aa3pvWmt7b1prem9aa3pvWmt6b1pre296b3tvWmt7b1pre29aa3pvWWt6a1lre296b3pvWmt6b1prem9Za1lrWmt7b1prOms6ZzpnGWMZY/het1YSQo4xKyVtLY41rjXwPZZS+mL6XhRGkDFNLVRKO2tcb1trfG9ba1tvVE7rIAwl2FoaY3tvem96b1lre29aa3tvnHOdd3tvW2tba3tvWmt7b1pre29aa3tvWmtaa1pre29aa3tvWmtba1prem9Za1lrWmt8b1trGmfYWk0tCiESRltrfG85Z3prWWtaa1prWmtaa3tvWmt7b1pre29aa1prOWdaa1prW2taa3tvWmtaa1prWmtaa3tvWmt7b1prWms5Z1prOWdaazlne29aa1prWmtaa1prWmtaa1prWmtaazlnWmtaa1prWmtaa1prWmtaa1prWmtaa1pre29aa1prWmtaa1prWmtaa3tvWmtaa1prWmtaa1prOWdaazlnWmtaa1prWmtaa1prWmtaa1prWmt7b1prWmtaa1prWmtaa1prWms5Z1prOWdaa1prWmtaa1prWmtaa1pre29aa3tvWmtaazlnWms5Z1prWmtaazlnWms5Z1prOWdaazlnWms5Z1prOWdaazlnWms5ZzlnOWdaazlnWmtaa1prAABaa3pvWmt6b1prem9aa3pvWWtaa1prWmtaa1prWmt6b1prem9aa1prWmtaa1prem9aa3pvWmt6a1lrWmtZa3prWmt7b1prWmtaa1prWmtaazlnOmcYY/helFIRQowxKyULJU0pTimQNdM90j1OLS0lsDU7ZxpjfG98b1lremuUUuogLSkTQn1zW2t7b1lrm29Za3prWmt6b1pre2tba3tvWmtaa1prWmtaa1prWmtaa1prWmtba3tvWmtbazprWmtZa1lrOWdaazprW2saZ/pebzHrIG4tXW86a1lreWtZazlnWmtaa3tvW2t7b3tve29aa1trWmtbazpnWms6Z1prWmtaa1prWmtaa1prWmtaazlnWmtaa1prOWdaa1prWms5Z1prWmtaazlnWmtaa1prOWdaa1prWmtaa1prOWdaa1prWms5Z1prOWdaa1prWmtaa1prWmtaazlnWms5Z1prOWdaazlnWms5Z1prOWdaazlnWmtaa1prOWdaa1prWmtaa1prWmtaazlnWms5Z1prWmtaa1prWms5Z1prOWdaazlnWms5Z1prOWc5ZzlnWms5Z1prOWdaazlnWms5Z1prOWdaazlnWms5Z1prOWdaazlnWms5Z1prOWdaazlnWmsYYzlnOWc5ZxhjOWc5Z1prWmsAAHtvWmt7b1pre29aa3tvWmtaa1prem9aa3pvWmt7b1pre29aa3tvWmt6b1pre296b3tvWmt7b1prWmtaa3pvWmt7b1pre29aa1prWmtaa1prWmtaa3tvWmtaa/de1lqVUjNGE0KxOS0pDCHKHOsc7CBOKXZO2Fpca51zOGNaa7ZWyRwtKTNGXGs6Z3tvWms4Z3pvWWt6b1pre29aa3tvW2tba1pre29aa3tvWmt7b1prW2tba3tvW2t7b1prW2taa1prWWtaazlnW2tbaztn+V6QMcocTi08Z1xrOWd5a1hrWmtaa3tvW2t7b1tre29aa3tvWmtbb1trW2taa1trOmtba1prWmtaa1prWmtaa1prWmtaa1prWmtaa1prWmtaa1prWmtaa1prWmtaa1prWmtaa1prWmtaa1prWmtaa1prWmtaa1prWmtaa1prWmtaa1prWmtaa1prWmtaa1prWmtaa1prWmtaa1prWmtaa1prWmtaa1prWmtaa1prWmtaa1prWmtaa1prWmtaa1prWmt7b1prWmtaa1prOWdaa1prWmtaa1prOWdaazlnWms5Z1prWmtaa1prWms5Z1prOWdaa1prWmtaa1prWmtaa1prWms5Z1prOWdaazlnWms5ZzlnOWdaazlnOWc5Z1prWmtaawAAWmt6b1prem9aa3pvWmt6b1prWmtaa1prWmt6b1prem9aa3pvWmtaa1prem9aa3pvWmt6b1prWmtaa1prWmtaa1prWmtaa1prWmtaa1prWms5ZzlnOWc5ZzlnOWcYYxhj+F75XpZS8j1uLQwlyhjJGOsc0Tk0RhtnXWsaYzpnGWPrIE4p0TldaxljnXM6Z1prWWt6a1lremtaa3trW2tba1pre29aa3tvWmt7b1prWmtaa1trWmtba1prW2taa1prWmtaazlnWmtaa1trGmf6XpA16yAMJfpeW2s5ZzhnWWtZa1trWmtaa1prWmtaa1prWmtaa1prWmtaa1trOmdaa1prWmtaa1prWmtaa1prWmtaa1prOWdaa1prWms5Z1prOWdaazlnWms5Z1prOWdaazlnWms5Z1prWmtaazlnWms5Z1prWmtaa1prWmtaa1prWmtaazlnWmtaa1prOWdaazlnWms5Z1prOWdaazlnWmtaa1prOWdaa1prWms5Z1prWmtaazlnWmtaa1prOWdaa1prWms5Z1prOWdaazlnWms5Z1prOWdaazlnWms5Z1prOWdaazlnWms5Z1prOWdaazlnWms5Z1prOWdaazlnWms5Z1prOWc5ZzlnOWc5ZzlnOWc5ZzlnOWc5ZzlnOWdaazlnAAB7b3pve29aa3tvem97b1pre29aa3pvWmt7b1pre29aa3tvWmt7b1pre29aa3tvWmt7b1prem9aa3pvWmt6b1pre29aa1prWmt7b1pre29aa3tvWmtaazlnWms5ZzlnGGNaazlnOmf4XthaVUqQNakUVkqxNS0pkTWYUhtjPGe4VpA1LSmQNV1vXGt8bzpne296b1premtaa3tvWmt7a1tre29aa3tvWmt7b1pre29aa3tvWmt7b1pre29aa1trWmtaa1prWms5Z1trW2s7Z/pi8j0MJQwll1Z9bzpnWWtZa3pvWmtaa1pre29aa1prWmt7b1prWmtaa1trWmtaa1prWmtaa1prWmtaa1prWmtaa1prWmtaa1prWmtaa1prWmtaa1prWms5Z1prWmtaazlnWmtaa1prWmtaa1prWmtaa1prWmt7b1pre29aa1prWmtaa1prWmtaa1prWmtaa1prWmtaa1prWmtaa1prWmtaa1prWmtaa1prWmtaa1prWmtaa1prWmtaa1prWmtaa1prWmtaa1prOWdaazlnWms5Z1prWmtaazlnWms5Z1prOWdaa1prWms5Z1prOWdaazlnWmtaa1prWmtaa1prWmtaa1prOWc5ZzlnOWc5ZzlnOWdaazlnWms5Z1prOWdaazlnWmsAAFprem9aa3tvWmt6b1pre29aa3pvWmt6b1prem9aa3pvWmt6b1prem9aa3pvWmt6b1prem9aa1prWWtaa1prWmtaa1prWmtaa1prWmtaa1prWmtaa1prWmtaa1prWmtaa1hnN2c4YzlnGWP5XhNC6yBvLdM9V0rUPQ0lcC3TPTZKkTENIU4pPGc8Z31vGWNba1prWmtaa1prWmtaa1prW2taa3tvWmt7b1pre29aa3tvWmtaa1prWmtaa1prWmtaazlnWmtZa1prOmdbazpnG2MTQk4p6hw0RlxrWmtZZ3pvWWtaa1prWmtaa1prOWdaa1prWmtaa1prWmtaa1prWmtaa1prWmtaa1prWmtaa1prOWdaa1prWms5Z1prWmtaazlnWms5Z1prOWdaazlnWms5Z1prWmtaa1prWms5Z1prOWdaa1pre29aa3tvWmtaa1prWmtaa1prOWdaazlnWms5Z1prOWdaazlnWms5Z1prOWdaa1prWms5Z1prWmtaazlnWmtaa1prOWdaa1prWms5Z1prOWdaazlnWms5Z1prOWdaazlnWms5ZzlnOWdaazlnWms5Z1prOWc5ZzlnWms5Z1prOWdaazlnWms5Z1prOWc5ZzlnOWc5ZzlnOWc5ZzlnOWc5ZzlnOWc5ZzlnOWc5ZwAAe296b3tvem97b3pve296b3tvWmt7b3pve29aa3tvWmt6b1pre296b3tvWmt7b1pre29aa3tvWmtaa1prem9aa3tvWmt7b1prWmtaa3tvWms5ZzlnWmtaa1prOWdaa1lnWGs3Z3lvWWsZY/heVUoMIQ0lkjW6VvVBDyVQLVAtDiUOJcscTy13UvpifW+dc1trW2taa1trWmtba1prW2taa3tvWmt7b1pre29aa3tvWmt7b1prem9aa1prWmt6b1prWmtaa1prWWtaa1prW2saY1VOjzHqHI81O2s6a1prWWt6a1prem9aa1prWmtaa1prWmtaa1prWmtaa1lremtaa1prWmtaa1prWmtaa1prWmtaa1prWmtaa1prWmtaa1prWmtaa1prWmtaa1prWmtaa1prWmtaa1prWmtaa1prWmtaa1prWmtaa3tvWmt7b1prWmtaa1prWmtaa1prWmtaa1prWmtaa1prWmtaa1prWmtaa1prWmtaa1prWmtaa1prWmtaa1prWmtaa1prWmtaa1prOWdaazlnWms5Z1prWmtaa1prWms5Z1prOWdaazlnWms5Z1prOWdaazlnWms5Z1prWmtaa1prWmtaa1prWmtaazlnWms5ZzlnOWc5ZzlnWms5ZzlnOWdaazlnWms5Z1prAABaa3tvWmt7b1pre29aa3tvWmt7b1prem9aa3pvWmtaa1prem9aa3pvWmt6b1prWmtaa3pvWmtaa1prWmtaa1prWmt7b1prWmtaa1prWmtaa1pre29aa3tvWmtaazlnWmtYZ1hrmm+bbxljGmNVSgwhDSWzOdxe9UGKFA4lLymzOS8pzBwNJbE1NUbYWlxrW2s6Z1trOmdaa1pnW2s6Z1prWmtba1prW2taa1prWmtaa1prem9Za1prWWtaa1lrWms5Z1prWWtZazlnW2s6Zxtnl1LSPckYLCkZY1trWmtZa1lrWmtaa1prWmtaa1prWmtaa1prWWtaa1lrWmtZa1prWWtaa1prWmtaa1prWmtaa1prWms5Z1prWmtaazlnWmtaa1prWmtaa1prWmtaa1prOWdaazlnWmtaa1prOWdaazlnWms5Z1prWmtaa1prWmtaa1prOWdaa1prWms5Z1prOWdaazlnWms5Z1prOWdaa1prWms5Z1prWmtaazlnWms5Z1prOWdaa1prWmtaa1prOWdaazlnOWc5Z1prOWdaazlnWms5Z1prOWdaazlnWms5Z1prOWc5ZzlnWms5ZzlnOWdaazlnWms5Z1prOWdaazlnOWc5ZzlnOWc5ZzlnOWc5Z1prOWc5ZzlnWms5ZzlnOWcAAHtvem97b3pve296b3tvem97b3pve29aa3tvWmt7b1prem9aa3tvem97b3pvem9aa3tvWmt6b1prem9aa3pvWmt7b1pre29aa3tvWmtaa1prWmtaa1prWmtaa1pre296b5pvOGd5a1lrOmc7Z5dSCyENJZExHmdXTi4lLykOJS4pFkYOJQ0lDCWQMY8xl1L5XlxrW2tba1prW2taa1trWmtba1trW2taa3tvWmtba1pre29aa1prWWtaa1lremtaa1prWmtaa1lnWmtaa1trGmfZWhNC6iAKIRpjW297b1lremtaa3pvWmt7b1prW2taa1trWmtaa1lremtZa1lrWWtaa1prWmtaa1prWmtaa1prWmtaa1prWmtaa1prWmtaa3tvWmtaa1pre29aa1prWmtaa1prWmtaa1prWmtaa1prWmtaa1prOWdaa1prWmtaa1prWmtaa1prWmtaa1prWmtaa1prWmtaa1prWmtaa1prWmtaa1prWmtaa1prWmtaa1prWmtaa1prWmtaa1prWmtaazlnWms5Z1prOWdaa1prWmtaa1prOWdaazlnWms5Z1prOWdaazlnWms5Z1prOWdaa1prWmtaa1prWmtaa1prWms5Z1prOWdaazlnOWc5Z1prOWc5ZzlnWms5ZzlnOWdaawAAWmt6b1prem9aa3pvWmt7b3pve296b3tvWmt7b1pre296b3pvWmt7b3tve29aa1prWWtaa1prWmtZa1prWmtaa3tve29aa1prWmtaa1prWmtaa1prWmtaa1prWmtaa1prOWd6azlnWmcaYztnuFZNKQwhTim6Wvte8z2xOZAxby3LHMsc7CCxNRRCTSmOMUwt0DmWUhljOmcZY1tre2t8bxljWmt7b3xvW2taa1pre29aa1prWmtaazlnWWtZa1prOWdaa1lrWms5Z1prOmc7axtn8kHKHAsldU5bazlne28YY5xzGGN7b1trGGN8bzprOms5Z1prem84Z1lrWWt6a1lrWmtaa1prWmtaa1prWmtaa1prOWdaazlnWmtaa1prWmtaa1prWms5Z1prWmtaazlnWmtaa1prWmtaazlnOWc5Z1prOWdaazlnWmtaa1prWmtaa1prWms5Z1prOWdaazlnWms5Z1prOWdaazlnWmtaa1prOWdaazlnWmtaa1prOWdaa1prWms5Z1prWmt7bzlnWms5Z1prOWdaazlnWms5Z1prOWdaazlnWms5Z1prOWdaazlnWms5ZzlnOWc5ZzlnOWc5Z1prOWc5ZzlnWms5Z1prOWdaazlnOWc5ZzlnOWc5ZzlnWms5ZzlnOWc5ZzlnAAB7b1pre29aa3tvWmt7b3tve297b3tve297b3pve296b3tvem97b3pvm3N7b3tvWmtaa1prem9aa1prWmt6b1pre297b3tvWmtaa1prWmtaa1prWmt7b1pre29aa1prWmtaa1trW2s7ZztnO2fZWk4tDCVNKdpePGu3VpZSllJUSuscDSXrHOscuFb6XlVK8T2OMW0trjUyRvheOWc6ZxljnnNbazpnGWNba1trfG9ba1trWmt7b1prWms5ZzlnOGdaa1lrWmtZa1prOWdbaztnO2c0Rgsh6hwzRltrW29aa3tve28YY1prWms6a1trfG97b1prnHN6b1lrWWt5b1lrWmtaa1prWmtaa1prWmtaa1prWmtaa1prWmtaa1prWmt7b1prWmtaa1prWmtaa1prWms5Z1prOWc5Zzlne297b1prOWdaa1prWmtaa1prWmtaa1prWmtaa1prWmtaa1prWmtaa1prWmtaa1prWmtaa1prWmtaa1prWmtaa1prWmtaa1prWmtaa1prWmt7b1prWmtaa1prWmtaa1prWmtaa1prOWdaazlnWms5Z1prWmtaazlnWms5Z1prOWdaazlnWms5Z1prOWdaazlnWms5Z1prWmtaa1prWms5Z1prOWdaazlnWmtaa1prOWdaazlnWmsAAFprem9aa3pvWmt7b1pre296b3tvem97b3pve29aa3tve297b1prem97b3tvWmtaa1prWmtaa1prWmtaa1prWmtaa3tvWmtaa1prWmtaa1prWmtaa1prWmtaa1prWmtaazpnW2s6ZztrG2M8Z9lajzHrIE0tt1Z9bxljGWP4Xtdabi3rHMoYDCG4Vn5v2VoaY5ZS8T1MKWwtjTGuNRFCtlbYXhpjO2dcb1trW2s6Zzpne297bzpnOWcZYzlnWmucczlnWmtZZ1lrWWtaazpnO2saY5dS6hzJGI81XGtbazpne29bazlnW286Z/he8UF0Tjpne29ba1prWWt5a1lrWWtZa1prWmtaa1prWmtaa1prWmtaazlnWms5Z1prOWdaa1prWms5Z1prOWdaa1prWmtaa1prWmtaazlnOWc5Z3tvOWdaazlnWms5Z1prOWdaa1prWms5Z1prWmtaazlnWms5Z1prOWdaazlnWms5Z1prWmtaazlnWms5Z1prOWdaa1prWms5Z1prOWdaazlnWms5Z1prOWdaazlnWms5Z1prOWdaazlnOWc5Z1prOWdaazlnWms5Z1prOWdaazlnOWc5Z1prOWdaazlnWms5Z1prWmtaazlnWms5Z1prOWdaazlnWms5Z1prOWdaazlnOWc5ZwAAe29aa3tvWmt7b3pve296b3tve297b3pve296b3tvWmt7b3pve29aa3tve297b1prem9aa3pvWmt6b1prem9aa3tvWmt7b1pre29aa3tvWmt7b1pre29aa3tvWmtaa1prW2tbaztnO2c7Zztn+l7ROeogTCl1TnxvW2taazln9152Uuoc6hxuLRNC2Vp9b35vXGv5XrdWdU7xPUwpbC2uNa81EkK3VhpjO2s7a1xvfG86Zzpre297b3xvWmtaazlnWmtZa1prWWtaa1lrWms7Zztnl1brIMkcTS0aY3xvOmdbb1pre298b1tr8D0JIQoh+WJba1trOWd6a1lrem9Za3prWmtaa1prWmtaa1prWmtaa1prWmtaa1prWmtaa1prWmtaa1prOWdaa1prWmtaa1prWmtaazlnWmtaa1prWmtaa1prWmtaa1prWmtaa1prWmtaa1prWmtaa1prWmtaa1prWmtaa1prWmtaa1prWmtaa1prWmtaa1prWmtaa1pre29aa1prWmtaa1prWmtaa1prWmtaa1prWmtaa1prWmtaa1prWms5Z1prOWdaazlnWmtaa1prOWdaazlnWms5Z1prOWdaazlnWms5Z1prOWdaa1prWms5Z1prOWdaazlnWms5Z1prOWdaazlnWms5Z1prAABaa3pvWmt6b1prem9aa3tvWmt7b3pve29aa3pvWmt7b1pre29aa3pvWmt6b1prem9aa1prWmt6b1prWmtaa3pvWmtaa1prWmtaa1prWmt7b1prWmtaa1prWmtaa1prWms6Z1prOmdbaxpjO2f6YhNGqBQrJfE9fG97a5xzWmtaa/le0T3JHAslTSl1Tn5vXGsaYzpnO2dbaxljtlYSQs85bS1uLW4t0Dk0SthaGmdcb1trXG9ba1tvOmc6ZzlnWms5Z1prWWtaa1lrWmtaa1trGmeXVuocCyELJbdWW2tba1pre287aztn2F7pHOogCiGWUlxrOmdaa1prWWt6b1lrWWtaa1prWmtaa1prWmtaazlnWmtaa1prOWdaa1prWms5Z1prOWdaazlnWms5Z1prOWc5ZxhjOWc5Z1prWmtaazlnWms5Z1prOWdaazlnWms5Z1prWmtaazlnWmtaa1prOWdaazlnWms5Z1prOWdaa1prWms5Z1prOWdaa1prWmtaa1prWmtaazlnWms5Z1prOWdaa1prWms5Z1prWmtaazlnWms5Z1prOWc5ZzlnWms5Z1prOWdaazlnWms5Z1prOWc5ZzlnWms5Z1prOWdaazlnWms5Z1prOWc5ZzlnWms5ZzlnOWc5ZzlnOWc5Z1prOWcAAHtvWmt7b1pre29aa3tve297b3pve296b3tvWmt7b1pre296b3tvWmt6b1pre29aa3pvWmt7b1prem9aa3tvWmt7b1pre29aa3tvWmt7b1prWmtaa3tvWmt7b1prWmtaa3prWWdaa1trOmcaYztnVErIGCslzzlba3xvnG97b1trOmfXWisl6SBtLa81t1Z9b31vXG9caxpjO2dbaztnt1p2UjRG0T1uMW4xrzUSQjNK+V75XjpnOmdba1trfG98b1prWWtaa1lremtZa1prW2s8a5dWLCUMJSslNEpca1tvW2tba1xrOmd1TmYMLClMKXVOfW9cb1tre285Z5pvWWtaa1prWmtaa1prWmtaa1prWmtaa1prWmtaa1prWmtaa1prOWdaa1prWms5Z1prOWecc3tvWms5Z1prWmtaa1prWmtaa1prWmtaazlnWms5Z1prWmtaa1prWmtaa1prWmtaa1prWmtaa1prWmtaa1prWmtaa1prWmtaa1prWmtaa1prWmtaa1prWms5Z1prWmtaa1prWmtaa1prWmtaa1prWmtaa1prOWdaazlnWms5Z1prWmtaa1prWms5Z1prOWdaazlnWmtaa1prWmtaa1prWms5Z1prOWdaazlnWms5Z1prOWdaazlnOWc5Z1prOWdaawAAWmt6b1prem9aa3tvWmt7b1pre29aa3pvWmt7b1prem9aa3tvWmtaa1prWmtaa3pvWmt6b1prem9aa3pvWmt6b1pre29aa1prWmtaa1prWmtaa1prWmtaa1prWmtaa1lrWWtZazhnemsZYxljGmOVUsgYTCmNMVtrW2t8bzlnW2s6ZxljjTErJUspbS2vNRljO2d9b51zfG87Z1trOmcaYxtnPGf6XndS0T2OMU0tbjFtMfE9dE75YjpnW2s6ZzlnOmdaa1lnWWtZa1prWmtbazxr2FpNKQsh6hzxPVtrXG87a1trW2tca7A1hxDqHE0t8kF9b1trW2t7bzlnWWtZa1lrWmtaa1prWmtaa1prWms5Z1prOWdaa1prWms5Z1prOWdaazlnWms5ZzlnOWc5Z/deOWc5Z1prOWc5ZzlnWms5Z1prOWdaazlnWms5ZzlnOWdaazlnWmtaa1prWmtaazlnWms5Z1prOWdaazlnWmtaa1prOWdaazlnWms5Z1prOWdaazlnWms5Z1prOWdaa1prWmtaa1prWmtaa1prWmtaa1prOWdaazlnOWc5ZzlnOWdaazlnWms5Z1prOWdaazlnWms5Z1prOWdaa1prWms5Z1prOWdaazlnWms5Z1prOWdaazlnOWc5ZzlnOWdaazlnAAB7b1pre29aa3tvem97b3pve296b3tvWmt7b1pre29aa3tvem97b1prem9aa3pvem97b1pre29aa3tvWmt7b1pre29aa3tvWmt7b1pre29aa3tvWmt7b1pre29aa1prWWt6b1hrWWt6azlnGWM6Z5ZSyBhMKY4xO2d8b3xve2ucc3xv91rxPekc6RwSQrA1bi0aYztnfW9ca31vXG99b1xrXWs8a11rPGcbY5dWM0bQOU0tTC1tMY41EkJ1UhpjXGtba1prWmtaa3pvWmtba1trfW/5Xo816hzpHK81fW9ba51zOmdca1xrKyXJGOogsDXQOVxrW2s6a3tvOGd7b1lrWmtaa1trWmtbb1prW2taa1prWmtba1prW29aa1prOmtaa1prWms5a1prOmc6Zxlj8D1USvleOmdbazpnWmtaa1prWWtaa1lnWms5Z1prOWdaa1prWmtaa1prWmtaa1prWmtaa1prWmtaa1prWmtaa1prWmtaa1prWmtaa1prWmtaazlnWms5Z1prWmtaa1prWmtaa1prWmtaa1prWmtaa1prWmtaazlnWms5Z1prOWdaa1prWmtaa1prWmtaazlnWms5Z1prOWdaa1prWmtaa1prWmtaazlnWmtaa1prWmtaa1prWms5Z1prOWdaa1prWmsAAFpre29aa3tvWmt7b1pre29aa3tvWmt7b1pre29aa3tvWmtaa1prWmtaa1prWmt6b1prWmtaa3tvWmt6b1prWmtaa1prWWt6b3pve29aa1prWmt6b1prWmtZa1prWWtaa1lrWWs4Z1lrWWs5Z/hi+F5NKQohjzG3Vn1zWmt7b3pvWWs5Z1ROCiHqHPNBkDVOKW4tVU7YWhpjXGt+b11rfnN9b31vW2s7ZzpnO2cZY9dadU5USvE9jzEtKU4tsTUUQvleGWMaYzpnGmM6ZztnXGs7Zxpj0T3pHAohKyVba1trfG9baztn2FqHEAshCyGwNdA5W2tbazpnWmtba3tvW2s6a1prOmtbazprWms6a1prOmtaazprW2s6a1prOmtaazlrWW85azprO2tcbxpjuFYMJeoc0TkbX/peO2NcZxlfWmdZZzlnWms5Z1pnOmdbazpnW2s6a1prOWdaa1lrWms5Z1prWmtaazlnWmtaa1prOWdaazlnWms5Z1prOWdaa1prWmtaa1prWmtaa1prWms5Z1prWmtaa1prWms5Z1prWmtaazlnWms5Z1prOWdaazlnWms5Z1prOWdaazlnWmtaa1prOWc5ZzlnWmtaa1prOWdaazlnWms5Z1prOWdaazlnOWc5ZzlnOWc5ZzlnOWc5ZwAAe29aa3tvWmt7b1pre29aa3tvWmt7b3tve29aa3tve297b1pre29aa3pvWmt7b1prem9aa3tve297b3pve29aa3tvWmtaa1pre297b3tvWmt7b1prem9aa1prWWtaa1prWWtZa1lrWWtZazlnGWP5XrA56hyPNXZOnnNba5tzem96bxhjtlbpHCwlsTlWSrI580FuMU0t8T35XjxnXW+eczpne2+9d3xvW2s6Z1trOmdbaxpn+V6XUjRGsTVwMS0pLCmuNXRO+V5ca1xrXGs7Z1xrGmMSQqcU6RwrJRpjXGt7bzpnXGt1TmYQyRixObdWVEp8b3xvWmd8b1prfG9ba1trOmtbb1prW286a1trOmtbazprW286a1trOmtbbzprOWs5a1pvOmtba1xvPGfaWnAxTynsHE4puVZ+a11nO2M5Y1lrm29ZZzlnOmd7a1trW2taa1trWmtaa1prWmtaa1prWmtaa1prWmtaa1prWmtaa1prWmtaa1prOWdaa1prWmtaa1prWmtaa1prWmtaa1prWmtaa1prWmtaa1prWmtaa1prWmtaa1prOWdaa1prWmtaa1prWmtaazlnWms5Z1prOWc5ZzlnWmtaa1prWmtaazlnWms5Z1prOWdaazlnOWc5Z1prOWc5ZzlnWms5Z1prAABaa3tvWmt7b1pre29aa3tvWmt7b1pre29aa3tvWmt7b1pre29aa1prWmtaa1prWmtaa3tvWmt7b3pve29aa3pvWmtaa1lrWmt6b3tvWmtaa1prem9aa1prWWtaa1lrWms4Z1lrWWtZazlnOWf4YhljE0LJHG4tE0Z9b3xvem+bc3pvOWfXWgohLSVvMdted04MJY8xsDVuMUwp8j3ZWn1vW2ucb3tve297b5tvemtaaxljOmcaYztnG2PZWlVKE0KOMY4xTClNLY4xE0aXVhtjG2M8Z3ZSyRyoGAshVU5ca1trW2tcazNGhxDJGPI9+V63Vn1vW2taa3trW2s6Z1trOmtaazprWms6a1prOms6azprWms6a1prOmtbazprWms4Z1lrOWs6azprXG87Zxtjdk7yOQwh6xiPLZhSPGN9azpjWmc5Z1pnOWNaZzpnW2taZ1prOmdaa1prWms5a1prWmtaazlnWmtaa1prOWdaa1prWms5Z1prOWdaazlnWmtaa1prWmtaa1prWmtaa1prWmtaazlnWms5Z1prOWdaa1prWms5Z1prOWdaazlnWmtaa1prOWdaazlnWms5Z1prOWdaazlnOWc5Z1prWmtaazlnWms5Z1prOWdaazlnWms5Z1prOWc5ZzlnWms5ZzlnOWcAAHtve297b1pre297b3tvWmt7b3tve29aa3tve297b1pre296b3tvWmt6b1prem9aa3tvem97b1pre296b3tvWmt7b1prWmtaa3tvem97b1pre29aa3pvWmtaa1prWmtaa1lrWWt6a1lrWWs5ZzlnGWOWUskYbi3QOXxvfG96b3pvem85ZxljTS0tKS4pXmvbXhRGTS1NLa81rzWOMfJBVU5ba1pre297a5tve297b1lne2taZ1prOmd8bztrGmf5XrdaVErxPW0tTClNKa810Tk1SlZOVk7qHMocyhzSORxnW2s6ZztrjjHJGAwhuFYbYxpjW2tbazpnfG9ba1trW2tba1prW29aa1tvWmtaazlrWm86a1prOmtabzprWms6a1lrWWtabzprW2tba1xrO2c8Z3ZO0TlNJescTil3Tl1nnm86YxljWmd8bzpnOWdaZ1prWmtaa1lrWmtaa1prWmtaa1prWmtaa1prWmtaa1prWmtaa1prWmtaa1prWms5Z3tvWmtaa1prWmtaa1prWmt7b1prWms5Z1prWmtaa1prWmtaa1prOWdaazlnWms5Z1prWmtaa1prWmtaa1prOWdaazlnWms5Z1prWmtaa1prWms5Z1prOWdaazlnWms5Z1prOWdaazlnWms5Z1prOWdaawAAWmt7b1pre29aa3tvWmt7b1pre29aa3tvWmt7b1pre29aa3tvWmt6b1prWmtaa3pvWmtaa1prWmtaa1prWmt6b1prem9aa3pvWmt6b1prem9aa3pvWmtaa1lrWmtZa1prWWtZazlnWWtZa1prGWMZY5dW6hwsJY81GmN8c1prem85Z1pr+F7xQQwlTin7Yj1rHGcSQkwpbS2vNRNG8j1tLfA9lVI5Z5xzem9aa1lrm2+bb5tvWmtaazlnOmc6ZzpnGmMaY/le2Fp1ThNCjzVuLS0lDCUtJYgUqhjLHC4pulp9b31zO2cLIYgQDCX7YlxrO2c7ZzpnWmtaa1trOmd8bzprWmtaa1prOWtaazlnWms5Z1prOWtaazlnWms5a1prOWtab1prWms5Z1prOmdbaxpjG2PyPS0lTiktIS4ld0obYztnO2dbazpnWmc5Z1lnWWdZa1lrWms5Z1prOmtaazlnWmtaa1prOWdaa1prWmtaa1prWmtaazlnWms5Z1prWmtaa1prWmtaa1prWmtaa1prWms5Z1prOWdaa1prWmtaa1prOWdaazlnWms5Z1prOWdaazlnWms5Z1prOWdaazlnWms5Z1prOWdaa1prWms5Z1prOWdaazlnWms5Z1prOWdaazlnWms5Z1prOWdaazlnAAB7b3tve297b3tve297b3tve29aa3tve297b1pre297b3tvWmt7b1pre29aa3tvem96b1prem9aa1prWmt6b1pre29aa3tvWmt6b1pre29aa3tvWmt6b1prWmtZa1prWmt6b1lrWWtZa3pvWms6axlj2V4sKSwljjHYWnxve29Za1lrWmsZZ3VSTSlOKZhSPWv6Xlxr2FpMKccYjjEzRq81KiWNMXROOWOcc5xznHN6b1lrWWt7b3tve296a3tve29ba1trW2s6Zxpj2Fq3VnZOE0JOLQ0lqRTsHOwcDSHTPfpeO2cbZwwlyhwMIRxnXGt9bztnfG9aa1tre2tba1trWmtZa1pvWmtaa1lrWmtZa1prWWtaa1lrWmtZa1prWWtab1prWm9aa1prOWdaazpnOmNbZ9ha8j2QMU8pLiUNIRRCG1+/c1xnGWNaa5xvWWdZa1lrWWtZa1prWmtba1prWmtaa1prWmtaa1prWmtaa1prWmtaa1prWmtaa1prWmt7b1pre29aa1prWmtaa1prWmtaa1prWmtaa1prWmtaa1prWmtaa1prWms5Z1prWmtaa1prWmtaa1prOWdaazlnWmtaa1prWmtaazlnWmtaa1prOWdaazlnWms5Z1prOWdaazlnWms5Z1prOWdaazlnWmsAAFpre29aa3tvWmt7b1pre29aa3tvWmt7b1pre29aa3tvWmt6b1prWmtaa3tvWmt7b1prem9aa1prWmtaa1prem9aa3tvWmtaa1prWmtaa3pvWmt6b1prWmtZa1prWWtaa1prWms5Z1lrWWtaazlnOmf5XtA56RyOMXROfG97b1prWWtaazpnt1qPMW4t80Feb11vXGv5XnROjTEKIW0xllauNWwtbC0yRvhenG97b1prWmt6b3tvm3N6b3prWWdaazlnOmc6Z1trO2c7Zxpj+l4bY7hWFEJwMQ0h7SDtHE8tjzHxPfI9CyEtJU4pHGOfc1xrOmd7b1prOmd8bzpnW2taa1prWWtaa1lrWms5Z1lrWWdZazlnWWtZZ1lrOWdZa1prWms5Z1lrWWtZazlnWWdaZzpnXGv6XtI1sjWSMcwYDCE1RhtjPGcaY1tremtZZ1hnWWtYZ1lrWWtaazprWmtaa1prOWdaa1prWms5Z1prWmtaa1prWmtaa1prOWdaa1prWmtaa1prWmtaazlnWms5Z1prOWdaa1prWms5Z1prWmtaazlnWms5Z1prOWdaa1prWms5Z1prOWdaazlnWms5Z1prWmtaazlnWms5Z1prOWdaazlnWms5Z1prOWdaazlnWms5ZzlnOWdaazlnOWc5ZwAAe297b3tve297b3tve297b3tve297b1pre297b3tvWmt6b1prem9aa3tve297b3tve296b3pvWmt6b1pre296b3tvem97b1prem9aa3pvWmt7b1prem9aa1prWmtaa1prWmtaa3pvWWtaazlnWms6ZxpjEkLqHG4xU0pbb713Wmt7bzlnfG/YWtI9Ti3SOV5vXW87aztrW2vXWq41zznYWrdW8T1MKUwpEkK2VjpnfG98b1tremtaa3pvemubb3tve296a3prWmt7b1trW2s7ZxpjPGf7YhRGLiXsHFApcC2xOW4tLCWIEA0l7CCYVhtjXGsZY3xvOmc6Z3xvO2c6Z1trWmtaa1prWmtZa1prOWdaa1lrWmtZa1prWWtZa1lrW2s5ZzlnWWd6b1lrWWs4Z1lrOWM6Yxpf+lpWStM5cS2qFC4lVko8Z55zW2c5Z1lneWtYa1lrWWtaa1prW2taa1trWmtaa1prWmtaa1prWmt7b1prWmtaa1prWmtaa1pre29aa3tvWmtaa1prWms5Z1prWmtaa1pre29aa1prOWdaa1prWms5Z1prOWdaazlnWmtaa1prWmtaa1prWms5Z1prWmt7b1prWms5Z1prWmtaazlnWms5Z1prOWdaazlnWms5Z1prOWdaazlnWms5Z1prAAB7b3tve297b1pre29aa3tvWmt7b1pre29aa3tvWmt7b1prem9aa3pvWmt6b1pre29aa3tvWmt6b1prem9aa3tvWmt7b3pve29aa3tvWmt6b1prWmtZa1prOWdaa1lrWms5Z1prWWtaa1lrWWs5Zzpr+WKXVqgYbi2uNVxvWmucc1pre29baztnVUotJW8xHGd9b1xrW2tbaxljGWMZYzpnGmO4WjNGrzUrJW0tM0Y7Z1xrfG9ba3tvWmt7a1prWmtZZ3pvemt6b5tve285Z1prO2d9b/pe+17LHMsc7SAvKZhSNUrROcoY7CDsIJAxbjEzRrZWOmd8b5VSVEpca3xvOmc6Z1tvnXNaazlnOWd7b1prWms5ZzlnOGdZa1lrWms6Z1prOWdZazhnWWtZa3lrWWdaZzljOmMbYxxjeE7TOXAtqhTrHDRG+l46Z1prWWc3Y1lrWWt6a1lnWms6Z1prOmdaa1prWms5Z1prOWdaazlnWmtaa1prOWdaa1pre29aa1prWmtaa1prWmtaa1prOWdaa1prWmtaa1prWmtaazlnWmtaa1prOWdaa1prWmtaa1prOWdaazlnWms5Z1prWmtaazlnWms5Z1prOWdaazlnWms5Z1prOWc5ZzlnWms5Z1prOWdaazlnOWc5ZzlnOWcAAHtve297b3tve29aa3tve297b1pre297b3tvWmt7b3tve29aa3tvWmt7b1pre296b3tvem97b1prem9aa3tve297b3pve297b3tvWmt7b1prem9aa3pvWmtaa1prWmtaa1prWmt6b1premtZa1prOmc6Z5dW6RxNKa81O2t8b3tve29aa1trO2eXUk4tbzGXVp5zXG98b3tvOms6Z1trW2s7Zxtj+mJVSq81LCWOMfE9GmMaY1trW2t8b1trfG97b5tvem95a1lnem96a3tve2t8b1trXWvaXuscyxzMHA0l+2L7YphSDSUNJewgFEbxPUwpbS2uNa41jTFMKTNGGmNcbzpnOmc6Z1tvW2tbazprWms5Z1prWmt7b1prWms5Z1prOmdaa1lrWWtYZ3lrWWtZZ1lnW2s6Z1xnPGf6XndOsjWxNaoUCyFVSn1vOmc5Z3tvOWc5Z1lnWmtZa1tvW29aa1prWmtaa1prWmtaa1prWmtaa1prWmtaa1prWmtaa3tvWmt7b1prWmtaa1prWmtaa1prWmtaa1prWmtaa1prWmtaa1prWmtaa1prWmtaa1prWmtaa1prWms5Z1prWmtaa1prWms5Z1prOWdaa1prWms5Z1prWmtaazlnWms5Z1prOWdaazlnWms5Z1prOWdaawAAe297b1pre29aa3tvWmt7b1pre29aa3tvWmt7b1pre29aa3tvWmt6b1pre29aa3tvWmt7b1prem9aa3tvWmt7b1prem9aa3pvWmt7b1prem9aa3pvWmtaa1prWmtZa1prWmtba1premtZa1prOWdaazpnt1rqICsljjUaY1trfG96b3tvOmdba7hasDUtKRNCfW+dc3xve29aa3tvW2t8b1trXGsbZ/lellIzRo4xKyWOMRJCllIaY1trfG87Z1pnWWt6b1lrWWtZa5tve297b3trGmN+bzxnTikuJc0cTym4Vn5z2l5OKescDCG5WpdW0D3QOWwtKiUrJQohLCWXUhpjXGs7ZztnO2dbaxpjOmcZY1tre297bzlnGWMZY1prOWdaazlnWWs5Z1lrWWdZazhnWmtaazpnOmdcaxtj+l6YUm8tLSXKGEwpEkJcazpnOWc6Z1pre29aazlnOWd6b1prWmtaa1prWmtaazlnWms5Z1prOWdaazlnWms5Z1prWmt7b1prWmtaa1prWmtaa1prWmtaa1prWmtaa1prWmtaa1prOWdaa1prWms5Z1prOWdaazlnWms5Z1prOWdaazlnWms5ZzlnOWdaazlnOWc5Z1prOWdaazlnWms5ZzlnOWdaazlnWms5ZzlnOWc5ZzlnAAB7b3tve29aa3tve297b3tve29aa3tvWmt7b3tve297b3tvem97b1pre296b3tvem97b3pve29aa3tvem97b1prWmtaa3pvWmt7b1pre29aa3tvWmt7b1pre29aa1prWmtbb1tre29aa3pvWmtaa1prW2vYWk0t6iCvNddafG97b5tze29ba1tr+mLSPU0pjzVca3xznHNaa3tve297b3tvfG9caztnGmdcaxpjdlLQOa81jjFuLW0t0DlUShljfG96a3tvnHN6b1premt7bzpndE4SQtlePGfTPe0g7iAvKRRGfnMbYy0pyhwMIV5rGmMaZ9dalVKOMUwpLCXrIE4tLCXRPZZS2V5da31vXGs6Z51zO2cZYxljW2t8b3xvWmdaa1prWmtZa1prWWtaazlnWmtaa3tvOmc6ZzpnW2c6Y/pad05NKSwhqBRNKfI9XGtba1trfG9aa1prWWtZazlrWmtaa1prWmtaa1prWms5Z1prWmtaa1prWms5Z1prWmt7b1pre29aa3tvWmt7b1prWmtaa1prWmt7b1prWmtaa1prWmtaa1prWmtaa1prWmtaazlnWms5Z1prWmtaa1prWms5Z1prOWdaazlnWms5Z1prWmtaazlnWms5Z1prOWdaa1prWms5Z1prOWdaazlnWmsAAFpre29aa3tvWmt7b1pre29aa3tvWmt7b1pre29aa3tvWmt6b1prem9aa3pvWmt7b1prem9aa3tvWmt6b1pre285Z1prWmt6b1prWmtaa3pvWmtaa1prem9aa1prWmtaa1prW2taa3pvWWtZa1lrWms7a/herzXpHI4xdVJ8b3xvWmt7b1trXGv6YhRGTS2OMflefG+cc3pvWmt7b1pre285Z3tve2taaxpjOmf5XthaE0LxPY4xTCkrJWwtrzURQvheWmucb3xvOWdbazpn11orJU0p0j0dZ1hOzRzvIA4lsTmecxxnTi3JGCwlXm88Z1xrGmMaZ/JB6hyQNU8tiRQMJU0pLCUMIW4tNEbYVjxnG2Nca1xrfG87ZztnOmdaZ1pnemtaa3prWmdaZzlnWmdaa1trWmdaZzlnWWs4ZzlnOmPZWlRG6hwLIagUbi0TQjxrfW87ZxljOWebc3pvOGc5Z1prWmtaazlnWms5Z1prOWdaazlnWms5Z1prOWdaa1pre29aa3tvWmtaa1prWms5Z1prWmtaa1prWmtaa1prOWdaa1prWms5Z1prWmtaazlnWms5Z1prOWdaa1prWms5Z1prOWc5ZzlnOWc5Z1prOWdaazlnWms5Z1prOWdaazlnWms5Z1prOWc5ZzlnOWc5ZwAAe29aa3tvWmt7b1pre297b3tvWmt7b3tve29aa3tve297b1pre29aa3tvWmt7b3pve29aa3tvem97b1pre29aa1prWmt6b1pre29aa3tvWmtaa1pre29aa3tvWmtaa1prW2tba3tvWmt6b1lrWmtaa1tr+V4TRsgYjjEyRp1zfG96b3tve287azxnVU6wNW4xllZba713em+bc3tvem97b3preWt6b1lnWmtaZ1trGmNba/ledU7QOY4xTClMKUwp8D1TShpjfW99b51zW2tTSskYDCVwMbpW3V7OHDEp7iCQMTtnPGtuLescLSlebzxrfW8aY55zVErqHLI5V07sIA0hby01RhRCby0sJW4tTSnyPXVOG2Nca1xnGmNca3xvWmtZZ3prWmt7a1pnW2s6Z1trWmdaa1lnemtZa3lrWGecb/hat1a3VgshyhjrHAwhNUrZWn1vXGtaa1prem9Ya1prWmtaa1prWmtaa1prWmtaazlnWmtaa1prOWdaa1pre29aa3tvWmt7b1pre29aa1prWmtaa1prWmtaa1prWmtaa1prWmtaa1prWmtaa1prWms5Z1prOWdaa1prWmtaa1prOWdaazlnWms5Z1prOWdaazlnWms5Z1prOWdaa1prWmtaa1prWmtaazlnWms5Z1prAABaa3tvWmtaa1pre29aa3tve297b1pre29aa3tvWmtaa1pre29aa3pvWmt7b1pre29aa3pvWmt7b3pve29aa1prWmt6b1prem9aa3pvWmtaa1lrWmtaa3pvWmtaazlnWms6a1trWmtaa1lrWWs5Z1prOmcZY1RKqBhtMfE9fG98b1prnHNaaztrPGu4VrA1bS0SQjpnnHN6b5tzm3Naa5tzmm94azdneWt7b5tvWms6Z/leOmc6Zztn+F50Tq81TCksJW4tE0bYWhpjnnM7Z/JBiBQtJS4l1DmbVvAkzxytGC0p2FobY24tyhxOKRxnfm9caztnXGuWUsoYTy2aUtQ9DiVwMXhS/GI1RtI5sTVOKS0lLCVNKfI9uFZcazxnOmM4Y1hnOGdaZ1pnW2s6Z1tnO2daazlnWWtZa3lrWGt5azljW2c6Y9hWuFYtJYgQLSXsIPI92V59b1trOWc3Z1lrWWtaa1prWmtaa1prOWdaazlnWmtaa1prWmtaa1prWmtaa1prWmtaa1prWmtaa1prWmtaa1prWmtaa1prWmtaa1prWms5Z1prWmtaazlnWmtaa1prOWdaazlnWms5Z1prWmtaazlnWms5Z1prOWdaazlnWms5Z1prOWdaazlnWmtaa1prOWdaazlnWms5ZzlnOWcAAHtvWmt7b1pre29aa3tve2+cc3tve297b3tvWmt7b1pre296b3tvWmt7b3pve296b3tvWmt7b3pve296b3tvWmt7b3pve29aa3tvWmt6b1prWmtaa3pvWmt7b1prWms5Z1prWmtaa1lremtZa1prOWdbaxljllKnFI4xzzl9c3xve2+bc1trOmd9c9le8T1MKdA5GWOdc1prnHObb1prmnOac3lvmm+ab3pvOGc5Z1trnG9bazpnGWM6Z/he11qWUtE9bS1uLa81NEobZzxnE0IMIXAtkjFRKZxWczERJc4cTy2XVl1rbzHrIC0p+mJ9b31vW2t8b9haLCUNJdxau1qSMQ0hFEI9Z15rPWe5Vk4tsTWxNbE1TiktJU0p0jlUShljGGM6ZzpnW2tba1xrW2dcazpnW2tZZ1lrWGd5a3lvWms6YzpnO2fZWpdSsDWHEAwlCyGwObdWfG9ba1lrWWtaa1prWmtaa1prWWtaazlnWmtaa1prWmtba1prW2taa3tvWmtba1prW2taa1prWmtaa1prWmtaa3tvWmtaa1prWmtaa1prWmtaa1prWmtaa1prWmtaazlnWms5Z1prOWdaa1prWms5Z1prWmtaazlnWms5Z1prOWdaa1prWmtaa1prWmtaa1prWms5Z1prOWdaawAAWmtaa1pre29aa3tve297b3tve297b3tvWmt7b3tve29aa3pvWmt6b1prem9aa3pvWmt6b1prem9aa3pvWmt6b1prWmtaa1prOWdaa1prWmtZa3pvWmt6b1lrWmtaa3tvWWdZa1lrWmtZa1prWmtbaxljO2d1UukcbS3wPRpnfG9ba3tvWmt7b1trOmd2Uk0tsDlVTp93W2t8b5tzWGe7d3pvm3N6b3tvWmtaa1prWmtba3tvWmtbazpnOWcZYzln+F51To4xTSltLfI9d041Rg0hDyXVOZQxrhR8Tq4UECHsHDVGPWexOeocTSk6Z51ze2taazlnGWMrJS0peFIeZ7M1kjFwLV5rG2N2Tgsh6xzsHO0cDiFxLZExcC0tJQwlCyFuMfI9dlLZXlxrXGs8a/liXGt8b3xvWmdaa1pre286Z1pnWmtbazpnOWeVUs85hRBLKSslTCl0TlxrO2dbazpnWms5ZzlnOWd6b3pvWms5Z1prWmtba1prW2taa1trOmdbazprW2s6a1trWmtba1prWmtaa1prWmtaa1prWms5Z1prWmtaa1prWmtaa1prWmtaazlnWms5Z1prOWdaazlnWmtaa1prOWdaazlnWms5Z1prOWc5ZzlnOWc5Z1prWmtaa1prWms5Z1prOWc5ZzlnAAB7b1pre297b3tve2+cc3tve297b3tve297b3tve297b3tvWmt7b1pre29aa3tvWmt7b1pre29aa3tvWmt7b1prem9aa3pvWmtaa1prWmtaa1prWmt7b1prWmtZa1prWmtaa1lrem9aa1prWmtbb1trOms7a7dWCSFtLdA5Gmd8b3xve29aa1pre285Z7dWjjGQNTRGn3c8a3xzm295a5pzm3N7b5xze297b1pre29aa3tvWmt7b1prWms5Z1prOWcYYxlj+FpUSq81LSWPLS4lzBhxLTlGtTVTKbY18BwQIe0g0zlea7E56yBMKVtrnHObb3prWmsZY20xLCVXSh1jmVJvKTVCuFZ9a/E5yhhOKU8pDiHNHM0cLyWSMTZKmVY1Sm8tDCEtKY8xjzETQpZSXGs7ZztnOmdba1trfG97b3tvWmtbazlnOWdaZ1pr916VUmQM6ByvOQohsDV/b11vnXM5Zzpne2+cczlnOGdZa1lrWWtaa1pre29ba1tvW2tba1prW2tba1trWmtbb1trW2taa1trWmtaa1prWmtaa3tvWmt7b1prWmtaa1prOWdaa1prWmtaa1prOWdaa1prWmtaa1prWmtaazlnWmtaa1prOWdaazlnWms5Z1prWmtaa1pre29aa1prWmtaazlnWmsAAFpre29aa3tve297b3tve297b3tve297b1pre29aa3tvWmt6b1prem9aa3pvWmt6b1prem9aa3pvWmt6b1prem9aa1prWmtaa1prWmtZa1prWWtaa1prWmtZa1prWWtaa1lremtZa1prWmtba1prW2s6Z1trt1pMKUsprznYWp1ze2+cc1lre29aazpr11rQOSwpE0Jda1xrW2ubc1hrmnN6b3tve297b1pre29aa3tvWmt7b1prWmtaa1prOWdaazlne286ZxljVErQNU0pqRSqFHEtOEb2PXMtcy2uFBAhzBgvKfxisjWqGE0pGmd8b3tvm3M5Zzln0DksJdM9HWP8XrE18zmXTn9vby3KGBRC2lp4TpI1DiWrGOwgcC30QblW+16YUtI9LSlNKSwpLCVuLa81EkK2VvleOmc6Z1trGmNba1xrfG9ba1trOmc6Z/het1YsJagYTi0tJQ0hd1L6Yltre29aazlne296b3pvWWdZa1lrWmtZa1prWWtaazprW2s6Z1trWmtba1prWmtaa1prWmtaa1prWmtaa1prWmt7b1prWmtaa1prOWdaa1prWms5Z1prOWdaazlnWms5Z1prOWdaazlnWms5Z1prOWdaazlnOWc5Z1prOWdaazlnWms5Z1prOWdaazlnOWc5ZwAAe297b3tve297b3tvnHN7b5xze297b3tve297b3tvWmt7b3pve29aa3tvem97b1pre29aa3tvWmt7b1pre29aa3tvWmt7b3pve29aa3pvWmt6b1pre29aa3tvWmt7b3prem9aa3pvWmt7b1pre29ba1trW2v5Xq41KyWOMZdWfXOcc5xzem96b3tvWmsZYxNGCyXRORxnXGt8b5tzem96b3tve297b3tve297b3tve297b3tve29aa3tvWmtaa1pre29aaxljOmc7Z9haVUotJQ0hLiUWQllKUim1Na4Y7yDuIMwc/V6zOcoYLSk8Z3xve2+bc1prOWdUSgshkTUcYxxjmFJvKblWXmdOKQ0hd05+axxjuVYUQpA1DSUNIewgsjkUQrlaHGf6XjRG0TnROW4tTS1tLW0tjjGuNRFCdE4aZztnXGtca3xvO2c7Z1xrPGv6Xtla0jnLHOwcUC3sIBNC2V59bztnOmd7b5xzWmtaa1lrWWtZa3prWWtaa1lrWmtaa1prWmtaa1prW2taa1trWmtaa1prWmtaa1prWmtaa1prWmtaa1prWmtaa1prWmtaa1prOWdaazlnWms5Z1prWmtaazlnWms5Z1prWmtaazlnWms5Z1prOWdaazlnOWc5Z1prOWdaa1prWms5Z1prAABaa3tve297b3tve297b3tve297b3tve29aa3tvWmt7b1prem9aa3tvWmt6b1pre29aa3pvWmt6b1prem9aa3pvWmt7b3pve296b3tvWmt6b1prWmtaa3pvWmt7b1prem9Za3pvWmt6b1prWmtaa1trOms6a/liEULpHG0tNEqdc3tvnHNaa3tvWmtbaxpndlLrII81uFZ9b1trm3N6b5pvWmt7b1pre29aa3tve297b1pre29aa3tvWmt7b1pre29aa3tvOmd7bztnGmPZWjVGLSUNJdM1HmO0NbQ1ci3OHA8lzRx6UvVBqhhOKTxnfW9aa5xzOWc6Z5ZSLCVOLfteXGs8Z28td06ZUnEt7Bx3ThtjO2c7ZxpjuFZVStI5kTEMJQwhTi01StpeG2P6YhtjdlJVSvE9rzVMKSslKiVMKQohjjHxPXZS2Vq4WpdS+2IcY15rf3PcXlAtzBzuIA4lLSWxNXZOPGtdb1trGWM5Z1lrWWtZa1lrWGtZa1hrWWtZZ1prWWtaa1lrWmtaa1prWmtaa1prWmtaa1prWmtaazlnWmtaa1prWmtaa1prWms5Z1prOWdaazlnOWc5Z1prOWdaazlnWms5ZzlnOWdaazlnWms5ZzlnOWc5ZzlnWmsYY1prOWdaazlnWmtaa1prOWcAAHtve297b3tve297b3tve297b3tve297b3tvWmt7b3tve296b3tvem97b3pve296b3tvWmt7b1pre29aa3tvWmt7b3tve297b3tvem97b3pvWmtaa1prWmt6b1pre29aa3pvWmt6b1prWmtaa1prWmtbazlnOmdUSukcTC0SQn1vfHOcc3tve297b1trXGu3Vk0pbi1VTl1vfG97b5tzem96b1pre297b3tve297b3tve297b3tve297b1pre29aa1prem97b3tvW2saYztnt1JNKS0lsjU/Z7tWLyU4RosQMSnOHPZB9kGrGC4pPGdca3tve29aazpn+V4sJU4puFaec/hadkqyNTdG1DntHHdOfW98b5xzemtba/peuVZXThRG8j1vMQwlkDWXUjxnPGc8Zxtj+l7YWthadU4SQo8xbS1tLW4tjzGwNQshqRgMJTZKmVIeZz9ru1rVPTEpqxTtIOwgcDEURvpePGt9b1tre29aa3prWWtZa1hreWtZa1prWWtaa1lrWmtaa3pvWmtaa1prWmtaa1prWmtba1pre29aa3tvWmtaa1prWms5Z1prOWdaazlnWms5Z1prOWdaazlnWmtaa1prOWdaa1prWms5Z1prOWc5ZzlnWms5ZzlnOWdaazlnWmtaa1prOWdaawAAWmt7b1pre29aa3tvWmt7b1pre29aa3tvWmt7b1pre29aa3tvWmt7b1pre29aa3tvWmt6b1prem9aa3pvWmt6b3pve29aa3pvWmt6b1prem9aa1prOWdaa1pre29aa1prWmt6b1prWmtZa1prOWdaa1trOmcaZ5ZW6BxtLdA5fW97b5xzem+cc3pvW2tba9hejjFNKdE5XGtba3tvem96b1pre29aa3tvWmt7b1pre29aa3tvWmt7b1pre29aa1prWWt6azhnWmtaZ1trW2vYWo8xLCFvLfteHWOzNdM5rBgQJRAlMSn3QWoQLiX6Xlxre2ubb1lnWmsZY0wpLSVVSnxr+Fr6XrE19kH2Qe0cVkp8b3tvWWtYazlnW2scZxxn+2JVSrA1jzFNKU0p0T3ZWl1vnnNdaztnG2M8Z/pi2Fp1TjRKjjFtLW4tCyUtJTVK7BxwLbM5N0q7WrxatTnOHO4g7iTNHA0lsTWYVjtnfW9ba1trWmtZa1lnWWtZZ1lrWWtZa1lnWWtZa1prWWtaa1lrWmtaa1prWmtaa1prWmtaa3tvWmtaa1prWms5Z1prOWdaazlnOWc5ZzlnOWc5ZzlnWms5Z1prOWc5ZzlnWms5Z1prOWc5ZzlnOWc5Z1prOWdaa1prWms5Z1prWmtaazlnAAB7b1pre29aa3tve297b3tve29aa3tvWmt7b3tve297b3tvem97b3pve296b3tvem97b1pre29aa3tvWmt7b1pre296b3pvWmt6b1prem9aa3tvWmtaa1pre297b3tvem97b1prWmtaa1prWWtaazlne28ZZ1trt1rpIG0t0Tldb3xvm3N7b5tze29aa3xv+F7QOSwljzU8a3xve296b1lre297b3tve297b3tve297b3tve297b1pre29aa3tvWmtaa3pvem9aa1prOmd8b/liVUoLIW4td04dY/teLiUvJVItMi3wIBhGqxgvKRxnfW+dc3tvemtaZzpnTCktKRNCe2t7azxnVko4StU9DiHSOXxvem+Zb3hrWWtba11rHGd+bxtnl1bRPY4xTS1uLW4tVEr6Xn5zXWs8a1xrXW87ZztnOmf5XthauFbROW8xNUaxOQ0lDiUvKTApcTG0OXIxUi3uIM4gDyUvKU8pFEb6Yn1vXGtba1prWmtZa1prWWtaa1lrWmtZa3prWmt6a1lrWmtaa1prWmtba1prW2taa1prWmtaa1prWmtaa1prWmtaazlnWms5Z1prOWdaazlnWms5Z1prOWdaazlnWms5Z1prOWc5ZzlnOWc5Z1prOWdaa1prWmtaa1prWmtaazlnWmsAAFpre29aa3tvWmt7b1pre29aa3tvWmt7b1pre297b3tvWmt7b1pre29aa3pvWmtaa1prem9aa3pvWmtaa1pre29aa3pvWmt6b1prWmtaa1prWmtaa1lrWmtaa3tvem97b1pre29aa1prOWdZZzlnWWs6Z1prGWPYXukgTCnROTtnfG97b3tvm3N7b3tvOmcaZ1VOCiFuMXVOO2fee1lrem9aa3tvWmt7b1pre29aa3tvWmt7b1pre29aa3tvWmt6b1lrem9Za3pvWmtbazpnOmfXWkwpLCWwNT1nHGNWSssYECUyKVMx90FqEFAtHGN9b3xvWmucc1trGWPROU0psDVaZ3prO2McYzhKkzFxLS0lGF96b7pzV2eac1prO2dda/peO2c7Zxtjl1ISQm4tKyVNKY81M0b6Xl1rXWs8Z1xrO2dbazpnGmMaY/peE0IsJZAx0z2xNbI5DSUNJasY7SAQJc8cbBSUNbM5kjUuKU4pVUrZXjtrW2s6Z1trW298bzhnWmt6b5tvWWtZazlnWmtaa1prWmtaazlnWmtaa3tvOWdaa1prWms5Z1prWmtaa1prWmtaa1prOWdaazlnWms5Z1prWmtaazlnWms5Z1prOWc5ZzlnWms5ZzlnOWc5ZzlnWms5Z1prOWdaazlnWms5ZwAAe297b3tve297b3tve297b3tvWmt7b3tve297b3tve297b1pre297b3tvem97b3pve29aa3tvWmt6b1pre296b3tvWmt7b1prem9aa3pvWmt6b1prem9aa3tvem97b3pve29aa3tvWmtaa1lrWmtZa1prWms6Z/heTC0LIdE9+V58c3tve297b5tzem9bazpnt1bqII81EkJ8b5xze296b3tve297b3tve297b3tve297b3tve297b3tvWmt7b1prem9Za3pvWm97b1prW2s6Z/le8T0LIdA1+l48Z7lWLinOHHQxMil0Ne4gDiU8Z31vnXNaa713W2saY/JBLCWOMXtrWWedbz1nulb1PVAtLSmVUnpveG94b3pvOWt9bzxrnnc7Z/leGmNcaxpjdU6vNY4xLCUsKa81VU7ZWl1rnnNba3tvnXNba1trGmOXUtE9kDGxNblaVko1Rm8tkDGKFO8kMikQJe8k7iBQLdM90jmpGI812Fpca31vO2c7ZzpnnXNaazhnGGM5Z1pre297b3tvWmtaa1prWmtaa3tvWmtaa1prWmtaa1prWmtaa1prWmtaa1prWmtaazlnWms5Z1prWmtaa1prWms5Z1prOWdaazlnWmtaa1prOWdaazlnWms5Z1prWmtaa1prWmtaa1prAABaa3tvWmt7b1pre29aa3tvWmt7b1pre29aa3tvWmt7b1prem9aa3tvem97b3pve29aa3pvWmt6b1prem9aa3pvWmt6b1prWmtaa1prWmtaa1prWmtaa3pvem97b1prWmtaa1trWmt6b1prem9Za1prWmt7bxljGWOvNckcsDm3Vltre296a3pvem97b1prOmfYWgslbi2wNVxvW297b3pvWmt7b1pre297b3tvWmt7b3tve297b3tve297b1prem9Za1lvWWtab1pre286ZzprGWPXWukc0DV2Tl1r+l7zPWsQlTXvIBAlLykNIRtjfm98b3tvnHN7axpjdk7rHG4tGF9ZZ55zPWf8YnhSLilNKc85em83Z5pzOGdZa5xzO2t8b1trGWM6Z1xrXGv4XrZW8T2vNUwpCyUKIW4xVUo7Z3xvnG9ba1xrfG99b/pellIMJS0pNUY9a9pa2Vp3TrI57iDvIK0cDyVxMVAtTy0NJbA1LSkKIdA52Vqec31vO2sZYzprW2t8b1prWms6Z1trWmtbazlnWms5Z1prWWtaa1prWms5Z1prWmtaazlnWmtaa1prOWdaazlnWms5ZzlnWmtaa1prWms5Z1prOWc5ZzlnOWc5ZzlnOWc5ZzlnOWc5ZzlnOWdaa1prWmtaa1prOWcAAHtve297b3tve297b3tve297b3tve297b3tve297b3tve296b3tve2+bc3tve297b3tvem97b1pre296b3tvWmt7b3pve29aa3tvWmt6b1prem9aa3pvem97b3tve29aa1trW2t7b3pve296a3pvWWt6b1prOWcZYzNKpxSwNVRKfG97b5tzem97b3pve286ZxpjTClMKW4xO2tba5xzWmt7b3tve297b3tve297b1prnHN7b3tve297b1pre29aa3pvWWtaa1lre29aa1trOms6ZxljbS1tLTNGXWs8Z5hSzRwyLRElzhwwKQ0hHGd9b3xve2ucc1trW2v5Xiwlbi2VUlpnnXM7Z15v2l6xOQslbS34Xnpvm3M4Z1prnXc6azpnW2ucc3trOmcZYzpnO2dba5ZS0DlNLW0tTS1uLW0tlVL4Xp1znXN9bztnPGcbZ/I9LCVNKfpePGdda9lauVZ4TpI17CDLHLE1bzGxOU0pTS1NLW4xTS1NKY8xllJ9b31vW2s7azpnW2tba1trOmtbb1prWmtaa1prWmtaa1prWmtaa1prWmtaa1prWmtaa1prWmtaa1prWmtaa1prOWdaa1prWmtaa1prOWdaazlnWms5Z1prOWdaazlnOWc5Z1prOWdaa1prWmtaa1prWmtaawAAWmt7b1pre29aa3tvWmt7b1pre29aa3tvWmt7b1pre296b3tve297b3pve29aa3tvWmt6b1pre29aa3tvWmt6b1prem9aa3pvWmtaa1prem9Za1prWmt7b3pve29aa1prWmtba1tre29aa1prWWtZa1lrWmsZYxpndU6oGG4t8j06Z3tvm2+bb1lrem9aa1tr+F6vNeocjzG3Vn1zW2t7b3tve297b3tve297b1pre29aa3tvWmt7b1prWmtaa1prWWtZb1lrWm9aa1pvWmtbazpnGWMSQisp0Dk8axpj+2JRLc4cUS3uIO0gLikbY1xvW2t7b3tve287ZxtnTi1NKfA9nG9baztnfW8bZ1VOCiFMKVRKnXd7bzlre3N6b1prWmt7b3tve29aa1prOmc6Z/heOmcaY7dW8T1tLSslTS1MLc85U0r5XlxrnnNdazxn2VqQNesgjzFda11rO2c8Z/ti+2JWTo8x0DkzRrdadU7xPa81TCksKQshCyVNLbA5llL5XlxrfW87azpnOmdbb1prW2taa1prOWdaa1lrWms5Z1prWmtaazlnWmtaa1prOWdaazlnWms5Z1prOWdaazlnWmtaa1prOWdaazlnOWc5ZzlnOWc5ZzlnOWc5ZzlnOWdaazlnWms5Z1prOWdaazlnAAB7b3tve297b3tve297b3tve297b3tve297b3tve297b3tve2+bc3tve296b3tvWmt7b1pre297b3tvem97b1pre29aa3tvem97b1pre29aa3pvWmt7b3pve296b3tvWmt7b1tre296b3pvWWtZa1lrem9ZazpnGmO3WgshTSmPNTpne2+cc3tvem96b3tvWmv5YjNG6hyOMVRKnXNba3xve297b5xze297b3tve297b3tvWmt7b1pre29aa3tvWmt6b1lrWm9Za3pvWmtbb1prW2v4XtdaKyWvNfleO2M8ZzdKjBRyMQ8lzBxPLTxnXGucb3tve29aa1xrG2PzPSwlzzWdc1trW2t9bztnGmNMKU0trzWecztrfG+bc3lvWWt7b3pre296a3tvW2tbazpnW2saYxpjGmMaY7dWE0aOMUwpCiELIY81l1IcY15vPWscY5hWby0MIblan3N+c11rGmNba1trGWMZY/heWmv4XvhellZUTvE9jjErJQsh6iAsJdE5uFo7Z11vO2tca1trW2taa1trWmtaa1lremtZa1prWmtaa1prWmtaa1prWmtaa1prWmtaa1prOWdaa1prWmtaa1prWmtaazlnWms5Z1prOWdaazlnWms5Z1prOWdaa1prWmtaa1prOWdaazlnWmsAAFpre29aa3tvWmt7b1pre297b3tvWmt7b1pre29aa3tvWmt7b1pre296b3tvWmt6b1pre29aa3tve297b1prWmtaa3tvWmt6b1prem9aa3pvWmt6b1prWmtaa3tvWmtaa1tre29aa3pvWmt6b1lrem9aa1prGWcaZ7dabjELIW4x+F5aa3tvem9Za3pvWmtbaxljl1bqHG0t8T19bzprfG97b3tve297b3tve29aa3tvWmt7b1prWmtaa3tvWmt6b1pvem9Za1prWmtabzprWms6Zzpn+F6NMW0tllI7Zz1rmlbuIO4gLynsHE8tO2d8b5xznHNaa3trXGsbY3dOLSmOMTpnW2t7a1pnWms7ZxJCCyVOLbhaXW9bb5xzWGt5b1hremt6a3pvWWdaazpnW2sZY1trXGtcaxpj+V63VrdWsDWQNW4tTiktKZE1VkodY7paPmv0QW8xkDEcZxtjO2d7b1lr1lp6b3pvWWtZZ3prF2MZY/hi2F51UhJCTS3qHG4tLSkLIY8xVU4bZ1trW2s6a1trOmtaa1prWmtZa1lrWWtaazlnWmtaa1prOWdaazlnWms5Z1prOWdaazlnWms5Z1prOWdaa1prWms5Z1prWmtaazlnOWc5Z1prOWdaazlnWms5Z1prWmtaazlnWms5ZwAAe297b3tve297b3tve297b3tve297b3tve297b3tvWmt6b1pre29aa3tvem97b3pve296b3tve2+bc3tve29aa3tvem97b1pre29aa3tvWmt7b1prem9aa3tvem97b1prfG9ba3tvWmt7b3pvm296b5tvWWtaaxpj2F7QOQshbi3YWjlne296b3pvem97b1prOmfYWiwlLCXQOVtrW2t8b5xze2+cc3tvnHN7b3tvWmt7b1pre29aa3tve297b3pve3N6b1pvWmtab1prWms5a1prW2sYX885bC1TSnxvXGvbWjApzBguJS4lLik8a3xvvXecc3tve2+dcxpjHGdOLW4tl1Z9b3tvOWdaZ3tvt1bqIC0pFEZ+b3xve295b3lvm3N6a1prWWt6b3pre29aa5xvW2s6ZxpjW2tbaztn+WIaY1VKsDVOLY8xby1PLS4p0jk1RlZOLSluLTRGfm99c3pvm3M4Z3lvWWubc5tvOGdaa1prW2sZZzpnGWO3VjNGLCVNLW4xTSlNKY81llJca1xrW2tba1trW29aa1prWmtaa1prWmtaa1prWmtaa1prWmtaa1prOmdaa1prWmtaa1prOWdaa1prWmtaa1prWmt7b1prWms5Z1prOWdaa1prWms5Z1prWmtaa1prWmtaa1prAABaa3tvWmt7b1pre29aa3tvWmt6b1pre29aa3pvWmt7b3tve29aa3tvWmt7b3pve29aa3tvem97b1pre29aa3pvWmt7b1prem9aa1prWmt6b1prem9aa3tvWmt6b1prWmtba1trWmt7b1prem96b3pvOWd6bzpnOmfZXvJBhxCPNXVSt1qcc5xzWWebc1lre29ba/hejjHpHK81GV98a3xvW2t7b3tve29aa3tvWmt7b1pre29aa3tve297b1pre29aa1prWmtaa1lrWmtZa1prWWs5ZzlnMUaMMa41+F58b/peVk6JFOwg7CAuKRtjnnN8b3xve297bzpnOmfYXlVKTy02Sl1vnXMYY7x39146Z24x6xyRNT1rGmecc5pzWWtZa1prOWdZazlnWmtaa3tvWmtaazpnWms6Z1prOWc6ZxpnGmfYWnVO0DluMUwpTSksKSwlCyEMJQshbzFWTl1vnHNZa3pvnHNZZ1pre2tba1trW2taZ1pnOWM5ZxhjOWf4XjNGbTFMKQslCyVtLfJBuFo7Z1xrO2s7Z3xvW2s6ZzlnWmtaa3tvOWc5Zzpne29aa1prOWc6ZzpnWmtaa1trOWdaazlnWms5Z1prWmtaazlnWms5Z1prOWc5ZzlnOWc5Z1prWmtaa1prWms5ZzlnOWcAAHtvem97b3pve296b3tvem97b1pre296b3tvWmt7b3pve29aa3pvWmt7b3pve29aa3tvem97b3tve296b3tvWmt7b1pre29aa3pvWmt7b1prem9aa3tvem97b1prem9aa3xvW2t7b1tre296b3tvem9Za1prW2s6ZxpjE0apGI8xVErYXp13fG96b3pvemtaa3tr+V7xPekcrzGWUnxrfG98b3tve297b3tve297b3tve297b3tve2+cc3tve29aa1trWmtaa1prWmtZa3prWWtaazhnWWtSSgghbC1SSltrO2eXVgshyhgMIQwl+l5db31zfG+cc3tvW2taaxljdlKRMdQ9Xmtca1prm29ZZzpnE0LrHJAx2l59b1trm3NZa3pvWmtaazlnWmtaa3tvWmt7b1prWmtaa1prWmtaazpnWmsZZzpnGWMZY7dWM0avOY4xLCkLJQsh6iDrINE5llJ8b1prm3N7b3tvfG+cb1pne29ba1trWmtaazlnWWs5Z1pr+GLYXpVS8T0sKQslLCVNLTRGG2ddb1xrO2tca1trW29aa1trWmtaazlnWms6Z1trOmdaazpnWmtaa1trWmtaazlnWmtaa1prWmtaa1prWmtaa1prWmtaazlnWms5Z1prOWdaa1prWmtaa1prOWdaawAAem97b1pre296b3tvWmt7b1pre29aa3tvWmt7b1pre29aa1prWWtaa1pre29aa1prWmt7b1pre296b3tvWmt6b1pre29aa1prWmt6b1prem9aa3tvWmt7b1prem9aa1prW2t7b1prWmtaa3tvWmt6b1lnem86ZztrGmNVTskcjzXQPRpjfG97b3pvem9aa1prW2saYzRG6hxtKRJCOmOdc3tve297b3tve297b1pre297b3tve297b3tve29aa1prWmtba1prWmtZa1prWWtZazlnOGc5Z5RShRQqKWwtW2s8a/pibi2IFOsgDCW4WlxrfG98b3tve29aa3tvOme4WrM5kjX7Ylxre296b1prWmeXUi0pLSlVSn1vWmt5a3lremtaazlnWmtaa3tvWmt7b1prWmtaa1prWmt7b1prWms6Z1trW2t8b1trOmf4XthadVIzRvE90T1uMSwpLCmPNRljfG98b1tre2udc3trWmtaa1trWmtaa1prWmtaa1prWmtbazprW2v5XnVOrzVNKQshLCVuLTNG+V59c1xvO2tba1prOmdaazpre297b3tvWmtaazlnOmc6Z1prOmtaazlnWms5Z1prOWdaazlnWms5Z1prOWdaazlnWms5ZzlnOWdaazlnWmtaa1prOWc5ZzlnAAB7b3tve296b3tve297b3pve296b3tvem97b3pve296b3pvWmtaa1pre297b3tvWmt6b1pre296b3tve297b3pve29aa3tvWmt7b1pre29aa3tvem97b1pre29aa3tvWmt8b1tre29aa3tvem96b1lrem9aa1trOmc7Z5dWLCmPNY81Gmd7b1prm3NZa3tvWmt8bxpjt1IKIUwprzU6Y51vfG97b3tve297b3tve297b5xze297b3tve297b3tvWmt7b1prWmtaa3pvWmtaa1lrOWc5Zzpn1loJIegcbC06Z11vO2fzQWcQDCUtJdlaXW+dc1tve296b3tve29ba/leFUZQLblWXG+cc1prem85ZxpjsTUtJbE1G2dba3pvWWt7b1prWmtaa3tve297b3tve29aa3tvWmt7b3tve29aa3tvW2tbazpnOmc6Z1trXGtcaztnGmPZXrhWM0aPNSslllJca55zW2t8b3xve29ba3tvWmt7a1pre29aa3tvW2tbazpnOmc6a31vXGv5XnVO0DluMW0tTCmOMfE92Fp9c1trW2t7bzprOms6Z1trWmt7b1prWms5Z1prWmtaa1prWmtaa1prOWdaa1prWmtaa1prWmtaazlnWms5Z1prOWdaa1prWmtaa1prWmtaazlnWmsAAHpve296b3tvem97b3pve29aa3tvem97b1pre296b3tvWmtaa1pre296b3tvem97b1prWmtaa3tvWmt7b1pre29aa3pvWmt6b1prem9aa3tvWmt7b1pre29aa3pvWmt7b1tre29ba3tvWmt6b1lrWmtaa1prOmc6Zxpj2F5uLbA1jjEaZ1trWmt6b1lremt7b3trOme4VkwpKyWOMRlfnW97b3tve297b3tve297b3tvWmt7b1pre297b3tve297b1prWmtaa1prWWtaa1lrWms5Z3tvGWMZY885pxhuMdhaPGs8a1VKiBTrHC0pl1Jcb3xve29aa3tvWmtbb1trG2M2RlAtE0J9b3trm29ZZzpnGmNWTi0lbi1VSnxvemt6a1prWmtaa1prWmt7b1pre29aa3tvWmt7b1pre297b3tve29aaxhjOmt7b5xzWmsZYxpnXGtbaztnG2caYzNGTSmPMbhaXWt9b3xve29aa3tvWmt6a1premtaa1trWmtba1prfG97b1trOmdbaztrW2v5YpZS8D2NMSolKymuNTJG+F5ba51znXNba1prOmdaa1prWms5Z1prOWdaa1lrWms5Z1prOWdaazlnWms5Z1prOWdaazlnWms5Z1prOWdaazlnWms5Z1prOWdaazlnWms5ZwAAe297b3tve297b3tve297b3tvem97b3tve296b3tve297b3pve297b5xze2+bc3tvem9aa3tvem97b1pre29aa3tvWmt7b1prem9aa3tvem97b3pve296b3tvWmt7b3tvfG9ba3tvWmt7b1prem9Za3tvWmtbazpnO2f5Xo81bjGvOfhefG96b3pvWWt6b3prfG86Z/lejzFMJY4tGV98b3xve2+cc3tve297b3tve297b1pre297b3tve297b3tve29aa3tvWmt6b1lrWmtaa1pre286ZxljllKnFI81NEZcbztnuFbKHMocLSlVThtnnXNba3tvem9aa1trW28aY1dOcC2wNTtne2+cc3trW2s7Z9lakDUtJbA5O2d8b1pre29aa3tvWmt7b3tve29aa3tvWmt7b1pre297b3tve297b1prWmtaa3tve297bzpnOmdba1trGWM7a1tr11rRPS0l80H6Xn5vvnd8b3tre297b3pre29aa1trWmtba1tre297b3tvW2t7b1trW287Z/liOmd8b/heEUJLKUspbC2uNRJCtlb4XltrfG+cc1tre29aa1prWWtaa1lrWmtZa1prWmtaa1prWms5Z1prWmtaazlnWms5Z1prOWdaazlnWmtaa1prWmtaazlnWmtaa1prAAB7b3tvem97b3tve296b3tvem97b1pre296b3tvWmt7b3pve296b3tve2+bc3pve29aa3pvWmt6b1prem9aa1prWmt6b1prWmtaa3pvWmt7b3tve29aa3pvWmt7b1pre297b3tvWmtaa1prWmtZa1lrWmtaa1prW2s6ZxpjbS0KJW0xdE46a3tvWWt6b1lre29ba1xr+l7yPSshjjHYVnxre297b3tve297b3tve297b3tve29aa3tvWmt7b1pre29aa3tvWmtaa1prWmtaa1prW2t7bzpnGmO4WgshTS3yQVxrO2vYWk0tqBhuLTNGGmN8b3tvWmt7b1pre29baztnmFaRMU4tt1Z8b3tvWmt7bztnG2MTQiwlTSm3Vnxve29aa1prWmtaa1pre29aa1prWmtaa1prWmtaa3tvWmtaazlnem9aa1prGGM5Z1prnHN7b3xvWms6ZzpnW2v4XpdWbzGRMRVGPGd+b3xvWmt7b3prem9aa3prWmtba1trW2taa1lrOGd7b5xznHNbazpnW2s6ZxljOmc6Z/deEUKNMQohKyVLKc85lVJba1trOmdaa1prOWdaa1lrWmtZZ1lrWWtaazlnWms5Z1prOWdaazlnWms5Z1prOWdaazlnWms5Z1prOWdaazlnWms5Z1prOWcAAJtze297b3tvm3N7b3tve297b3tve296b3tve297b3pve297b3tve2+cc3tve29aa3tvem97b1pre29aa3pvWmt7b1prem9aa3tvWmt7b3pvm3N7b3tvWmt7b3pve297b5xze297b1pre29aa1prOWd7b1pre29ba1trGWNsLccYTCnPOTlnWmtZa5tzemt7b3xrfGs8ZzRGLCWOMdhWXGucc3tve297b3tve297b3tvnHN7b3tvWmt7b3tve29aa3tvem97b1prem9aa1prWmt8bzpnXG8aY9leTi1NKfJBfW86ZxpjrzXJHI8xVEoaZ51zWmt7b3tve297b3xvO2f7YrE1bi1USp1zWmd7b3trXGsaY5dSLCVNKTRGfW98b3tvWmtaa1pre297b3tvWmt7b1prWmtaa3tvWmt7b1pre29aa1prWmt7b3tvWms6Z3tvWmtba1trW2s5ZzpnO2c2SnAtsTm5Wl1rXGt8b3pve296a3tvWmt7b1trfG9ca3tvem+bc3tve285Z1pre297b1trWms5ZzpnGWcZY/hedVLxPW0xjjGVUltvnXM5Z3tvWmtaa1lrem9Za1lrOWdaa1prWmtaa1prWmtaazlnWms5Z1prOWdaa1prWms5Z1prWmtaazlnWmtaa1prWmtaawAAWmt7b1pre29aa3tvem97b1pre296b3tvWmt7b1pre29aa3tvem97b3tve296b3tvWmt7b1pre29aa3tvem97bzlnWmtaa3tvWmt7b1prem9aa3pvWmt6b1prem9aa3tve298b3tve29aa1prWWtaa1prWms6Z1trOme2Wq41xxgqJVNKWmubc1lrem96b3tvfG98a/lel1IsJY4t8T2db3tve297b3tve297b3tve297b3tvWmtaa1pre29aa3tvWmt6b1prWmtZa1prWmt7bzpnW2s7Zztn+V7ROeoc8T23Vp1zO2cSRukcKyWWUn1ze297b3pve29aa3tvW2tcbxtj80ELIRFCnXNaa1pre286Zxpj2FqwOQslsDU8a55zW2t7b1pre29aa1prWmt7b1pre29aa3tvWmt7b1pre29Za1prWmt6a1lrWmtaa3tvWmtaa1prWmtaa1trOmc7Zxxj9D0uKbA12V5ca3xvWmtaa1prWmt7b1trW2tba3xvWmt6b3pvem9Za1prOWdaa1pre29aa1trOmc6ZzlnOmcZY/li+F4aYzpnW2taa1prWmtaa1lrWmtZZ1lrWWtaa1lrWms5Z1prOWdaazlnWms5Z1prOWdaazlnWms5Z1prOWdaazlnWms5Z1prOWdaazlnAAB7b3tve297b3tvem97b3tve296b3tve297b3pve296b3tvem97b3tve297b3tvem97b3pve296b3tvem97b3tve29aa3tvem97b1pre29aa3tvWmt7b1pre29aa3tve298b3tvfG97b3tvWmt6b1prWmtaa1prWmtbaxljtlYyRrZWOme9d5tzeWtZa3pvWmudb1xrGmOXUk0pbi0SPn1vnG97b5xze2+cc3tvnHN7b5xze297b1pre29aa3tvWmt7b1prem9aa1prWmt7b1prfG9ba1trO2caY9E9CyHQOfhefG86ZxJCLClNLbdWfG98b3tve296b3tvWmt7b1xrPGdWTiwpbS34XltrnXNaa3xvO2caY9E9TSmPMftifnN8b1pre29aa3tvWmt7b1pre29aa3tve297b1pre29aa1prWmt6b1prWmtaa3pvWmt7b1prWmtaa3tvWmtaazpn+166WrI5jzGvNRpjfG97b3tre298b1pre2t7b3xvWmt7b3pvm296b3pvWWtaa1lrem9aa3tvWmt7b1prW2s6aztnGmc6ZzpnW2tba1trWmtba1prWmtZa1prWWt6a1lrWmtaa1prOWdaazlnWmtaa1prOWdaa1prWms5Z1prWmtaazlnWmtaa1prOWdaazlnWmsAAHtvm3N7b3tvem97b3pve29aa3tvWmt7b3pve29aa3tvWmt7b1pre296b3tvWmt7b3pve29aa3pvWmt7b1pre296b3tvWmt6b1prWmtaa1prWmt6b1prem9aa3tvWmt7b1tre29aa3tvWmt7b1pre29aa3tvWms6ZzlnOmcZYzlne2+cc3tvem9Ya3lrWWt7b3xrfGv6XrhWTSluLdE5fW97b3tve297b3tve297b3tve297b1prWmtaa3tvWmtaa1prWmtZa1prWWtaa1lrWmtaa1trOmc7ZxpjEkLqII4x1lp8b1tr2F5UTpZSO2udd3tve29aa3pvWmtaa1prW2s7Z7haTCkrJVNKfG+cb1prW2t8b/le8kFNKU4pVkp+b1tre29aa3tvWmt7b1prWmtaa1prWmt7b1pre29aa1prWWtaa1prWmtZa1prWmtaa1prWmtaa1prWmtaazlnOmsaYxxnuVosJU0p8T07Z3xvW2t7b1tre2tba3tvW2tba1pre29aa3tvWWtaa1lnWWtZa3pvWmt7b1tre29ba1tvW2tbaztnW2s6Z1trOmdaa1prWms5Z1lrWWtaa1lrWmtZa1prOWdaazlnWms5Z1prOWdaazlnWms5Z1prOWdaazlnWms5Z1prOWdaazlnWms5ZwAAnHN7b3tve297b3tve296b3tve297b3tve297b3tvem97b3pve296b3tve297b3pve297b3tvWmt7b3pve296b3tve297b1prem9aa3tvWmt7b1pre29aa3tvem97b3pve297b3tvWmt7b1pre29aa3tve297b1prOWcYYzlnOWd8b1prWmtZa3pveWt6b3tvfG9caztj2VqOLW4t0Tlca5xze297b3tvnHN7b3tve2+cc3tve29aa3tvWmt7b1pre29aa1prWmtaa1lrWmtZa1prOmdbazprW2tUSkwtbTHXWlprW2s6ZxpnGmN9c3tve296b3pvWmt6b1prW2s7a1xr2FpuLWwtU0p7b3tvWmt7a3tvOmczRrA1LSX0PX9zfG97b3tvWmt7b1pre29aa1prWmt7b1pre29aa1prWmtaa1pre29aa1prWmtaa1pre29aa3tvWmt7b1prWms6a1xrPGvZXlRKbS1uMVRKXGudcztnW2t8b5xzOmdaa3tve297b3tvWmt6b1premtZa3pvWmt7b1trfG97b3xvW2t8b1trfG9ba1trOmtba1prW2taa1prWWtaa1prWmtaa1prWmtaa1prWmtaa1prWmtaa1prWmtaa1prWmtaa1prWmtaa1prOWdaa1prWms5Z1prAAB6b3tvem97b1prem9aa3tvWmt7b3pve296b3tvem97b1pre29aa3tvWmt7b1pre296b3tvem97b1prem9aa3tvWmt6b1prem9aa3pvem97b1prem9aa3pvWmt6b1pre297b3tve297b1prWmtaa1trWmtaa1pre29aa1prWmt7b1tvW2taa3pveW95b1lre29ba1xrG2P6Xm4tbi2wNX1re297b3tve297b3tve297b3tve29aa1prWmtaa1prWmtaa1prWmtaa1lrWWtZa1lrWmtaa1prW2tba9heEkZTSjlne285ZzpnGWMaZ1xrW2taa3pvWWt6b1lrWms6a1trO2f5Xo41TCnwPVtrW2t7b1pre286Z5ZS0TlvLbI5n3dca3tvWmt7b1prWmtaa3tvWmtaa1prWmtaa1prWmtaa1prWmtaa1prWmtaa1pre29aa1prWmt7b1prWmtaa1prW2s6Z/heGmcSQm0tbS11TjtnXGt8b3xvWmtaa1prem9ba3tvWmt7b1prem9Za1prWWt6a1pre29ba1trW2tca1prW2tba1trOmdaazprW2s6Z1prOmdaazlnWmtaa1prWmtaa1prWms5Z1prOWdaazlnWmtaa1prOWdaa1prWms5Z1prOWdaazlnWms5Z1prOWcAAHtvem97b3pve296b3tve297b3tvm3N7b3tve297b3tve296b3tvWmt7b1pre297b3tve297b3pve29aa3tvem97b1pre29aa3tvem97b3tve29aa3tvWmt7b1pre297b3tve297b3tve29aa3tvWmt7b1prWmtaa3tvemt7b3tvfG9bb3tvem96b1lrem97b3trXGtcZxtjjzFNKdE5XGucb3tvnHN7b3tve297b3tve29aa3tvWmt7b1pre29aa1trWmt7b1prem9Za1prWWt7b1lrWms5Z1prOmf4Yjpne2+bc1trW298b1trnXNba3tvem96b1lrem9aa1trW2tbaztnM0YKIa81Omecc3tvemtaa1tr11oTQpExsjV/b3xvWmt7b1pre29aa3tvWmtaa1pre29aa3tvWmt7b1prW2taa3tvWmtba1pre29ba1trWmt7b1pre29aa3tvWmt6bxhjnG8ZYxpjrzWPMU0pt1Zca793W2s5Z5tvm3M4Y3tvW2t7b3tve296b3pvWWt6b1pre29ba3tvW2tca1trW2taa1trWmtba1prW2taa1prOmdaa1prWmtaa1trWmtaa1pre29aa1prWmtaa1prWmtaa1prWmtaa1prWmtaa1prWmtaa1prWms5Z1prWmtaawAAWmt7b1pre296b3tvem97b3pve296b3tve297b3pve296b3tvWmt6b1pre29aa3tve297b1pre29aa3pvWmt6b1pre29aa3tvem97b1pre29aa3pvWmt6b1pre29aa3tvem97b1pre29ba3tvWmtba3tvWms5Z1prWmtaazlnWmtaa3tvWmtZa1lreW96a3tvW2t8azxnG2NvLU0psDF9a3xve297b3tve297b1pre29aa1prWmtaa1pre29aa1prWmtba1prem9aa3prWWtZa1lrWWdZazlnGGNaazlnnHMYY1lrOWd8b3xvW2tbazprem96b1lrem9aa1prOmtbaztnW2u3Vq81U0pca3tre29aa1prWmv5XvNBsjlRLR1nXGt7b1pre29aa3tvWmtaa1prWmtaa1prWmtaa1prWmtaa1trWmtba1prW2taa1trWmtba1pre29aa1prWmt6bzhnem8YY5xv2FrZXrA1LSmxObhWO2dbazlne296b1hne297b1pre296b3tvWWtaa1prem9aa3tvW2tbaztrW2taa1prOWc5Z1prW2s6Z1prOmdaazpnOms6Z1trOmtba1prWmtaa1prWmtaazlnWms5Z1prOWdaazlnWms5Z1prWmtaazlnWms5Z1prOWdaa1prAAB7b3pve296b5tze2+cc3tve297b3tve2+bc3tve297b3tvem97b1pre29aa3tvem+bc3tve296b3tvWmt7b1pre297b3tve297b3pvem9aa3tvWmt7b1pre296b3tvem97b1pre29aa3tve297b3tve29aa1prem97b1prWmtaa1tve2+cc3pvem96b3pvOWd7b1xrXGsaY48xTCmwNXxrnHN7b3tve297b3tve29aa3tvWmtaa1pre297b3tvWmt7b1tre29aa3tvWmt6a1lrWWdZZ5xzWmtaa1prOmdaa5xze29aa1trW2s6Z3xve297b3pvem96a3tvWmtba1prW2saY1trtlZca3xvWmt6a5xzWmt8bxljM0bSOZAx+l58b3tve29aa3tvWmt7b1pre29aa3tvWmt7b1pre29aa1trW2t7b1prW2taa1trWmtba1pre29ba3tvWmt7b1premtZZ1prGGN8bxpjl1KQNS0psTm4VlxvnXM5Z1lrmm97b1tve29aa3tve296b1lrem9aa3tvW2t8b1trfG9ba3tvWms5ZzlnWmtaa1prOWdaazpnWms6Z1trWmtba1prW2taa3tvWmt7b1prWms5Z1prOWdaazlnWms5Z1prOWdaa1prWmtaa1prWmtaa1prWmsAAHpve296b3tvem97b3tve29aa3tve2+bc3pve296b3tvWmt7b1pre29aa3tve297b1pre297b3tve297b3tve297b3tve297b3tve297b3tvWmtaa1prWmtaa3tvWmtaa3tve297b3tvWmt7b3tve29aa3tve297b1prWmtaa3tvWmt7b1prem9aa1prWmt7b1prW2tbaxljzznoHK41OWd7b3tve297b3tve29aa3tvWmt7b1pre29aa3tvWmt7b1pre29aa3tvWmtaazlnWWs4Z1prWmtaazlne297b1prWmtaa1prW2taa1trWmtaa1prem9aa3tvWmt7b1tre286ZzpnGWdaa1trfG9ba1prWmucczlnOmfXWo4xTCn5XlprWmtaa3tvWmtaa1prWms5Z1prWmt7b1pre29aa1prWmtaa1pre29aa3tvWmt7b1pre297b3tvWmtaa1pre285Z1prWmtaazpnO2v5XrlayxwuKU4tG2Ndb1trWmt7b1pre29aa3tvWmtaa1prWmtZa1prWmtaa1prWmtaa1trWmtaa1prWmtaa1prWmtaazlnWms6Z1prOmdaa1prWmtaa1prWmtaazlnWmtaa1prWmtaazlnWms5Z1prWmtaazlnWmtaa1prOWdaa1prWms5ZwAAe297b3tve297b3tvm3N7b3tve2+cc3tvm3N7b3tve297b3tve297b3tve297b3tve297b3tve297b3tve297b3tve297b3tve297b5xze297b1pre29aa3tve297b3tvnHN7b3tve297b3tve297b1prWmucc3tvnHN7b3tve297b1pre29aa3tvWmt7b3tve29aa1prGGO1VlJK1lp7b3tve297b3tve297b3tvWmt7b1pre297b3tvWmt7b3tve29aa3tve297b1prWmtaa1prWmt7b1prWmt7b5xzWmt7b1pre29aa3tvWmt7b1pre29aa3tvWmt7b1pre29aa1prOWdaa1pre297b3tvWmt7b5xze29aa1prc05zTntve29aa3tvWmt7b1pre29aa1prWmt7b3tve29aa3tvWmtaa1pre29aa3tvWmt7b1prWmtaa3tvWmt7b1prWmtaa1prWmtaa1prW2tbaztn2V7SPesgsTnSPV1rfW98b1pre29aa3tvWmt7b1pre29aa1prWmt7b1prWmtaa3tvWmtaa1prWmtaa1prWmtaa1prWmtaa1prWmtaa1prWmtaa1prWmtaa1prWmtaa3tvWmtaa1prWmtaa1prWmtaa1prWmtaa1prWmtaa1prWmtaa1prAAB6b3tvem97b3tve297b3tve2+bc3tvm3N7b3tvem97b3tve29aa3tvWmt7b1pre29aa3tvWmt7b3tve297b3tvWmt7b1pre297b3tve297b3tve29aa3tvWmt7b1pre297b3tve297b1pre29aa3tvOWd7b3tvnHOcc5xzWmt7b1pre29aa3tvWmtaa1pre297b3tvOWc5ZxhjWmt7b3tve297b1pre297b3tvWmt7b1pre29aa3tvWmt7b1pre29aa3tvWmt7b1prWms5Z1prWmt7b1prWmtaa3tve29aa1prWmtaa1prWmtaa1prWmtaa3tvWmtaa1prWmtaa1prWmtaazlnWmtaa1prWmt7bzlne29aa1prWms5ZzlnnHNaa3tvWmtaa1prWmtaa3tvWmtaa1pre29aa3tvWmtaa1prWmtaa1prWmt7b1prWmtaa1prWmtaa1prWms5Z1prOWdaa1lrWmtaa3tvO2cbZ5hW0j1OLW8tNEqdc1tre29aa3tvWmtaa1pre29aa1prWmtaa1prWmtaa1prWmtaa1prWmtaa1prWmtaa1prWms5Z1prOWdaazlnWms5Z1prWmtaazlnWmtaa1prWmtaa1prWms5Z1prOWdaazlnWmtaa1prOWdaa1prWms5Z1prWmsAAHtve297b3tvm3N7b5tze2+bc3tvnHN7b5tze297b3tve297b3tvWmt7b3tve297b3tve297b3tve297b3tve297b3tve297b3tve2+cc3tve297b3tvWmtaa1pre297b5xze297b3tve29aa3tvWmtaa3tvnHOcc5xze297b1pre297b3tvWmt7b1pre297b3tve2+cc1prWmtaa3tvWmt7b3tve297b3tve297b1pre297b3tvWmt7b3tve29aa3tve297b1pre29aa1prWmtaa3tve29aa3tve297b1pre29aa3tvWmt7b1pre29aa3tve297b1pre29aa1prWmt7b1pre29aa1prWmt7b3tve29aa3tvWmtaa1pre29aa3tve297b1prWmtaa3tve297b1pre29aa3tvWmt7b1pre29aa3tvWmt7b1pre29aa1prWmt7b1pre29aa1prWmtaa1prWmtZa3tvW2tbaztnG2f6Xm8xbi2PNbdWnHN7b3tvWmt7b1pre29aa3tvWmt7b1prWmtaa3tvWmtaa1pre29aa1prWmtaa1prWmtaa1prWmtaa1prWmtaa1prWmtaa1prWmtaa1prWmtaa1prWmtaa1prOWdaa1prWms5Z1prWmtaa1prWmtaa1prWmtaawAAem97b3pve296b3tve297b1pre297b3tvWmt7b1pre29aa3tvWmt7b1pre297b3tvWmt7b1pre29aa3tve297b1pre29aa3tve297b3tve29aa3tvWmt7b1prWmtaa3tve297b3tve29aa1prWmt7b3tve297b5xze297b1pre29aa3tve297b1prWmtaa3tvWmt7b3tve29aa1pre2+cc1pre29aa3tve297b1pre29aa3tvWmt7b1pre29aa3tvWmt7b1pre29aa1prWmtaa1prWmtaa1prWmtaa1prWmtaa1prWmt7b1prWmtaa3tve297b1pre29aa1prWmtaa1pre29aa1prOWdaa1pre297b1prWmt7bzlnWmtaa1prWmt7b1prWmtaa1prWmt7b1prWmtaa3tvWmtaa1prWmtaa1prWmt7b1prWmtaa1prWmt7b1pre29aa1prWmt7b1prWmtZa1prWWtaazprW2sbZxtnVUpuMdE9U0qcc1lrWmtaa1prWmtaa1prWmt7b1prWmtaa1prWmtaa1prWmtaa1prWmtaa1prWmtaa1prOWdaazlnWms5Z1prOWdaazlnWms5Z1prOWdaa1prWms5Z1prOWdaazlnWms5Z1prOWdaa1prWms5Z1prWmtaazlnAAB7b3tve297b3tve2+bc3tve296b5tze297b1pre296b3tve297b3tve297b3tve297b1pre297b3tve297b3tve297b3tve297b3tve297b3tve2+cc3tve29aa3tve2+cc3tve297b3tvWmt7b1prnHN7b5xze297b1pre297b3tve297b3tve29aa3tve297b1prWmt7b5xze2+cc5xze29aa3tve297b3tve29aa3tvWmt7b3tve29aa3tve297b1pre29aa1prWmt7b1pre29aa3tvWmtaa1prWmtaa1prWmt7b3tvWmtaa3tve297b3tve297b3tvWmt7b1pre297b3tvWmtaa1pre297b3tvWmt7b3tve29aa3tve297b1pre29aa3tvWmt7b3tve29aa3tvWmt7b1pre29aa3tvWmt7b1pre29aa3tvWmt7b1pre297b3tvWmt7b1prem9Za1prWWt6a1lnWmtba1xr+mIbZ1RKllI6Z1lrWmtaa1pre29aa3tvWmt7b1prWmtaa3tvWmtaa1pre29aa3tvWmt7b1prWmtaa1prWmtaazlnWmtaa1prWmtaa1prWms5Z1prWmtaa1prWmtaa1prWmtaa1prWmtaa1prWmtaa1prWmtaa1prWmtaa1prWmsAAHpve296b3tve297b3tve29aa3tve297b3pve29aa3tve297b1pre29aa3tvWmt7b1pre29aa3tvWmt7b1pre297b3tvWmt7b1pre29aa3tvWmt7b3tvnHN7b3tvWmt7b3tve29aa3tvWmt7b1pre297b3tve297b1pre29aa3tvWmt7b1pre29aa3tvWmt7b3tve29aa1pre2+cc1prWmtaa3tvWmt7b3tve29aa3tvWmt7b1pre29aa3tvWmt7b1pre29aa1prWmtaa1prWmtaa3tvWmtaa1prWms5Z1prWmt7b3tve29aa1prWmt7b1pre29aa3tvWmt7b1pre29aa3tvWmt7b1pre29aa3tvOWdaa1prWmtaa3tvWmt7b1pre29aa3tvWmt7b1pre29aa3tvWmtaa1prWmtaa1prWmt7b1pre29aa1prWmtaa1pre29aa3tvWmtaa1prWmtaa1lrWWd5b1lrWWs5Z1tvXGtbaxpnW2v4Xt57OGN6b1lrWmtaa1prWmtaa1prWmtaa1prWmtaa1prWmtaa1prWmtaa1prWmtaa1prOWdaazlnWms5Z1prOWdaazlnWms5Z1prOWdaazlnWms5Z1prWmtaa1prWmtaa1prWmtaa1prWms5Z1prWmtaazlnWms5ZwAAe297b3tve2+bc3tvm3N7b3tve2+cc3tvm3N7b3tve297b3tve29aa3tve297b3tve29aa3tvWmt7b3tve297b5xze297b3tve297b3tvWmtaa3tvnHN7b3tvWmtaa1pre297b3tvWmt7b1pre29aa3tve297b3tve297b3tvWmt7b3tve297b3tvWmt7b3tvWmt7b5xze297b5xznHNaa3tvWmt7b1pre297b3tvWmt7b3tve29aa3tve297b1pre29aa3tvWmtaa1pre29aa3tve297b1pre29aa1prWmtaa3tve297b3tvWmt7b3tve29aa3tvWmt7b1pre29aa3tve297b3tve297b3tvWmtaa5xze285Z1pre29aazlne29aa3tve297b3tve29aa3tvWmt7b1pre29aa3tvWmt7b1pre29aa3tvWmtaa1prWmtaa3tvWmt7b1prWmtaa1prWWtZa3lvem9Za3pre29ba1xvO2s6Z3xv916bc1lrWmtaa1prWmt7b1pre29aa3tvWmtaa1pre29aa1prWmt7b1pre29aa1prWmtaazlnWms5Z1prOWdaa1prWms5Z1prWmtaazlnWmtaa1prWmtaa1pre29aa3tvWmtaa1prWmtaa1prWmtaa1prWmtaa1prAAB7b3tve297b3pve297b3tve297b3tve296b3tve2+bc1pre29aa3tvWmt7b1pre297b3tvWmt7b3tve29aa1prWmt7b3tve29aa3tvWmt7b1pre29aa3tvWmt7b1pre29aa1prWmtaa1pre297b3tve297b3tve297b3tvWmt7b1pre29aa3tvWmt7b1pre29aa3tvWmt7b1pre297b3tvWmt7b1pre29aa3tvWmt7b1prWmtaa3tvWmt7b1pre29aa3tvWmt7b1prWmtaa3tvWmtaa1pre29aa1prWmtaa1pre297b3tvWmtaa1pre29aa3tvWmt7b1pre29aa3tvWmtaa1prWmtaa1prWmt7b1prWmtaa1prOWdaa1pre29aa3tve297b1pre29aa1prWmt7b1prWmtaa1prWmt7b1pre29aa3tvWmtaa1prWmtaa1prWmtaa1prWmtaa1prOWdaa1lreWtYa1lrWWtaa1prW2s7Z1trWmtaa1lrem9aa3tvWmtaazlnWmtaa1prWmtaa1prWmtaa1prWmtaa1prWmtaa1prOWdaazlnWms5ZzlnOWdaazlnWmtaa1prOWdaazlnOWc5Z1prWmtaa1prWmtaa1prWmtaa1prWms5Z1prWmtaazlnWmtaa1prOWcAAJtze2+bc3tve297b5xze2+bc3tvm3N7b3tve2+bc3tve297b3tve297b3tve297b3tve297b1pre29aa3tvWmt7b3tve297b3tve297b1pre297b3tve297b1pre29aa3tvWmtaa1pre297b3tve297b3tve297b3tve297b3tve297b3tve297b3tve297b3tvWmt7b3tve297b3tve297b1pre297b3tve297b1pre29aa3tvWmt7b1pre297b3tvWmt7b1pre29aa3tvWmt7b1pre29aa3tvWmt7b1pre297b5xze29aa1pre297b3tvWmt7b1pre29aa3tvWmtaa1pre29aa3tvWmt7b1prWmtaa3tvWmtaa1pre29aa3tve297b1prWmtaa3tvWmt7b1pre29aa1prWmt7b1pre29aa3tvWmt7b1pre29aa3tvWmt7b1prWmtaa1prWmtaa1prem9Za3lrWWt6a1lre29ba1trWmtba1prem9Za3pvWmt7b1prWmtaa1prWmt7b1pre29aa3tvWmt7b1prWmtaa1prWmtaa1prWmtaa1prOWdaa1prWmtaa1prWmtaa1prWms5Z1prOWdaa1prWmtaa1prWmtaa1prWmtaa1prWmtaa1prWmtaa1prWmtaawAAem97b3pve297b3tve2+bc3tve297b3tve297b3tve29aa3tvWmt7b1pre29aa3tve297b1pre29aa3tvWmt7b1pre29aa3tve297b1pre297b3tve297b3tve29aa3tvWmt7b1prWmtaa3tvWmt7b3tve297b3tve297b1pre297b3tvWmt7b1pre29aa1prWmt7b1pre297b3tvWmt7b1pre29aa3tve297b1pre29aa3tvWmt7b1pre29aa3tvWmt7b1prWmtaa3tvWmt7b3tve29aa1prWmtaa1prWmtaa3tvWmt7b1prWmtaa3tvWmtaa1prWmtaa1prWmtaa1prWmtaa1prWmt7b1prWmtaa1prWmtaa1prWmtaa3tve297b1prWmtaa3tvWmtaa1prWmtaa1prWmtaa1prWmtaa3tvWmtaa1prWmtaa1prWmt7b1prWmtaa1prWmtaa1prWmtZa1lrWWt5a1hrWmtaa1trOmdaa1premtZa1lrWWtaa1prWmtaa1prWmtaa1pre29aa1prWmt7b1prWmtaa1prOWdaazlnWms5Z1prOWdaazlnWmtaa1prOWdaazlnWms5ZzlnOWdaazlnWmtaa1prOWdaa1prWms5Z1prWmtaazlnWmtaa1prOWdaazlnAAB7b3tve296b5tze2+cc3tvm3N7b5tze2+cc3tvm3N7b3tve297b3tve297b3tve2+cc3tve297b5xze2+cc3tve297b3tve297b3tve29aa3tve297b3tve297b3tve297b3tve29aa3tve297b1pre297b3tve297b3tve29aa3tve297b3tve29aa3tvWmt7b1pre297b3tve297b1pre297b3tve297b3tve297b3tvWmt7b1pre29aa3tvWmt7b1pre29aa3tvWmt7b3tvnHN7b3tvWmt7b1pre29aa1prWmt7b1pre29aa3tvWmt7b1prWmtaa3tvWmtaa1pre29aa3tvWmt7b1pre29aa1prWmtaa1prWmtaa3tve297b3tve29aa3tve297bzlnWmtaa1prWmt7b1prWmtaa3tvWmt7b1pre29aa3tvWmt7b1pre29aa3tvWmtaa1prW2taa1prWWt5b1lreWtZa3tvW2tba1pre29aa1lrWWtaa1prWmtaa3tvWmtaa1pre29aa3tvWmt7b1pre29aa3tvWmtaa1prWmtaa1prWmtaa1prWmtaa1prWmtaa1prWmtaa1prOWdaa1prWmtaa1prWmtaa1prWmtaa1prWmtaa1prWmtaa1prWmtaa1prWmsAAFpre29aa3tvem97b3tvnHN6b3tve2+bc3tve297b3tvWmt7b1pre29aa3tvWmt7b1pre297b5xznHOcc3tve29aa3tvWmt7b1pre29aa3tve297b3tve297b3tvWmt7b1pre29aa3tvWmt7b1pre29aa3tvWmt7b1pre29aa3tvWmt7b3tve29aa1prWmtaa1prWmtaa3tvWmt7b1pre29aa3tve297b1pre29aa3tvWmt7b1pre29aa3tvWmt7b1prWmtaa1prWmt7b1pre297b3tvWmtaa1prWmtaa1prWmtaa1pre29aa1prWmt7b1prWmtaa1prWmtaa1prWmtaa1prWmt7b1prWmtaa1prOWdaa1prWmtaa1prWmt7b1pre29aa1prWmt7b1prOWc5Z1prWmtaa1prWmtaa1prWmtaa1prWmtaa1prWmt7b1pre29aa3tvWmtaa1prW2taa1trWmt6a1lreWtZa1prWmtba1prW2taa1prWWtZazlnWmtaa1prWmtaa1prWmtaa1prWmtaa1prWmtaa1prWmtaa1prWms5Z1prOWdaazlnWmtaa1prWmtaa1prWms5Z1prOWdaazlnWmtaa1prOWdaa1prWms5Z1prWmtaazlnWmtaa1prOWdaa1prWms5ZwAAe296b3tve297b3tvm3N7b3tve2+cc3tvnHN7b5tze297b3tve297b3tve297b3tve29aa3tve2+cc3tve29aa3tvWmt7b3tve297b3tve297b3tve297b3tve297b3tve297b3tve297b1pre297b3tvWmt7b3tve297b3tve297b3tve297b3tvWmt7b1pre29aa3tve297b1pre297b3tvWmt7b3tve29aa3tvWmt7b1pre29aa3tvWmt7b1pre29aa3tvWmt7b1pre297b3tvWmt7b1prWmtaa3tvWmt7b1pre29aa3tvWmt7b1pre29aa3tvWmt7b1pre29aa3tvWmt7b1pre29aa3tvWmtaa1pre29aa1prWmt7b3tve29aa3tvWmt7b3tvWmsYY1prWmt7b1pre29aa3tvWmt7b1pre29aa3tvWmt7b1pre29aa3tvWmt7b1pre29aa1trW2t7b1prem9Za3pvWWt7b1prW2tba3tvWmt6a1lrWmtaa1prWmtaa1prWmtaa1prWmt7b1prWmtaa3tvWmtaa1prWmtaa1prWmtaa1prWmtaa1prWmtaa1prWmtaa1prOWdaa1prWmtaa1prWmtaa1prWmtaa1prWmtaa1prWmtaa1prWmtaa1prWmtaa1prAAB6b3tvWmt7b3pve296b3tvem97b3tvm3N7b5tzem97b1pre29aa3tvWmt7b1pre29aa3tvWmt7b3tve297b3tvWmt7b1pre297b3tvWmt7b1pre29aa3tvWmt7b1prWmtaa3tve297b1pre29aa3tvWmt7b1pre29aa3tvWmt7b1pre29aa3tvWmt7b1prWmtaa3tvWmt7b1pre29aa3tvWmt7b1pre29aa3tvWmtaa1pre29aa3tvWmt7b1prWmtaa3tvWmtaa1pre29aa3tvWmtaazlnWmtaa1prWmtaa1pre29aa1prWmtaa1prWmtaa3tvWmtaa1pre29aa1prWmt7b1prWmtaa1prWmtaa1prWmtaa1prWmtaa1pre29aa3tvWmtaa1pre285ZxhjWmtaa1pre297b3tvWmt7b1prWmtaa1prWmt7b1pre29aa3tvWmt7b1pre29aa1trW2tca1prWmtZa3lvWWtaa1prW2s6a1trWmt6b1lrWWs5Z1prOWdaazlnWmtaa1prWmtaa1prWmtaa1prWmtaa1prWms5Z1prOWdaazlnWmtaa1prWmtaa1prWms5Z1prOWdaazlnWms5Z1prOWdaazlnWms5Z1prOWdaazlnWmtaa1prOWdaa1prWms5Z1prOWcAAJtze297b3pve297b3tve297b3tvm3N7b5xze297b3pve297b3tve297b3tve297b5xze297b1pre297b5xze297b1pre297b3tve297b3tve297b3tve297b1pre29aa3tve2+cc3tve29aa3tvWmt7b1pre297b3tve297b3tve29aa3tvWmt7b3tve29aa3tvWmt7b1pre297b3tvWmt7b1pre29aa3tvWmt7b1pre297b3tvWmt7b1pre29aa3tve297b1pre29aa3tvWmtaa1prWmtaa3tvWmtaa1pre29aa3tvWmt7b1prWms5Z3tvWmt7b1pre29aa3tvWmt7b1pre29aa3tvWmtaa1pre29aa3tvWmtaa1prWmtaa3tvWmtaazlne297b1prGGNaa1pre297b5xze297b1pre29aa3tvWmt7b1pre29aa3tve297b1pre29aa3tvWmtbb1tre29aa3pvWWt6b1lrWmtaa1trW2t7b3pvem9Za1prWmtaazlnWmtaa1prWmtaa1prWmtaa1prWmtaa1pre29aa1prWmtaa1prWmtaa1prWmtaa1pre29aa1prWmtaazlnWmtaa1prWmtaa1prWmtaa1prWmtaa1prWmtaa1prWmtaa1prWmtaa1prWmtaawAAe297b3tve29aa3tve297b3tve297b3tve297b3tvnHNaa3tvWmt7b1pre29aa3tvWmt7b3tve297b3tve297b1pre297b3tve297b3tve29aa3tvWmt7b1prWmtaa1prWmt7b3tve297b3tvWmt7b3tve29aa3tvWmt7b3tve29aa1pre297b3tve29aa1prWmtaa1pre29aa3tvWmt7b1prWmtaa1prWmtaa1prWmtaa1prWmt7b1pre29aa3tvWmtaa1pre29aa3tvWmt7bzlnWmtaa3tvWmtaa1prWmtaa1prWmt7b1prWmtaa1prWmtaa1prWmtaa1prWmtaa1prWmtaa3tvWmtaa1prWmtaa1prWmtaa1prWmtaa3tvWmtaa1prWmtaa1prWmt7b1pre29aa3tvWmtaa1prWmtaa1prWmt7b1pre29aa3tvWmt7b1pre29aa1prWmtaa1prW2tba3tvWmt6b1prWmtaa1prOWdaa1pre29aa1prWmtaa1prWmtaa1prWmtaa1prWmtaa1prOWdaazlnWmtaa1prWmtaa1prWmtaa1prOWdaa1pre285Z1prOWdaazlnWms5Z1prOWc5ZzlnWms5Z1prOWdaazlnWms5Z1prWmtaa1prWms5Z1prWmtaa1prAAB7b3tve297b3tve297b3tve297b5xze2+cc3tvnHN7b3tvWmt7b1pre29aa3tve297b3tve297b3tve297b3tve297b3tve297b3tve297b3tve297b3tve29aa3tvWmt7b3tve297b3tve297b1pre297b3tve297b3tve297b1prWmt7b3tve297b3tvWmt7b1pre297b3tve297b3tve29aa3tvWmt7b1pre29aa3tvWmt7b1pre29aa3tve297b1pre297b3tvWmt7b1prWmtaa3tvWmtaa1pre29aa3tvWmt7b1pre29aa3tvWmt7b1pre29aa1prWmtaa1pre29aa3tvWmt7b1pre29aa3tvWmt7b1prWmtaa3tvWmt7b1pre29aa1prWmt7b1pre297b3tve297b1pre29aa1prWmt7b1pre29aa3tve297b1pre29aa3tvWmt7b1pre29aa3tve297b1pre29aa1prWmtaa1pre29aa3tvWmtaa1prWmtaa1prWmtaa1prWmtaa1prWmtaa1prWmtaa1prWmtaa1prWmtaa1prWmtaa1pre29aa1prOWdaa1prWmtaa1prOWdaazlnWms5Z1prWmtaa1prWmtaa1prWmtaa1prWmtaa1prWmtaa1prWmsAAFpre29aa3tve297b3tve297b3tve297b3tve297b3tve297b1pre29aa3tvWmt7b1pre29aa3tvWmt7b1pre297b3tvWmt7b3tve29aa3tvWmt7b1pre297b3tvWmt7b1pre29aa3tvWmt7b1pre297b3tvWmt7b1pre29aa3tvWmt7b1pre297b3tvWmtaa1pre29aa3tvWmt7b1pre29aa1prWmtaa1prWmtaa1prWmt7b1pre29aa3tvWmt7b1pre29aa3tvWmt7b1prWmtaa1prWmtaa1prWmtaa1prWmtaa1prWmtaa3tvWmtaa1pre29aa1prWmtaa1prWmtaa1prWmtaa1pre29aa3tvWmtaa1prWmtaa1prWmtaa1prWmtaa1prWmtaa1prWmtaa3tvWmt7b1pre29aa3tvWmtaa1prWmtaa3tvWmt7b1pre29aa1prWmtaa1prWmtaa3tvWmt7b1pre29aa1prWmtaazlnWmtaa3tvWmtaa1prWmtaa1prWmtaa1prWmtaa1prOWdaazlnWms5Z1prWmtaa1prWmtaa1prWmtaazlnWmtaa1prWmtaazlnWmtaa1prOWdaazlnWms5Z1prOWdaazlnWms5Z1prOWdaa1prWms5Z1prWmtaa1prWmtaawAAe297b3tve297b3tvnHN7b3tve297b3tvnHN7b5xze297b3tve29aa3tve297b3tve29aa3tvWmt7b3tve297b3tve297b3tve297b3tve297b3tve297b5xze297b3tve29aa3tvWmt7b3tve29aa3tve297b3tve297b3tve297b1pre297b3tve297b1pre29aa3tvWmt7b3tve29aa3tvWmt7b1pre29aa3tvWmt7b1pre29aa3tvWmt7b1pre29aa3tvWmt7b1pre29aa3tvWmt7b1pre29aa1prWmt7b1pre29aa3tvWmt7b1pre29aa3tvWmt7b1prWmtaa1prWmtaa1pre29aa3tvWmt7b1prWmtaa3tvWmt7b1pre29aa1prWmt7b1pre29aa3tvWmt7b1pre297b3tve297b1pre29aa3tvWmt7b1pre29aa3tvWmt7b1pre29aa3tvWmt7b1pre29aa1prWmt7b1pre29aa3tvWmtaa1prWmtaa1prWmtaa1prWmtaa3tvWmtaa1prWmtaa1prWmtaa1prWmtaa1prWmtaa1prWmtaa1prWmtaa1prWmtaa1prWmtaazlnWmtaa1prWmtaa1prWmtaa1prWmtaa1prWmtaa1prWmtaa1prWmtaa1prAABaa3tvWmt7b3tve297b5xzWmt7b3tve297b3tve297b3tve297b3tvWmt7b1pre29aa3tvWmt7b1pre29aa3tve297b3tve29aa3tvWmt7b1pre29aa3tve2+cc3tve29aa1prWmt7b1pre29aa3tvWmt7b1pre29aa3tvWmt7b1pre29aa3tvWmt7b1pre29aa1prWmt7b1pre29aa1prWmtaa1prWmtaa1prWmtaa1pre29aa3tvWmt7b1pre29aa1prWmt7b1pre29aa3tvWmt7b1pre29aa1prWmt7b1prWmtaa3tvWmtaa1prWmtaa3tvWmt7b1prWmtaa1prWmtaa1prWmtaa1prWmt7b1prWmtaa1prWmtaa1prWmtaa1prWmtaa1prWmtaa3tvOWdaa1prWmtaa3tvWmt7b1prWmtaa1prWmtaa1pre29aa1prWmtaa1prWmtaa3tvWmtaa1pre29aa1prWmtaa1prWmtaa1prWmtaa1prWmtaa1prWmtaa1prWmtaa1prWmtaa1prWms5Z1prOWdaa1prWmtaa1prWmtaa1prWms5Z1prOWdaazlnWmtaa1prOWdaazlnWms5Z1prOWdaazlnWms5Z1prOWdaazlnWms5Z1prOWdaazlnWmtaa1prOWcAAHtve297b3tve297b5xze297b3tve297b3tve2+cc3tvnHN7b3tve297b1pre297b3tvWmt7b3tve297b3tve297b3tve297b3tvWmt7b1pre29aa3tve2+cc3tvnHN7b3tvWmt7b1pre29aa3tve297b3tve297b3tve297b3tve29aa3tve297b1pre29aa3tvWmt7b1pre29aa3tvWmtaa1pre29aa1prWmt7b1pre29aa3tvWmt7b1pre29aa3tvWmt7b3tve29aa3tvWmt7b3tve29aa1prWmt7b3tve29aa3tvWmt7b1pre29aa3tvWmt7b1pre29aa3tvWmt7b1pre29aa3tvWmt7b1pre29aa1prWmtaa1pre29aa1prWmtaa1prWmtaa3tvWmtaa1prWmtaa3tvWmt7b1pre29aa3tvWmt7b1pre29aa3tvWmt7b1pre29aa3tvWmt7b1pre29aa1prWmt7b1pre29aa3tvWmtaa1prWmtaa1prWmtaa1prWmtaa1prWmtaa1prWmtaa1prWmtaa1prWmtaa1prWmtaa1prWmtaa1prWmtaazlnWmtaa1prWmtaa1prWmtaa1prWmtaa1prWmtaa1prWmtaa1prWmtaa1prWmtaa1prWmtaa1prWmtaawAAe297b1pre297b3tve297b3tve29aa3tve297b3tve297b3tve297b1pre29aa3tvWmt7b1pre297b3tve297b3tve29aa3tvWmt7b1prWmtaa1prWmt7b3tvnHN7b3tve297b1pre29aa3tvWmt7b1pre29aa3tve297b1pre29aa3tvWmt7b1pre29aa3tvWmt7b1pre29aa1prWmtaa1prWmtaa1prWmtaa1prWmtaa3tvWmt7b1pre29aa1prWmt7b1pre29aa3tvWmtaa3tve29aa1prWmtaa1pre29aa1prWmtaa1pre29aa1prWmt7b1pre29aa3tvWmtaa1pre29aa1prWmtaa1prWmtaa1prWmtaa1prWmtaa1prWmtaazlnWmtaa1prWmt7b1prWmtaa1prWmt7b1pre29aa1prWmtaa1prWmtaa1prWmtaa1prWmtaa3tvWmt7b1pre29aa1prWmtaa1prWmtaa1prWmtaa1prWmtaa1prWmtaa1prWmtaa1prWmtaa1prWms5Z1prOWdaazlnWmtaa1prWmtaa1prWmtaa1prWmtaazlnOWdaa1prWmtaazlnWms5Z1prOWdaa1prWms5Z1prOWdaazlnWms5Z1prWmtaazlnWms5Z1prOWdaazlnAAB7b3tve297b3tve297b3tve297b3tve297b3tve297b5xze297b3tve297b3tve297b3tve297b3tve297b3tve297b3tve297b1pre29aa3tvWmtaa1prnHOcc5xze2+cc3tve29aa3tve297b3tve297b3tve297b3tve29aa3tve297b1pre297b3tvWmt7b1pre29aa3tvWmtaa1prWmtaa1prWmtaa1prWmtaa3tve297b1pre29aa3tvWmt7b1pre29aa3tvWmt7b1pre297b3tvWmtaa1pre29aa3tvWmt7b1pre29aa3tvWmt7b3tve29aa3tvWmt7b1pre297b3tvWmt7b1prWmtaa3tvWmtaa1prWmtaa1prWmtaa1prWmtaa1prWmt7b1pre29aa3tvWmt7b1pre29aa3tvWmt7b1pre29aa1prWmt7b1pre29aa3tvWmt7b1pre29aa3tvWmtaa1prWmtaa1prWmt7b1prWmtaa1prWmtaa1prWmtaa1prWmtaa1pre29aa1prWmtaa1prWmtaa1prWmtaa1prWmtaa1prWmt7b1prWms5Z1prWmt7b1prWmtaa1prOWdaa1prWmtaa1prWmtaa1prWmtaa1prWmtaa1prWms5Z1prOWdaazlnWmsAAFpre297b3tve297b3tve29aa3tvWmt7b1pre297b3tve297b3tve297b3tvWmt7b3tve297b3tve2+cc3tve297b3tve297b1pre29aa3tve297b1pre297b5xze297b3tve297b3tvWmt7b1pre29aa3tve297b3tve297b3tvWmt7b1pre29aa3tve297b1pre29aa3tvWmtaa1pre29aa1prOWd7b1prWmtaa3tvWmtaa1prWmtaa1prWmt7b1pre297b3tvWmt7b1pre29aa3tvWmt7b1pre29aa3tvWmt7b1pre29aa1prWmt7b1pre29aa3tvWmtaa1pre29aa3tvWmt7b1prWmtaa3tvWmtaa1prWmtaa1prWmtaa1prWmtaa1prWmtaa1pre29aa1prWmtaa1prWmtaa1prWmtaa1prWmtaa1prWmtaa1prWmtaa1prOWdaa1prWmtaa1prOWdaazlnWmtaa3tvOWdaa1prWmtaa1prWmtaa1prWmtaa1prWmtaa1prWmtaa1prOWdaazlnWmtaa1prWmtaazlnWms5Z1prOWdaazlnWms5Z1prOWdaa1prWms5Z1prWmtaazlnWmtaa1prOWdaazlnWms5Z1prOWdaazlnWms5Z1prOWdaazlnWms5ZwAAe297b5xze2+cc3tvnHN7b3tve297b3tve297b5xze297b3tvnHN7b3tve297b1pre297b3tve2+cc3tvnHN7b3tve297b3tve29aa3tve297b3tve297b5xze2+cc3tvnHN7b5xze297b3tve297b3tvWmt7b3tve297b3tve297b3tve297b3tve297b3tve29aa3tvWmtaa1pre29aa3tvWmtaa1pre29aa1pre29aa1pre29aa3tvWmt7b1pre29aa3tve297b3tve297b3tvWmt7b1pre29aa3tvWmt7b1pre29aa3tvWmt7b1pre29aa3tvWmt7b1pre29aa3tvWmt7b1pre29aa3tvWmtaa1pre29aa1prWmt7b1prWmtaa1prWmtaa1pre29aa1prWmt7b1pre29aa3tvWmtaa1pre29aa1prWmt7b1prWmtaa1prWmtaa1pre29aa1prWmtaa1prWmtaa3tvWmtaa1pre29aa3tvWmt7b1pre29aa3tvWmtaa1pre29aa3tvWmtaa1prWmtaa3tvWmtaa1prWmtaa1prOWdaa1prWms5Z1prWmtaa1prWmtaa1prWmtaa1prWmtaa1prWmtaa1prWmtaa1prOWdaazlnWms5Z1prOWdaazlnWms5Z1prAAB7b3tve297b3tvnHN7b3tve297b3tve297b3tve2+cc3tve297b3tve297b1pre297b3tvWmt7b3tve297b3tve297b1pre29aa3tvWmt7b3tve29aa3tve297b3tve297b3tve297b3tve29aa3tvWmt7b1pre29aa3tvWmt7b1pre29aa3tvWmt7b1pre29aa3tvWmtaa1prWmtaa1prWmtaazlnWmtaa1prWmt7b1prWmtaa1prWmt7b1prWmtaa3tvWmt7b1pre29aa3tvWmt7b1prWmtaa3tvWmtaa1pre29aa1prWmt7b1pre29aa3tvWmtaa1pre29aa3tvWmt7b1prWmtaa1prWmtaa1prWmtaa1prWmtaa1prWmtaa1prWmtaa1prWmtaa1prWmtaa1prWmtaa1prWmtaa1prWmtaa1prWmtaa1prWmtaa1prWmtaa1prWmtaa1prWmtaazlnWmtaa1prWmtaa1prWmtaa1prWmtaa1prWmtaa1prWmtaa1prWmtaa1prWmtaa1prWms5Z1prWmtaa1prWms5Z1prOWdaazlnWms5Z1prOWdaazlnWms5Z1prWmtaazlnWmtaa1prOWdaa1prWms5Z1prOWdaazlnWms5Z1prOWdaazlnWms5ZzlnOWcAAHtve297b3tvnHN7b3tve2+cc3tve297b3tve297b3tve297b3tve297b3tve29aa3tve297b1pre297b3tvWmt7b3tve297b3tve297b3tve297b3tve297b3tve297b3tve297b3tve297b3tvWmt7b1pre29aa3tvWmt7b1pre297b3tvWmt7b3tve29aa3tvWmt7b1pre29aa1prWmt7b1prWmtaa3tvWmtaa1prWmtaa1prWmt7b1pre29aa3tvWmt7b1pre297b3tvWmt7b1pre29aa3tvWmt7b1pre29aa3tvWmt7b1pre29aa3tvWmt7b1pre29aa3tvWmt7b3tve29aa3tvWmtaa1prWmtaa1prWmt7b1pre29aa1prWmtaa1prWmtaa1prWmtaa1pre29aa3tvWmtaa1prWmtaa1prWmt7b1pre29aa1prWmtaa1pre29aa1prWmtaa1prWmtaa1prWmtaa1prWmtaa1prWmt7b1pre29aa1prWmtaa1prWmtaa3tvWmt7b1prWmtaa1prWmt7b1prWmtaa1prOWdaazlnWms5Z1prOWdaazlnWmtaa1prWmtaa1prWmtaa1prWmtaa1prWmtaa1prWmtaa1prWms5Z1prWmtaazlnWms5Z1prOWdaawAAWmt7b1pre297b3tve297b3tve29aa3tvWmt7b1pre29aa3tve297b3tve29aa3tve297b1pre29aa3tvWmt7b1pre29aa3tvWmt7b3tve29aa3tve297b1pre297b3tvWmt7b1pre29aa3tvWmt7b1pre29aa3tvWmtaa1pre29aa3tvWmt7b1pre29aa3tvWmt7b1pre29aa3tvWmtaa1prWmtaa1prWmtaa1prWmtaa1prWmtaa1prWmtaa1prWmtaa1pre29aa3tvWmtaa1prWmtaa1prWmtaa1prWmtaa1prWmtaa1prWmtaa3tvWmt7b1pre29aa3tvWmt7b1pre29aa1prWmtaa1prWmtaa1prWmtaa1prWmtaa1prWmtaa1prWmtaa1prWmtaa1prWmtaa1prWmtaa1prWmtaa1prWmtaa1prWmtaa1prWmtaa1pre29aa1prWmtaazlnWmtaa1prWmtaa1prWms5Z1prWmtaa1prWmtaa1prOWdaa1prWms5Z1prWmt7b1prWmtaa1prWmtaa1prWmtaa1prOWdaazlnWms5Z1prOWdaazlnWms5Z1prWmtaazlnWmtaa1prOWdaa1prWms5Z1prOWdaazlnWms5Z1prOWdaazlnWms5Z1prOWdaazlnAAB7b1pre297b3tve297b3tve297b3tvWmt7b1pre297b3tve297b3tve297b3tve297b3tve297b3tve297b1pre29aa3tve297b3tve297b3tve2+cc3tve29aa3tve297b3tve297b3tvWmt7b3tve29aa3tvWmt7b1pre29aa3tve297b3tve29aa3tvWmt7b3tve297b3tve297b1prWmtaa3tvWmtaa1pre29aa1prWmtaa1prWmtaa3tvWmtaa1pre29aa3tvWmt7b1pre29aa3tvWmt7b1pre29aa1prWmtaa1prWmtaa3tve297b1pre29aa3tvWmt7b3tve29aa3tvWmtaa1prWmtaa1prWmt7b1prWmtaa3tvWmtaa1prWmtaa1prWmtaa1prWmtaa3tvWmt7b1pre29aa1prWmt7b1prWmtaa3tvWmtaa1pre29aa3tvWmt7b1prWmtaa1prWmtaa1pre29aa1prWmt7b1pre29aa3tvWmtaa1pre29aa1prWmt7b3tvWmtaa3tvWmtaa1pre29aa1prWmtaa1prWms5Z1prWmtaazlnWmtaa1prWmtaa1prWmtaa1prWmtaa1prWmtaa1prWmtaa1prWms5Z1prOWdaazlnWms5Z1prOWdaazlnWmsAAFpre29aa3tve297b1pre297b3tvWmt7b1pre29aa3tvWmt7b3tve297b3tvWmt7b3tve29aa3tve297b1pre29aa3tvWmt7b3tve29aa3tvWmt7b3tve29aa3tvWmt7b1pre29aa3tvWmt7b1pre29aa3tvWmt7b1pre29aa1pre297b1pre29aa1prWmtaa1pre29aa3tve297b1prWmtaa3tvWmtaa1pre29aa1prWmtaa1prWmtaa1prWmtaa1prWmtaa1prWmtaa1prWmtaa1prWmtaa1prWmtaa1prWmtaa1prWmtaa3tvWmt7b1pre29aa1prWmt7b1pre29aa3tvWmtaa1prWms5Z1prWmtaa1prWmtaa1prWmtaa1prWmtaa1prWmtaazlnWmtaa1prWmtaa1prWmtaa1prWmtaa1prWmtaa1prWmtaa1prWmtaa3tvWmt7b1prWms5Z1prWmtaa1prWmtaa1prWmtaa1prWmtaa1prWmtaa1pre29aa1prOWdaa1pre29aa1prWmtaa1prWms5Z1prWmtaazlnWms5Z1prOWdaazlnWms5Z1prOWdaazlnWmtaa1prOWdaa1prWms5Z1prWmtaazlnWms5Z1prOWdaazlnWms5Z1prOWdaazlnOWc5ZwAAe297b3tve2+cc3tve297b5xze297b3tve297b3tve297b3tve297b5xze297b3tvnHN7b3tve297b3tve29aa3tve297b3tve297b3tve297b3tvnHN7b3tvWmt7b3tve297b3tvWmt7b3tve297b3tve297b3tve29aa3tvWmt7b3tve29aa3tvWmtaa1pre29aa3tve297b1prWmtaa1pre297b1prWmtaa3tvOWdaa1prWmtaa1prWmtaa1prWmtaa3tvWmt7b1prWmtaa3tvWmtaa1pre29aa1prWmtaa1prWmtaa3tvWmt7b1pre29aa3tvWmt7b1pre297b3tve297b1prWmtaa1prWmtaa1prWmtaa3tvWmt7b1prWmtaa1prWmtaa1prWms5Z1prWmt7b1pre29aa1prWmtaa1prWmtaa3tvWmt7b1prWmtaa3tvWmt7b1prWmtaa1prWmtaa1pre29aa1prWmtaa1prWmtaa3tvWmt7b1prWmtaa3tvWmtaazlnWmtaa1prWmtaa1prWmtaa1prOWdaa1prWms5Z1prOWdaazlnWms5Z1prOWdaa1prWmtaa1prWmtaa1prWmtaa1prWmtaa1prWmtaa1prWmtaazlnWmtaa1prOWdaazlnWms5Z1prAABMAAAAZAAAAAAAAAAAAAAAlAAAAEwAAAAAAAAAAAAAAJUAAABNAAAAKQCqAAAAAAAAAAAAAACAPwAAAAAAAAAAAACAPwAAAAAAAAAAAAAAAAAAAAAAAAAAAAAAAAAAAAAAAAAAIgAAAAwAAAD/////RgAAABwAAAAQAAAARU1GKwJAAAAMAAAAAAAAAA4AAAAUAAAAAAAAABAAAAAUAAAA</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2026-08-13T20:34:56Z</xd:SigningTime>
          <xd:SigningCertificate>
            <xd:Cert>
              <xd:CertDigest>
                <DigestMethod Algorithm="http://www.w3.org/2001/04/xmlenc#sha256"/>
                <DigestValue>Z09FfJIPU49iaJ2dKwd8xo+ZniD7zuLQinbgiUeEqpk=</DigestValue>
              </xd:CertDigest>
              <xd:IssuerSerial>
                <X509IssuerName>C=PY, O=ICPP, OU=Prestador Cualificado de Servicios de Confianza, SERIALNUMBER=RUC 80113823-0, CN=CONFIRMA S.A.</X509IssuerName>
                <X509SerialNumber>6344096911337137794</X509SerialNumber>
              </xd:IssuerSerial>
            </xd:Cert>
          </xd:SigningCertificate>
          <xd:SignaturePolicyIdentifier>
            <xd:SignaturePolicyImplied/>
          </xd:SignaturePolicyIdentifier>
        </xd:SignedSignatureProperties>
      </xd:SignedProperties>
    </xd:QualifyingProperties>
  </Object>
  <Object Id="idValidSigLnImg">AQAAAGwAAAAAAAAAAAAAAKgBAADQAAAAAAAAAAAAAAC/HQAAqw4AACBFTUYAAAEAPBcBAMs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OMAAAAFAAAAMQEAABsAAADjAAAABQAAAE8AAAAXAAAAIQDwAAAAAAAAAAAAAACAPwAAAAAAAAAAAACAPwAAAAAAAAAAAAAAAAAAAAAAAAAAAAAAAAAAAAAAAAAAJQAAAAwAAAAAAACAKAAAAAwAAAABAAAAUgAAAHABAAABAAAA7////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MAAAAFAAAAMgEAABwAAAAlAAAADAAAAAEAAABUAAAAhAAAAOQAAAAFAAAAMAEAABsAAAABAAAAVVWPQSa0j0HkAAAABQAAAAkAAABMAAAAAAAAAAAAAAAAAAAA//////////9gAAAAMQAzAC8AOAAvADIAMAAyADYAAAAJAAAACQAAAAcAAAAJAAAABwAAAAkAAAAJAAAACQAAAAkAAABLAAAAQAAAADAAAAAFAAAAIAAAAAEAAAABAAAAEAAAAAAAAAAAAAAAqQEAANEAAAAAAAAAAAAAAKkBAADR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JAAAAAAAAABQAAAAIQDwAAAAAAAAAAAAAACAPwAAAAAAAAAAAACAPwAAAAAAAAAAAAAAAAAAAAAAAAAAAAAAAAAAAAAAAAAAJQAAAAwAAAAAAACAKAAAAAwAAAADAAAAJwAAABgAAAADAAAAAAAAAAAAAAAAAAAAJQAAAAwAAAADAAAATAAAAGQAAAAAAAAAAAAAAP//////////AAAAACQAAABAAQAAAAAAACEA8AAAAAAAAAAAAAAAgD8AAAAAAAAAAAAAgD8AAAAAAAAAAAAAAAAAAAAAAAAAAAAAAAAAAAAAAAAAACUAAAAMAAAAAAAAgCgAAAAMAAAAAwAAACcAAAAYAAAAAwAAAAAAAAAAAAAAAAAAACUAAAAMAAAAAwAAAEwAAABkAAAAAAAAAAAAAAD//////////0ABAAAkAAAAAAAAAFAAAAAhAPAAAAAAAAAAAAAAAIA/AAAAAAAAAAAAAIA/AAAAAAAAAAAAAAAAAAAAAAAAAAAAAAAAAAAAAAAAAAAlAAAADAAAAAAAAIAoAAAADAAAAAMAAAAnAAAAGAAAAAMAAAAAAAAAAAAAAAAAAAAlAAAADAAAAAMAAABMAAAAZAAAAAAAAAB0AAAAPwEAAHUAAAAAAAAAdAAAAEABAAACAAAAIQDwAAAAAAAAAAAAAACAPwAAAAAAAAAAAACAPwAAAAAAAAAAAAAAAAAAAAAAAAAAAAAAAAAAAAAAAAAAJQAAAAwAAAAAAACAKAAAAAwAAAADAAAAJwAAABgAAAADAAAAAAAAAP///wAAAAAAJQAAAAwAAAADAAAATAAAAGQAAAAAAAAAJAAAAD8BAABzAAAAAAAAACQAAABAAQAAUAAAACEA8AAAAAAAAAAAAAAAgD8AAAAAAAAAAAAAgD8AAAAAAAAAAAAAAAAAAAAAAAAAAAAAAAAAAAAAAAAAACUAAAAMAAAAAAAAgCgAAAAMAAAAAwAAACcAAAAYAAAAAwAAAAAAAAD///8AAAAAACUAAAAMAAAAAwAAAEwAAABkAAAACwAAAEUAAAAnAAAAcwAAAAsAAABFAAAAHQAAAC8AAAAhAPAAAAAAAAAAAAAAAIA/AAAAAAAAAAAAAIA/AAAAAAAAAAAAAAAAAAAAAAAAAAAAAAAAAAAAAAAAAAAlAAAADAAAAAAAAIAoAAAADAAAAAMAAABSAAAAcAEAAAMAAADW////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EUAAAAmAAAAcwAAAAEAAABVVY9BJrSPQQwAAAB0AAAAAQAAAEwAAAAEAAAACwAAAEUAAAAoAAAAdAAAAFAAAABYAAAAGwAAABYAAAAMAAAAAAAAACUAAAAMAAAAAgAAACcAAAAYAAAABAAAAAAAAAD///8AAAAAACUAAAAMAAAABAAAAEwAAABkAAAANgAAACgAAAA0AQAAcwAAADYAAAAoAAAA/wAAAEw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JwAAABgAAAAEAAAAAAAAAP///wAAAAAAJQAAAAwAAAAEAAAATAAAAGQAAAA2AAAAKAAAADQBAABvAAAANgAAACgAAAD/AAAASAAAACEA8AAAAAAAAAAAAAAAgD8AAAAAAAAAAAAAgD8AAAAAAAAAAAAAAAAAAAAAAAAAAAAAAAAAAAAAAAAAACUAAAAMAAAAAAAAgCgAAAAMAAAABAAAACEAAAAIAAAAYgAAAAwAAAABAAAASwAAABAAAAAAAAAABQAAACEAAAAIAAAAHgAAABgAAAAAAAAAAAAAAKkBAADR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CCdtPwAAAAAAAAAAfj9sPwAAWEIAACBCJAAAACQAAAAIJ20/AAAAAAAAAAB+P2w/AABYQgAAIEIEAAAAcwAAAAwAAAAAAAAADQAAABAAAAA2AAAAK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JUAAABNAAAAAAAAACEAAAAIAAAAYgAAAAwAAAABAAAAFQAAAAwAAAAEAAAAFQAAAAwAAAAEAAAAUQAAAHj6AAA2AAAAKAAAAL8AAABuAAAAAAAAAAAAAAAAAAAAAAAAAPkAAACAAAAAUAAAACgAAAB4AAAAAPoAAAAAAAAgAMwAlQAAAE0AAAAoAAAA+QAAAIAAAAABABAAAAAAAAAAAAAAAAAAAAAAAAAAAAAAAAAAOWdaa1pre29aa1prWmt7b1prWmtaa3tvWmt7b1pre297b3tvWmt7b1prWmtaa1prWmt7b1pre29aa1prWmtaa1prWmtaa3tvWmt7b1pre29aa1prWmtaazlnWmtaa1prWmtaa1prWmtaa3tvWmt7b1prWmtaa1prWmtaa1prWmtaa1prOWdaazlnWmtaa1prOWdaa1pre29aa1prWmtaa1pre29aa1prOWdaazlnWmtaa1prWmtaa1prWmtaa1prOWdaazlnWms5Z1prWmtaa1prWmtaa3tvWmtaa1prWms5Z1prWmtaa1prWmtaa1prOWdaa1prWms5Z1prOWdaa1prWms5Z1prOWdaazlnWms5Z1prOWdaazlnWms5Z1prOWdaa1prWmtaa1prOWdaazlnOWc5Z1prOWdaazlnWmtaa1prWmtaa1prWmtaa1prOWdaazlnWms5Z1prOWdaazlnWms5Z1prOWdaazlnWms5Z1prOWdaazlnWmtaa1prOWdaa1prWms5Z1prOWdaa1prWms5Z1prOWc5ZzlnWms5ZzlnOWc5ZzlnOWc5Z1prWms5Zzlne297b3tvOWdaazlnOWc5ZzlnOWc5ZzlnOWc5Z1prWmtaazlnOWc5Z3tvOWdaazlnOWc5ZzlnOWdaaxhjAAB7b1pre297b3tvWmt7b3tve29aa3tve297b1pre29aa3tve297b1prWmtaa3tvWmt7b1pre29aa3tvWmt7b1prWmtaa3tvWmt7b1pre29aa3tvWmtaa1prWmtaa1prWmt7b1pre29aa3tvWmt7b3tve29aa3tvWmtaa1pre29aa1prWmtaa1prWmtaa1prWmtaa1pre29aa3tvWmt7b1pre297b3tvWmtaazlnWmtaa1prWmt7b1pre29aa3tvWmtaazlnWmtaa1prWmtaa1prWmtaa3tvWmt7b1pre29aa1prWmt7b1pre29aa3tvWmtaa1pre29aa1prWmtaa1prWmtaa1prWmtaa1prWmtaa1prOWdaa1prWmtaa1prWmtaa1prWmtaa1prWmtaa1prWms5Z1prOWdaa1prWms5Z1prWmtaa1prWmtaa1prWmtaa1prWmtaa1prWmtaa1prWmtaa1prWmtaa1prWmtaa1prWmtaa1prWmtaa1prWmtaa1prWmtaa1prOWdaa1prWms5Z1prWmtaazlnWmtaa1prOWdaazlnOWc5Z1prWmtaazlnWmt7b3tvWmtaazlnWms5ZzlnOWc5ZzlnWms5Z1prWmt7b1prWms5Z1prWmtaazlnWms5Z1prOWdaazlnWmsAAFpre297b3tvWmt7b1pre29aa3tvWmt7b1pre29aa1prWmt7b1prWmtaa1prWmtaa1pre29aa1prWmtaa1prWmtaa1prWmtaa1prWmtaa1prWmtaa1prWmtaa1prWmtaa1pre29aa1prWmt7b1pre29aa3tvWmtaa1prWmtaa1prWmtaa1prWmtaa1prWmtaa1pre29aa1prWmtaa1prWmtaa3tvWmtaazlnWms5Z1prOWdaa1prWmtaa1prOWdaa1prWms5Z1prWmtaa1prWmtaa1prWmtaa1prWmtaa1prWmtaa1prWmtaa3tvWmt7b1prWmtaa1prWmtaazlnWmtaa1prWmtaa1prWmtaa1prOWdaa1prWmtaa1prWmtaa1prWms5Z1prOWdaazlnWms5Z1prOWdaazlnWms5Z1prWmtaazlnWmtaa1prOWdaazlnWms5Z1prOWdaazlnWms5Z1prOWdaazlnWms5Z1prWmtaa1prWms5Z1prOWdaazlnWms5Z1prOWdaazlnWmtaa1prOWdaazlnOWc5Z1prOWdaazlnOWc5Z1prOWdaazlnWmtaa3tvWmtaazlnWms5ZzlnOWc5ZzlnOWc5ZzlnOWdaazlnWms5ZzlnOWdaazlnWms5ZzlnOWc5ZzlnOWc5ZwAAe29aa3tve297b1pre29aa3tvWmt7b1pre29aa3tvWmtaa1prWmtaa3tvWmt7b1pre29aa3tvWmt7b1pre29aa1prWmtaa1prWmtaa1prWmt7b1prWmtaa1prWmtaa1pre29aa1prWmt7b3tve29aa3tvWmt7b1pre29aa3tvWmt7b1pre29aa3tvWmt7b1pre29aa1prWmtaa1prWmtaa3tvWmt7b1prWmtaa1prWmtaa1prWmtaa3tvWmtaazlne29aa1prWmt7b1pre29aa1prWmtaa1prWmtaa1prWmt7b1pre29aa3tvWmt7b1prWmtaa3tvWmtaa1prWmtaa3tvWmtaa1prWmtaa1prWmtaa1prWmtaa3tvWmtaa1prWmtaa1prOWdaazlnWmtaa1prWmtaazlnWmtaa1prOWdaa1prWmtaa1prWmtaa1prWmtaa1prWmtaa1prWmtaa1prWmtaa1prWmtaa1prWmtaa1prWmtaa1prWmtaazlnWms5Z1prOWdaa1prWmtaa1prWmtaa1prWms5Z1prOWdaa1prWms5Z1prWmtaa1prOWc5Z1prWmtaazlnWms5Z1prOWc5ZzlnWms5Z1prOWdaa1prWms5Z1prOWdaa1prWms5Z1prOWdaazlnWms5Z1prAABaa3tve297b1prWmtaa3tvWmtaa1pre29aa3tvWmt7bzlnWmtaa1prWmtaa1pre29aa1prWmtaa1prWmtaa3tvWmtaa1prWms5Z1prWmtaa1prWmtaa1prOWdaa1prWmtaa1prWmt7b1pre29aa3tvWmtaa1prWmtaa1prWmt7b1prWmtaa1prWmtaa1pre29aa1prWmtaazlnWms5Z1prWmtaa1pre29aa1prWmtaa1prWmtaa1prWmtaazlnWmtaa1prWmtaa1prWmtaa1prOWdaazlnWmtaa1prWmtaa1prWmtaa1prWmtaa1prWms5Z1prWmtaazlnWms5Z1prOWdaazlnWms5Z1prWmtaazlnWms5Z1prOWdaazlnWms5Z1prOWc5ZzlnWmtaa1prWmtaazlnWms5Z1prOWdaazlnWmtaa1prOWdaa1prWms5Z1prOWdaazlnWms5Z1prOWdaazlnWms5Z1prOWdaazlnWms5Z1prOWdaa1prWms5Z1prOWdaazlnWmtaa1prOWdaa1prWms5ZzlnOWdaazlnWms5Z1prOWdaazlnWmsYY1prWmtaazlnOWc5Z1prOWc5ZzlnOWc5ZzlnOWdaazlnWms5Z1prOWc5ZzlnWms5Z1prOWc5ZzlnOWc5Z1prOWcAAHtve2+cc3tve29aa3tve297b1pre297b3tvWmt7b1prWmtaa3tvWmt7b1pre29aa3tvWmt7b1pre29aa3tvWmtaa1pre29aa1prWmtaa1prWmtaa1prWmtaa1pre29aa3tvWmt7b1pre297b3tvWmt7b1pre29aa3tvWmt7b3tve29aa3tvWmt7b1pre29aa1prWmtaa1prWmtaa1prWmtaa1pre29aa1prWmtaa1pre29aa3tvWmtaa1prWmtaa3tvWmt7b1prWmtaa1prWmtaazlnWmtaa1prWmtaa1prWmtaa1prWmtaa1prWmtaa1prWmtaa1prWms5Z1prWmtaazlnWms5Z1prOWdaa1prWmtaa1prWmtaazlnWms5Z1prWmtaa1prWmtaa3tvWmtaa1prWmtaa1prWmtaazlnWmtaa1prWmtaa1prWmtaa1prWmtaa1prWmtaa1prWmtaa1prWmtaa1prWmtaa1prWms5Z1prOWdaa1prWmtaa1prOWdaa1prWmtaa1prWmtaa1pre29aa1prOWdaazlnWmtaa1prWmtaazlnWms5ZzlnWmtaazlnOWc5Z1prOWdaazlnWms5ZzlnOWdaazlnWms5Z1prOWc5ZzlnOWc5Z1prOWdaazlnWms5Z1prOWdaawAAe297b3tve297b3tvWmt7b1pre29aa3tvWmt7b1prWmtaa1prWmt7b1pre29aa1prWmtaa1prWmtaa3tvWmt7b1prWmtaa1prWmtaa1prWmtaa1prOWdaa1prWmtaa1prWmtaa1pre297b3tvWmtaa1pre29aa1prWmt7b1pre29aa1prWmtaa1prWmtaa1prWmtaa1prWmtaa1prWmtaa1prWmtaa3tvWmtaazlnWmt7b3tvWmtaa1prWmtaa1prWmtaa1prWmtaa1prOWdaazlnWms5Z1prWmtaa1prWmtaa1prWmtaa1prWmtaa1prOWdaa1prWmtaa1prOWdaazlnWms5Z1prOWdaa1prWmtaa1prWmtaa1prWms5Z1prOWdaazlnWmtaa1prWmtaa1prWms5Z1prWmtaazlnWms5Z1prOWdaazlnWms5Z1prOWdaazlnWms5Z1prOWdaazlnWms5Z1prOWdaazlnWms5Z1prOWdaazlnWms5Z1prOWdaazlnWms5Z1prOWdaazlne29aa1prOWdaazlnOWc5Z1prOWdaazlnWms5ZzlnOWdaazlnOWc5Z1prOWc5ZzlnWms5ZzlnOWc5ZzlnWms5Z1prOWc5ZzlnOWcYYzlnOWdaazlnOWc5ZzlnOWc5ZzlnAAB7b3tve297b3tvWmt7b1pre29aa3tvWmt7b1pre29aa3tvWmt7b3tve297b3tvWmt7b1pre29aa3tvWmt7b1pre29aa3tvWmt7b1prWmtaa1prWmtaa1prWmtaa3tvWmt7b1pre29aa3tve297b1pre29aa3tvWmt7b1pre297b3tvWmtaa1prWmtaa1prWmtaa1pre297b3tve297b1prWmtaa3tvWmt7b1prWmtaa5xze297b1prWmtaa3tvWmt7b1prWmtaa1prWmtaa1prWmtaa1prWmt7b1pre29aa3tvWmt7b1pre29aa1prWmtaa1prWmtaa1prWmtaa1prWmtaa1prWmtaa1pre29aa3tvWmtaa1pre29aa1prOWdaa1prWmtaa3tvWmt7b1pre29aa1prWmtaa1prWms5Z1prWmtaa1prWmtaa1prWmtaa1prWmtaa1prWmtaa1prWmtaa1prWmtaa1prWmtaa1prWmtaazlnWms5Z1prOWdaa1prWmtaa1prOWdaazlnWmtaa3tvOWdaazlnWms5Z1prOWdaazlnWms5ZzlnOWdaa1prWms5Z1prWmtaazlnWms5Z1prOWdaazlnWms5Z1prOWc5ZzlnOWc5ZzlnOWdaazlnWms5Z1prOWdaazlnOWcAAFprWmtaa3tvWmt7b1pre29aa3tvWmt7b1prWmtaa1prWmtaa1pre29aa1prWmtaa1prWmtaa1prWmtaa1pre29aa1prWmtaa1prWmtaa1prWmtaa1prWmtaa1prWmtaa1prWmtaa3tvWmtaa1prWmtaa1prWmtaa1prWmtaa1prWmtaa1pre29aa1prWmt7b1prWmtaa1prWmtaa1pre29aa1prWmtaa1prWmtaa1prWmtaa1prWmtaa1prWmtaa1prWmtaa1prOWdaazlnWmt7b3tvWmtaazlnWmtaa1prOWdaa1prWmtaa1prWmtaa1prWmtaa1prWmtaa1prWms5Z1prWmtaa1prWms5Z1prOWdaazlnWms5Z1prWmtaazlnWmtaa1prWmtaa1prWms5Z1prOWdaazlnWmtaa1prOWdaazlnWms5Z1prWmtaazlnWms5Z1prWmtaa1prWms5Z1prOWdaazlnWms5Z1prWmtaa1prWms5ZzlnOWc5ZzlnOWc5Z1prOWdaazlnWmtaa1prOWdaazlnWms5Z1prWmtaazlnOWc5Z1prOWdaazlnOWc5ZzlnOWc5ZzlnOWc5ZzlnOWc5ZzlnWms5Z1prOWc5ZzlnOWc5ZzlnOWc5ZzlnOWc5ZzlnOWc5ZzlnOWcYYwAAe29aa3tve297b1pre29aa3tvWmt7b3tve29aa3tvWmt7b1pre29aa3tvWmt7b1prWmtaa3tvWmt7b1pre29aa1prWmt7b1prWmtaa3tvWmtaa1pre29aa1prWmt7b1prWmtaa3tvWmtaa1prWmtaa1prWmtaa1prWmtaa3tvWmt7b1pre29aa3tvWmt7b1pre29aa3tvWmt7b1pre29aa3tvWmt7b1pre29aa3tvWmtaa1pre29aa1prWmt7b1prWmtaa1prWmtaa1prWmtaa3tvWmtaa1prWmtaa3tvWmtaa1prWmtaa1prWmt7b1prWmtaa3tvWmtaa1pre29aa1prWmtaa1prWmtaa1prWmtaazlnWms5Z1prWmtaa1prWms5Z1prWmt7b1pre29aa1prWmtaa1prWmtaa1prWmtaazlnWmtaa1prWmtaa1prWms5Z1prWmtaa1prWmtaa1prOWdaa1prWmtaa1prWmtaa1prWmtaa1prOWdaazlnOWc5Z1prOWdaa1prWmtaa3tvWmtaazlnWms5Z1prWmtaazlnWms5Z1prWmtaazlnWms5Z1prOWdaazlnWms5Z1prOWdaazlnWmtaa1prOWdaazlnWms5Z1prOWdaazlnWms5Z1prOWdaazlnWms5ZzlnAABaa3tvWmt7b1pre29aa1prWmt7b1pre29aa3tvWmt7b1pre29aa3tvWmtaa1prWmtaa1prWmtaa1pre29aa1prWmtaa1prWmtaa1prWmtaa1prWmtaa1prWmtaa1prWmtaa1prWmtaa1prWms5Z1prWmtaa1prWmtaa1prWmtaa1pre29aa1prWmt7b1prWmtaa3tvWmt7b1pre29aa3tvWmt7b1pre29aa3tvWmtaa1prWmtaa1prWmtaa1prWms5Z1prOWdaazlnWms5Z1prOWdaa1prWmtaa1prWmtaa1prWms5Z1prWmtaa1prWmtaa1prWmtaa1prWmtaa1prOWdaa1prWmtaa1prOWdaazlnWms5Z1prOWdaazlnWms5Z1prOWdaa1prWmtaa1prWmtaa1prWmtaa1prOWdaazlnWms5Z1prOWdaazlnWms5Z1prOWdaa1prWmtaa1prOWdaazlnWmtaa1prOWdaazlnWms5Z1prOWdaazlnOWc5ZzlnOWdaazlnWmtaa1prWmt7b1prWms5Z1prOWdaazlnWms5Z1prWmtaazlnWms5Z1prOWc5ZzlnWms5ZzlnOWdaazlnOWc5Z1prOWdaa1prWms5ZzlnOWdaazlnOWc5ZzlnOWc5ZzlnOWc5ZzlnOWcAAHtvWmt7b1pre29aa3tvWmt7b1pre29aa3tve297b1pre29aa3tvWmt7b1prWmtaa3tvWmt7b1pre29aa3tvWmt7b1prWmtaa3tvWmtaa1prWmtaa1prWmt7b1pre29aa1prWmtaa1prWmtaa1prOWdaa1prWmtaa1prWmtaa1pre29aa3tvWmt7b1pre29aa3tve297b3tve29aa3tvWmt7b1pre29aa3tvWmt7b1pre29aa1prWmt7b1prWmtaa1prOWdaazlnWmtaa1prWmtaa1pre29aa3tvWmtaa1prWmtaa1prWmtaa1prWmtaa1prWmtaa1prWmtaa1prWmtaa1prWmtaa3tvWmtaa1prWmtaa1prOWdaa1prWmtaa1prWmtaa1pre29aa1prWmt7b1prWmtaa1prWmtaa1prWmtaa1prWmtaazlnWms5Z1prWmtaa1pre29aa1prOWdaazlnWmtaa1prWmtaa1prWmtaa1prWmtaa1prWms5Z1prOWdaazlnWmtaa1prWmt7b1prWms5Z1prOWdaazlnWms5Z1prWmt7b1prWmtaa1prOWc5ZzlnWms5Z1prOWdaazlnWms5Z1prWmtaazlne29aa1prOWdaazlnWms5Z1prOWdaazlnWms5Z1prOWdaawAAWmtaa1pre29aa3tvWmt7b1prWmtaa3tvWmt7b1pre29aa3tvWmtaa1prWmtaa1prWmtaa1pre29aa1prWmtaa1prWmtaa1prWmtaa1prWmtaa1prWmtaa1prWmtaa1prWmtaa1prWmtaa1prWmtaazlnWmtaa1prWmtaa1prWmtaa1prWmt7b1prWmtaa3tvWmt7b1pre29aa3tvWmt7b1prWmtaa3tvWmtaa1prWmtaa1prWmtaa1prWmtaa1prOWdaazlnWms5Z1prWmtaa1pre297b3tvWmtaa1prWmtaa1prWmtaa1prWmtaa1prWmtaa1prWmtaa1prWmtaazlnWmtaa1prWmtaa1prWmtaa1prWmtaazlnWmtaa1prOWdaa1prWmtaa1prWmtaazlnWmtaa1prWmtaa1prWmtaa1prWmtaazlnWms5ZzlnOWdaazlnWmtaa1prOWdaazlnWms5Z1prOWdaazlnWms5Z1prOWdaazlnWms5Z1prOWc5ZzlnWms5Z1prWmtaa1prWmtaa1prOWdaazlnWms5Z1prWmtaa1prWmtaa1prOWc5ZzlnOWc5Z1prOWdaazlnWms5Z1prOWc5ZzlnWmtaa1prOWdaazlnOWc5ZzlnOWc5ZzlnOWc5ZzlnOWc5ZzlnAAB7b1pre297b3tvWmt7b1pre29aa3tve297b1pre29aa3tvWmt7b1prWmtaa3tvWmt7b1pre29aa3tvWmt7b1prWmtaa3tvWmtaa1pre29aa1prWmt7b1prWmtaa3tvWmt7b1pre29aa3tvWmtaa1prWmtaa1prWmtaa1prWmtaa3tvWmt7b1pre29aa3tvWmt7b1pre29aa3tvWmt7b1prWmtaa3tvWmt7b1pre29aa1prWmt7b1prWmtaa3tvWmtaa1prWmtaa1prWmtaa1prWmt7b5xze297b1prWmtaa1prWmt7b1prWmtaa1prWmtaa1prWmtaa1prWmtaa1prWmtaa3tvWmt7b1prWmtaa1prWmtaa1prWmtaa1prWmtaa1prWmtaa1prWmtaa1prWms5Z1prWmtaa1pre29aa1prWmtaa1prWms5Z1prOWdaa1prWmtaa3tvWmtaazlnWms5Z1prWmtaa1prWmtaa1prOWdaa1prWmtaa1prWmtaazlnWmtaa1prWmtaa1pre29aa1prWmtaazlnWmtaa1prWmtaa1prWms5Z1prWmtaazlnWms5Z1prWmtaazlnWms5Z1prWmtaazlnWmtaa1prWmtaazlnWms5Z1prOWdaazlnWms5Z1prOWdaazlnWmsAAFpre29aa3tvWmt7b1prWmtaa3tvWmt7b1pre29aa1prWmt7b1prWmtaa1prWmtaa1pre29aa1prWmtaa1prWmtaa1prWmtaa1prWmtaa1prWmtaa1prWmtaa1prWmtaa1prWmtaa1prWmtaazlnWms5Z1prOWdaa1prWmtaa1prWmt7b1prWmtaa3tvWmtaa1pre29aa1prWmt7b1pre29aa1prWmtaa1pre29aa1prWmtaa1prWmtaa1prWmtaa1prWmtaa1prWmtaa1prWms5Z1prWmt7b1prWms5Z1prWmtaa1prWmtaa1prOWdaa1prWms5Z1prWmtaazlnWmtaa1prWmtaa1prWmtaa1prWmtaa1prWmtaa1prOWdaa1prWmtaa1prWmtaazlnWms5Z1prOWdaazlnWms5Z1prWmtaazlnWms5Z1prOWdaazlnWms5Z1prWmtaazlnOWc5Z1prOWdaa1prWms5Z1prOWdaazlnWms5Z1prOWdaazlnWms5Z1prWmtaazlnWmtaa1prOWdaazlnWms5Z1prOWdaa1prWms5ZzlnOWdaazlnWms5ZzlnOWdaazlnWms5Z1prOWdaazlnOWc5Z1prWmtaazlnOWc5Z1prOWc5ZzlnOWc5ZzlnOWc5ZzlnOWc5ZwAAe29aa3tvWmt7b1pre29aa3tve297b1pre29aa3tvWmt7b1tre29aa1trWmt7b1pre29aa3tvWmt7b1prWmtaa3tvWmtaa1pre29aa1prWmtaa1prWmtaa3tvWmt7b1prWmtaa1prWmtba1prWms5Z1prWmtaa1prW2taa1trW2t8b1tre29aa3tvWmt6b1prWmtaa1trWmt7b1tre29aa3tvWmt7b1pre29aa3tvWmt7b1prWmtaa3tvWmtaa1pre29aa3tvWmt7b1prWmtaa1lrWWt6b1prWms5Z1prWmt7b1prWmtaa1prWmtaa1prWmtaa1prWmtaa1prWmtaa1prWmt7b1pre29aa1prWmt7b1prWmtaa1prWmtaa1prWmtaa1prWmt7b1prWmtaa1prWmtaazlnWms5Z1prOWdaa1prWmtaa1prWmtaazlnWmtaa1prWmt7b1prWms5Z1prOWdaa1prWmtaa1prWmtaa1prWmtaa1prWmtaazlnWmtaa1prWmtaa1prWmtaa1prWmtaa1prWmtaa1prWmtaa1prWms5ZzlnOWc5ZzlnWms5ZzlnOWdaa1prWms5Z1prWmtaa1prWms5Z1prOWdaazlnOWc5Z1prOWdaazlnWms5Z1prOWdaazlnWms5Z1prAABZa1prWmt6b1prem9aa3tvWmt7b1prem9aa1prWmtaa1trW29ba3tvWmtba1prW2taa3tvWmtaa3pve285Z1prOWdaa1prWmtaa3tvWms5Z1lrWmtaa1prWWtaa1lrWmtaa1prWmtbazpnWms5Z1prOWd6b3tvWms7aztnXW/ZXjRK2V6dc1trWmtZZ3pvem9aa3tvW2t7b1trW29aa3tvWmt7b1prWmtaa1prWmt7b1prWmtaa1prWmtaa1prWmtZa1prOWdaazlnWmtZa3pvWWdZa1lrWmtZa1prWmtaa1prWmtaa1prWmtaa1prWms5Z1prWmtaazlnWmtaa1prWmtaa1prWmtaa1prWmtaa1prWmtaa1prWmtaa1prWmtaa1prWmtaa1prWmtaa1prWmtaa1prWmtaa1prWmtaazlnWms5Z1prOWdaazlnWms5Z1prOWdaa1prWmtaa1prOWdaa1prWmtaa1prWmtaazlnWms5Z1prOWdaazlnWms5ZzlnOWdaazlnWms5Z1prOWdaa1prWmtaa1prOWdaazlnWms5Z1prOWdaazlnWms5Z1prOWdaazlnWms5ZzlnOWc5ZzlnWms5Z1prOWdaazlnOWc5ZzlnOWc5ZzlnWms5ZzlnOWdaazlnOWc5Z1prOWcAAFprWmt6b1pre29aa3tve297b3pve29aa3pvWmt6b1pre29ba3tvW2tbb1tre29aazlnWmt7b1pre29aa1prem97b1pre29aa1prWmt7b1prem9aa3pvWmtaa1lrWmtZa3prWmtba1prW2s6Z1trOWdaazlnWms5Z3xvG2faXm8xLSWxNVxrfG+cc3pvem9Za3tvW2t8b1tre29ba3tvWmt7b1pre29aa3tvWmt7b1prWmtaa3tvWmt7b1pre29aa1prWWtaa1lrWmtZa3pvWmtaa1lrWmtZa1prWmt6b1prWmtaa3tvWmt7b1prWmtaa1prWmtaa1prWmtaa1prWmtaa1pre29aa1prWmt7b1prWmtaa3tvWmtaa1prWmtaa1prWmtaa1prWmtaa1prWmtaa1prWmtaa1prWmtaa1prWms5Z1prOWdaazlnWmtaa1prWmtaa1prWmtaa1prOWdaa1prWmtaa1prWmt7b1prWms5Z1prWmtaa1prWmtaa1prOWdaa1prWmtaa1prOWdaazlnWmtaa1prWmtaazlnWms5Z1prOWdaazlnWmtaa1prOWdaa1prWms5Z1prOWc5ZzlnWmtaa1prWmtaa1prOWc5Z1prOWc5ZzlnWmtaa1prOWdaazlnWms5Z1prOWdaawAAWmtaa1prem9aa3tvWmt7b1pre29aa3pvWmt6b1prWmtaa1tvWmtba1prW2taa1trOmd7b1trW2tba1trOWd7b1prWmtaa3tvWmtaa1pre29aa3pvWmtaa1lrWms5Z1lrWWtaa1prWms6Z1trOmdaa1lrWWs5ZzlnXG87a3ZSqRTrIC0pGmNca1pre29Za3pvWmt7b1trW2tba1tvWmtaa1pre29aa3tvWmt7b1prWmtaa1prWmtaa1prWmtaa1prWWtaazlnWmtZa1prWWtaa1lrWmtZZ1prWWtaa1lrWmtaa1prWmtaa1prWms5Z1prWmtaazlnWmtaa1prOWdaa1prWmtaa1prWmtaa1prWmtaa1prWmtaa1prWms5Z1prWmtaa1prWmtaa1prWmtaa1prWms5Z1prOWdaazlnWms5Z1prOWdaazlnWms5Z1prWmtaazlnWmtaa1prOWdaazlnWms5Z1prWmtaa1prWms5Z1prOWdaazlnWms5Z1prWmtaazlnWmtaa1prOWdaazlnWms5Z1prWmtaazlnWms5Z1prOWdaa1prWms5Z1prOWdaazlnWms5Z1prOWc5ZzlnWms5Z1prOWdaazlnWms5Z1prOWc5ZzlnOWc5Z1prOWdaazlnOWc5Z1prOWc5ZzlnAAB7b1pre29aa3tvem97b3pve296b3tvWmt7b1prem9aa3tvW2t7b1tre29ba1tvW2ucc1trGWP4XltrW29ba1prW2s6Z1tre2+cc1pre297b3tvWmt6b1prWmtZa1prWWt6a1lrWmtaa1trWmtaazlnWmtZa3tvOWdbaztnuFrKGG8xLSlca1trOWd6b3pvm3N7b1tre29ba3tvW2t7b1pre29aa3tvWmt7b1prWmtaa1prWmt7b1pre29aa1prWmtaa1lrWmtZa1prWWtaa1lrWmtZa1prWWtaa1prWmtaa3tvWmt7b1pre29aa1prOWdaa1prWmtaa1prWmtaa1prWmtaa1prWmtaa1prWmtaa1prWmtaa1prWmtaa1prWmtaa1prWmtaa1prWmtaa1prWmtaa1prOWdaa1prWms5Z1prWmtaazlnWmtaa1prWmtaa1prWmtaa3tvWmtaazlnWmtaa1prWmtaa1prWmtaa1prWmtaa1prWmtaa1prOWd7b1prWmtaa3tvWmtaazlnWmtaa1prWmtaa1prWms5Z1prOWdaa1pre29aa1prOWdaazlnWms5Z1prOWdaazlnWms5Z1prOWdaazlnWms5Z1prOWdaazlnWms5Z1prOWdaazlnWms5Z1prOWdaazlnWmsAAFprem9aa3tvWmt7b1pre29aa3pvWmt6b1prWmtaa3pvWmtba1prW2taa1trW2tbb3xv+F4RQhFGt1pba1xrXG9ba1trOmt7b1tve29aa1prWmt7b1prWmtZa1prWWtZa1lrWWtZa1prOmdaazpnWms4ZzhnWms5ZxljO2fYWuocLSUMJTxrnXNaa3tvWWd6b1prW2tba1trWmtba1prWmtaa1prWmt7b1prWmtaa1prWmtaa1prWmtaa1prWmtaazlnWWs5Z1prOWdaa1lrWms5Z1prWWtaa1lrWmtZa1prWmtaa1pre29aa1prOWdaazlnWmtaa1prOWdaa1prWmtaa1prWmtaa1prWmtaa1prWmtaa1prWmtaa1prWmtaa1prWmtaa1prWmtaa1prWms5Z1prOWdaazlnWms5Z1prOWdaazlnWms5Z1prWmtaazlnWms5Z1prWmtaa1prWms5Z1prWmtaazlnWms5Z1prOWdaazlnWms5Z1prOWdaazlnWms5Z1prWmtaazlnWms5Z1prOWdaazlnWms5Z1prOWc5ZzlnWmtaa1prOWdaazlnOWc5Z1prOWc5ZzlnOWc5Z1prOWdaazlnWms5Z1prOWdaazlnWms5ZzlnOWdaazlnOWc5Z1prOWc5ZzlnWms5ZwAAe29aa3tvem97b3pve296b3tvWmt7b1pre29aa3tvWmt7b1pre29aa3tvW2t7b1trW2uVUq85jjF0ThpjXG98b31vfG98b1prW2tba3xvWmt7b1pre29aa3pvWWt6b1lrWWtZa1prWmtba1prW2taa3pvOGdaazlnW2tba9hehxQMJU0pXGt9c3tvem9aa1prem9aa3tvW2tbb1tre29aa3tvWmt7b1pre29aa1prWmtaa1pre29aa3tvWmt7b1prWmtZZ1prWmtaa1lrWmtZa1prWWtaa1prWmtaa3pvWmt7b1pre29aa3tvWmtaa1prWmtaa1prWmtaa1prWmtaa1prWmtaa1prWmtaa1prWmtaa1prWmtaa1prWmt7b1prWmtaa1prWmtaa1prWmtaa1prOWdaa1prWmtaa1prWmtaa1prWmtaa1prWmtaa1prWmtaa1prWmtaa1prWms5Z1prWmtaa1prWmtaa1prOWdaazlnWmtaa1prWmtaa1prWms5Z1prWmtaa1prWmtaa1prOWdaa1prWms5Z1prWmtaazlnWmtaa1prWmtaa1prWms5Z1prOWdaazlnWms5Z1prOWdaa1prWms5Z1prOWdaa1prWms5ZzlnOWdaazlnWms5Z1prOWdaazlnWms5Z1prAABaa3tvWmt7b1pre29aa3tvWmt6b1prem9aa3pvWmt6b1prWmtaa1prWmtbb1trW286Z/heM0oSQlRKllKWUrha+F5ba3xvW2s6Z1tvW29ba1prWmtaa1prWWt6b1lremtYa1lrWWdaazprW2s6Z1pre284Z1lrem9aa1trt1qHFCwl0jk7Z1xrWmtZa1lrem9aa1trWmtba1prW2taa1prWmt7b1prWmtaa1prWmtaa1prWmtaa1prWmtaa1prWms5Z1lrOWdaa1prWms5Z1prWmtaazlnWmtZa1prWWtaa1prWmtaa1prWmtaa1prWmtaa1prOWdaa1prWms5Z1prWmtaazlnWmtaa1prOWdaa1prWms5Z1prWmtaa1prWmtaa1prWmtaa1prWmtaa1prOWdaazlnWmtaa1prWmtaazlnWms5Z1prOWdaa1prWmtaa1prOWdaa1prWms5Z1prOWdaazlnWms5Z1prOWc5ZzlnWms5Z1prOWdaazlnWms5Z1prOWdaa1pre29aa1prOWdaazlnWms5Z1prOWdaazlnWms5Z1prWmtaa1prWms5Z1prOWc5ZzlnOWc5ZzlnOWc5ZzlnWms5Z1prOWdaazlnWms5Z1prOWc5ZzlnWms5Z1prOWc5ZzlnWms5ZzlnOWcAAHtve297b3pve296b3tvem97b1prem9aa3tvWmt7b1prem9aa3tvWmt7b1tre29ba1trW2s7Z7dadVLyQbA5sDlUSvlinXNcb1trfG98bzprW2taa1trWmt7b1pre296a1lrWWtaa1prW2taa1trWmt6bxdjem96b1prGWPYXsgY6yDyPTxrXGucc1lrem9ZZ3pvWmtba1trW29ba1trWmt7b1prWmtaa1prWmtaa1prWmtaa3tvWmt7b1prWmtaa1lrWWdaa1lrWmtaa1prOmdba1prWmtaa1prWmt6a1lrWmtaa1prWmt7b1prWmtaa1prWmtaa1prWmtaa1prWmtaa1prWmtaa1prWmtaa1prWmtaa1prWmtaa1prWmtaa1prWmtaa1prWmtaa1prWmtaa1prWmtaa3tvWmt7b1prWmtaa1prOWdaa1prWmtaa1prWmtaa1pre29aa1prOWdaa1prWmtaa1prWmtaazlnWmtaa1prWmtaa1prWms5Z1prWmtaa1pre297b3tvWmtaa1prWms5Z1prOWdaazlnWmtaa1prOWdaa1prWmtaa1prOWdaazlnWms5ZzlnOWc5ZzlnWms5Z1prWmtaa1prWmtaa1prOWdaazlnWms5Z1prOWdaazlnWms5Z1prOWc5ZwAAWmt6b1pre29aa3pvWmt7b1prem9aa3tvWmtaa1prWmtZZ1prWmt6b1prW2tba3xvOmtbaztnO2fYWlROjzUrJW0t0DlUThljO2tbazprW2s6a1trW297b1prWmtaa1prWWt5a1lrWmtaa1trOmc6azlnWms4Z3pvGGM5Z9dayRwMJbE5XGt8b1prem96a3prWmt7b1trW29ba3tvW2taa1prWmtaa3tvWmtaa1prWmtaa1prWmtaazlnWmtaa3pvOWdZZzlnWms6Z1trWmtbazlnW2s6Z1prWmtaa1lnm3NZa1prWmtaa1prWmtaa1prOWdaa1prWms5Z1prWmtaazlnWmtaa1prWmtaazlnWms5Z1prWmtaa1prWmtaa1prOWdaazlnWms5Z1prOWdaazlnOWc5Z1prWmtaazlnWms5Z1prOWdaa1prWmtaa1prWmtaa1prWms5Z1prWmtaazlnOWc5Z1prOWdaazlnWms5Z1prWmt7b1prWms5ZzlnOWdaa1prWmtaa1prWmtaazlnWms5Z1prOWdaazlnWms5Z1prOWdaazlnWms5Z1prGGM5ZzlnOWc5ZzlnOWdaazlnOWc5Z1prOWdaazlnWms5Z1prOWdaazlnOWc5ZzlnOWdaazlnOWc5ZzlnOWdaaxhjAAB7b1pre296b3tvWmt7b3pve29aa3tvem97b1prem9aa1prWmt7b1pre29aa3tvW298b1xrfG9caztr2F51UhJCKyVMLa41zzl0ThljfG86Zzpne298bzpnW2udd51zOWd6b3prWmtaa3xvO2c6Z3xvWmtaa1lrem85Zzpn+F7pHCwlkDV9b3xve29aa3pvWmt7b1pre29ba3tvW297b1prWmtaa3tvWmt7b1pre29aa3tvWmt7b1prWmtaa3tvWmtaa1lrWmtaa1prWmtba1trW2tba1trWmt7b1prWmtZa1prWmtaa1prWmtaa3tvWmtaa1prWmtaa1prWmtaa1prWmtaa1prWmtaa1prWmtaa1prWmtaa1pre29aa1prWmtaa1prWmtaa1prOWdaa1prWms5Z1prWmtaa1prWmtaa1prWmtaa1prWmtaa1prWmtaa1prWmtaa1prWmt7b1prWmtaa1prWmtaa1prWmtaa1prOWdaa1pre29aa1prOWdaa1prWmtaa1prWmtaa1prWmtaa1prWmtaa1prWmtaa1prWmtaa1prWmtaa1prWmtaazlnWmtaa1prOWdaazlnWms5Z1prWmtaazlnWms5Z1prOWdaazlnWms5Z1prOWdaazlnWms5Z1prOWdaazlnOWcAAFprem9aa3pvWmt6b1prem9aa3pvWmt6b1prem9aa1prWWt6a1premtaa1prWmt7b1trW2s6a1trW2tba/li+F5TSq41KiVMLY0x0D1UThpjfW86ZxljfG98bzpnOmd8bzhnem85Z1trfG/5XpVSGmM6a3xvOWd7bzlnWmv4Xgoh6yCQNVxrfG9aa3pvWWt6a1prW2s6a1trW2tbb1prWmtaa1prWmtaa1pre29aa1prWmt7b1prWmtaa1prWmtaa1lrWmtZa1prOmdaazpnW2tba1trOmc6a1prem9Za1lrOWdaazlnWmtaa1prWmtaazlnWmtaa1prWmtaazlnWms5Z1prWmtaa1prWms5Z1prOWdaazlnWmtaa1prWmtaa1prWms5Z1prOWdaazlnWms5Z1prOWdaazlnWms5Z1prWmtaa1prWmtaa1prOWdaazlnWms5Z1prWmtaa1prWmtaa1prWmtaa1prWmtaa1prOWdaazlnWmtaa1prOWdaa1prWmtaa1prWmtaa1prWmtaa1prOWdaa1prWms5Z1prOWdaazlnWms5Z1prOWdaa1prWmtaa1prOWc5ZzlnOWc5Z1prOWdaazlnWms5ZzlnOWdaazlnOWc5ZzlnOWc5ZzlnWms5ZzlnOWdaazlnWms5ZwAAe29aa3tvWmt7b1pre29aa3tvWmt7b1pre29aa3pvWmt6b1prem9aa3pvWmt7b1tre29aazprOmdba1prWms6ZxljGWO2Vo01KyltMdA5rzV0ThpjfW86ZztnfW+dczpne2+cc3tvW2s7axJCTCnQOVtrfG97b3tvW2taa/heKyXrIG8xXGt8b3tvWWt6a1pre29aa1trW2t7b1tre29aa1prWmtaa1pre297b3tvWmt7b1pre29aa1prWmtaa1lrWmtZa3prWmtbazpnXGtba3xvW2tba1prWmtaa3tvWWtaa1prWmtaa1prWmtaa1prWmtaa1prWmt7b1prWms5Z1prWmtaa1prWmtaa1prWmtaa1prWmtaa1prWmtaa1prWmtaa1prWmtaa1prWms5Z1prWmtaa1prWmtaa1prOWdaa1prWmtaa1prWmtaazlnWmtaa1prWmt7b1prWmtaa3tvWmt7b1pre29aa1prWmtaa1prWmtaa1prWmtaa1prWmtaa1prWmt7b1prWmtaa3tvWmtaa1prWmtaa1prWmtaa1prWmtaa1prWmtaa1prWmtaa1prWmtaazlnWms5Z3tvWmtaa1prWms5Z1prOWdaazlnWms5Z1prOWdaazlnWms5Z1prOWdaazlnWms5Z1prAABaa3pvWmt6b1prem9aa3pvWmtaa1pre29aa3pvWmt6b1lremtaa3pvWWtaa1pre29aa1prOWdaa1prWmtaa1prOmcYY/hiOWeVUq41KymNMW0tjjUzRjtnfW87Zztnvnc5Z3tvOmc7Z/lesDXJGG0t+V6cc1pre29aa1pr+F5tMcocTi0aY3xvWmtaa1lrem9aa1prOmdbb1trW2taa3tvOWdaa1pre29aa3tvWmt7b1pre29aa1prWmtaa1prWms4Z1lrWWtaazpnW2s7a1xr+F75YltrnHNaa1lrWmtZa1prWmtaa1prOWdaazlnWms5Z1prWmtaa1prWms5Z1prWmtaa1prWmtaa1prWmtaazlnWms5Z1prOWdaa1prWmtaa1prWmtaazlnWms5Z1prWmtaazlnWms5Z1prOWdaa1prWmtaa1prOWdaazlnWms5Z1prWmtaa1prWmtaa1prWmtaa1prWmtaa1prOWdaazlnWms5Z1prOWdaa1prWms5Z1prWmtaa1prWmtaa1prWmtaa1prWmtaa1prWmtaazlnWms5Z1prOWdaazlnWms5Z1prOWdaazlnOWc5Z1prWmt7b1prWmtaa1prOWdaazlnWms5Z1prOWc5ZzlnOWc5ZzlnOWc5ZzlnOWc5Z1prOWcAAHpvWmt7b1prem9aa3tvWmt6b1pre296b3tvWmt7b1prem9aa3tvemtaa1prem9aa3tvWmt6b1prem9aa3pvWmsYY1prfG8ZZxlj+F6VUtA5SyltLY41jzUzRtlaPGf5XlprW2tbaztr+mLROSwlbjHXWnxvfG9bb1trOmcaY7A56xwtKRpjW2t7b1prem9aa3tvWmtba3xvfHNba1tre29aa1pre29aa3tvWmt7b1pre29aa3tvWmt7b1prWmtZa1lrOWdaa1prW29ba1trO2fQOdA911p8c3tvWWt6b1lrem9aa3tvWmtaa1prWmtaa1prWmtaa1prWmtaa1prWmt7b1prWmtaa1prWmt7b1prWmtaa1prWmtaazlnWmtaa1prWmtaa1prWmtaa1prWmtaa1prWmtaa1prOWdaa1prWmtaa1prWmtaa1prWmtaa1prWmtaa1prWmtaa1prWmtaa1prWmtaa1prOWdaazlnWms5Z1prWmtaa1pre29aa1prWmtaa1prWmtaa1prWmt7b1pre29aa1prWmtaa1prWmtaa1prWmtaa1prWmtaazlnOWdaazlnWms5Z1prWmt7b1pre29aa1prWmtaazlnWms5Z1prOWdaazlnWms5Z1prOWdaazlnWms5Z1prWmtaawAAWmt6b1prWmtaa3pvWmtaa1prWmtaa3pvWmt7b1prem9aa3pvWmt6b1lrWmtZa3prWWtaa1lrWmtZa3pvWWtZa3tvOmcYY1trW2s6Z/heGWN1UvE9bS1uMW4xjzHRPXVOGWM6ZztnXGvZXtI9CyELJVVOXGtba3tvW2tbazpnE0bKHC0l2Fo6Z1prem9Za1prem9aa1prfHN8b3tvWmt7b1prWmtaa1prWmt7b1prWmtaa1prWmtaa1prWmtaa1prWWtZazhnWmtba1xrGmP5YuogCiESRltre29Za1prWmtZa1prWmtaa1prWmtaa1prWmtaazlnWms5Z1prWmtaa1prWmtaa1prWmtaa1prWmtaa1prOWdaazlnWms5Z1prWmtaa1prWmtaa1prOWdaazlnWms5Z1prOWdaazlnWms5Z1prOWdaa1prWms5Z1prWmtaa1prWmtaa1prOWdaa1prWmtaa1prOWdaazlnOWc5Z1prOWdaa1prWmtaa1prWmtaa1prWmtaa1prWmtaa1prWmtaa1prOWdaazlnWms5Z1prOWdaazlnWms5Z1prOWdaazlnWms5Z1prOWdaa1prWmtaa1prWmtaazlnOWc5Z1prOWc5ZzlnOWc5ZzlnOWc5ZzlnOWc5Z1prOWdaazlnAAB7b1prem9aa3tvWmt6b1prem9aa3pvWmt7b3pve29aa3tvWmt7b1prem9Za3prWWt7b3pvem9aa3pvWmt6b1lrWWtaa3tvWms6azpnOmcZYxlj+F63VhJCjjErJW0tjjWuNfA9llL6YvpeFEaQMU0tVEo7a1xvW2t8b1trW29UTusgDCXYWhpje296b3pvWWt7b1pre2+cc513e29ba1tre29aa3tvWmt7b1pre29aa1prWmt7b1pre29aa1trWmt6b1lrWWtaa3xvW2saZ9haTS0KIRJGW2t8bzlnemtZa1prWmtaa1pre29aa3tvWmt7b1prWms5Z1prWmtba1pre29aa1prWmtaa1pre29aa3tvWmtaazlnWms5Z1prOWd7b1prWmtaa1prWmtaa1prWmtaa1prOWdaa1prWmtaa1prWmtaa1prWmtaa1prWmt7b1prWmtaa1prWmtaa1pre29aa1prWmtaa1prWms5Z1prOWdaa1prWmtaa1prWmtaa1prWmtaa3tvWmtaa1prWmtaa1prWmtaazlnWms5Z1prWmtaa1prWmtaa1prWmt7b1pre29aa1prOWdaazlnWmtaa1prOWdaazlnWms5Z1prOWdaazlnWms5Z1prOWdaazlnOWc5Z1prOWdaa1prWmsAAFprem9aa3pvWmt6b1prem9Za1prWmtaa1prWmtaa3pvWmt6b1prWmtaa1prWmt6b1prem9aa3prWWtaa1lremtaa3tvWmtaa1prWmtaa1prOWc6Zxhj+F6UUhFCjDErJQslTSlOKZA10z3SPU4tLSWwNTtnGmN8b3xvWWt6a5RS6iAtKRNCfXNba3tvWWubb1lremtaa3pvWmt7a1tre29aa1prWmtaa1prWmtaa1prWmtaa1tre29aa1trOmtaa1lrWWs5Z1prOmtbaxpn+l5vMesgbi1dbzprWWt5a1lrOWdaa1pre29ba3tve297b1prW2taa1trOmdaazpnWmtaa1prWmtaa1prWmtaa1prOWdaa1prWms5Z1prWmtaazlnWmtaa1prOWdaa1prWms5Z1prWmtaa1prWms5Z1prWmtaazlnWms5Z1prWmtaa1prWmtaa1prOWdaazlnWms5Z1prOWdaazlnWms5Z1prOWdaa1prWms5Z1prWmtaa1prWmtaa1prOWdaazlnWmtaa1prWmtaazlnWms5Z1prOWdaazlnWms5ZzlnOWdaazlnWms5Z1prOWdaazlnWms5Z1prOWdaazlnWms5Z1prOWdaazlnWms5Z1prOWdaaxhjOWc5ZzlnGGM5ZzlnWmtaawAAe29aa3tvWmt7b1pre29aa1prWmt6b1prem9aa3tvWmt7b1pre29aa3pvWmt7b3pve29aa3tvWmtaa1prem9aa3tvWmt7b1prWmtaa1prWmtaa1pre29aa1pr917WWpVSM0YTQrE5LSkMIcoc6xzsIE4pdk7YWlxrnXM4Y1prtlbJHC0pM0Zcazpne29aazhnem9Za3pvWmt7b1pre29ba1trWmt7b1pre29aa3tvWmtba1tre29ba3tvWmtba1prWmtZa1prOWdba1trO2f5XpAxyhxOLTxnXGs5Z3lrWGtaa1pre29ba3tvW2t7b1pre29aa1tvW2tba1prW2s6a1trWmtaa1prWmtaa1prWmtaa1prWmtaa1prWmtaa1prWmtaa1prWmtaa1prWmtaa1prWmtaa1prWmtaa1prWmtaa1prWmtaa1prWmtaa1prWmtaa1prWmtaa1prWmtaa1prWmtaa1prWmtaa1prWmtaa1prWmtaa1prWmtaa1prWmtaa1prWmtaa1prWmtaa3tvWmtaa1prWms5Z1prWmtaa1prWms5Z1prOWdaazlnWmtaa1prWmtaazlnWms5Z1prWmtaa1prWmtaa1prWmtaazlnWms5Z1prOWdaazlnOWc5Z1prOWc5ZzlnWmtaa1prAABaa3pvWmt6b1prem9aa3pvWmtaa1prWmtaa3pvWmt6b1prem9aa1prWmt6b1prem9aa3pvWmtaa1prWmtaa1prWmtaa1prWmtaa1prWmtaazlnOWc5ZzlnOWc5ZxhjGGP4XvlellLyPW4tDCXKGMkY6xzROTRGG2ddaxpjOmcZY+sgTinROV1rGWOdczpnWmtZa3prWWt6a1pre2tba1trWmt7b1pre29aa3tvWmtaa1prW2taa1trWmtba1prWmtaa1prOWdaa1prW2saZ/pekDXrIAwl+l5bazlnOGdZa1lrW2taa1prWmtaa1prWmtaa1prWmtaa1prW2s6Z1prWmtaa1prWmtaa1prWmtaa1prWms5Z1prWmtaazlnWms5Z1prOWdaazlnWms5Z1prOWdaazlnWmtaa1prOWdaazlnWmtaa1prWmtaa1prWmtaa1prOWdaa1prWms5Z1prOWdaazlnWms5Z1prOWdaa1prWms5Z1prWmtaazlnWmtaa1prOWdaa1prWms5Z1prWmtaazlnWms5Z1prOWdaazlnWms5Z1prOWdaazlnWms5Z1prOWdaazlnWms5Z1prOWdaazlnWms5Z1prOWdaazlnWms5ZzlnOWc5ZzlnOWc5ZzlnOWc5ZzlnOWc5Z1prOWcAAHtvem97b1pre296b3tvWmt7b1prem9aa3tvWmt7b1pre29aa3tvWmt7b1pre29aa3tvWmt6b1prem9aa3pvWmt7b1prWmtaa3tvWmt7b1pre29aa1prOWdaazlnOWcYY1prOWc6Z/he2FpVSpA1qRRWSrE1LSmRNZhSG2M8Z7hWkDUtKZA1XW9ca3xvOmd7b3pvWmt6a1pre29aa3trW2t7b1pre29aa3tvWmt7b1pre29aa3tvWmt7b1prW2taa1prWmtaazlnW2tbaztn+mLyPQwlDCWXVn1vOmdZa1lrem9aa1prWmt7b1prWmtaa3tvWmtaa1prW2taa1prWmtaa1prWmtaa1prWmtaa1prWmtaa1prWmtaa1prWmtaa1prWmtaazlnWmtaa1prOWdaa1prWmtaa1prWmtaa1prWmtaa3tvWmt7b1prWmtaa1prWmtaa1prWmtaa1prWmtaa1prWmtaa1prWmtaa1prWmtaa1prWmtaa1prWmtaa1prWmtaa1prWmtaa1prWmtaa1prWms5Z1prOWdaazlnWmtaa1prOWdaazlnWms5Z1prWmtaazlnWms5Z1prOWdaa1prWmtaa1prWmtaa1prWms5ZzlnOWc5ZzlnOWc5Z1prOWdaazlnWms5Z1prOWdaawAAWmt6b1pre29aa3pvWmt7b1prem9aa3pvWmt6b1prem9aa3pvWmt6b1prem9aa3pvWmt6b1prWmtZa1prWmtaa1prWmtaa1prWmtaa1prWmtaa1prWmtaa1prWmtaa1prWGc3ZzhjOWcZY/leE0LrIG8t0z1XStQ9DSVwLdM9NkqRMQ0hTik8ZzxnfW8ZY1trWmtaa1prWmtaa1prWmtba1pre29aa3tvWmt7b1pre29aa1prWmtaa1prWmtaa1prOWdaa1lrWms6Z1trOmcbYxNCTinqHDRGXGtaa1lnem9Za1prWmtaa1prWms5Z1prWmtaa1prWmtaa1prWmtaa1prWmtaa1prWmtaa1prWms5Z1prWmtaazlnWmtaa1prOWdaazlnWms5Z1prOWdaazlnWmtaa1prWmtaazlnWms5Z1prWmt7b1pre29aa1prWmtaa1prWms5Z1prOWdaazlnWms5Z1prOWdaazlnWms5Z1prWmtaazlnWmtaa1prOWdaa1prWms5Z1prWmtaazlnWms5Z1prOWdaazlnWms5Z1prOWdaazlnOWc5Z1prOWdaazlnWms5ZzlnOWdaazlnWms5Z1prOWdaazlnWms5ZzlnOWc5ZzlnOWc5ZzlnOWc5ZzlnOWc5ZzlnOWc5ZzlnAAB7b3pve296b3tvem97b3pve29aa3tvem97b1pre29aa3pvWmt7b3pve29aa3tvWmt7b1pre29aa1prWmt6b1pre29aa3tvWmtaa1pre29aazlnOWdaa1prWms5Z1prWWdYazdneW9Zaxlj+F5VSgwhDSWSNbpW9UEPJVAtUC0OJQ4lyxxPLXdS+mJ9b51zW2tba1prW2taa1trWmtba1pre29aa3tvWmt7b1pre29aa3tvWmt6b1prWmtaa3pvWmtaa1prWmtZa1prWmtbaxpjVU6PMeocjzU7azprWmtZa3prWmt6b1prWmtaa1prWmtaa1prWmtaa1prWWt6a1prWmtaa1prWmtaa1prWmtaa1prWmtaa1prWmtaa1prWmtaa1prWmtaa1prWmtaa1prWmtaa1prWmtaa1prWmtaa1prWmtaa1pre29aa3tvWmtaa1prWmtaa1prWmtaa1prWmtaa1prWmtaa1prWmtaa1prWmtaa1prWmtaa1prWmtaa1prWmtaa1prWmtaa1prWms5Z1prOWdaazlnWmtaa1prWmtaazlnWms5Z1prOWdaazlnWms5Z1prOWdaazlnWmtaa1prWmtaa1prWmtaa1prOWdaazlnOWc5ZzlnOWdaazlnOWc5Z1prOWdaazlnWmsAAFpre29aa3tvWmt7b1pre29aa3tvWmt6b1prem9aa1prWmt6b1prem9aa3pvWmtaa1prem9aa1prWmtaa1prWmtaa3tvWmtaa1prWmtaa1prWmt7b1pre29aa1prOWdaa1hnWGuab5tvGWMaY1VKDCENJbM53F71QYoUDiUvKbM5LynMHA0lsTU1RthaXGtbazpnW2s6Z1prWmdbazpnWmtaa1trWmtba1prWmtaa1prWmt6b1lrWmtZa1prWWtaazlnWmtZa1lrOWdbazpnG2eXUtI9yRgsKRljW2taa1lrWWtaa1prWmtaa1prWmtaa1prWmtZa1prWWtaa1lrWmtZa1prWmtaa1prWmtaa1prWmtaazlnWmtaa1prOWdaa1prWmtaa1prWmtaa1prWms5Z1prOWdaa1prWms5Z1prOWdaazlnWmtaa1prWmtaa1prWms5Z1prWmtaazlnWms5Z1prOWdaazlnWms5Z1prWmtaazlnWmtaa1prOWdaazlnWms5Z1prWmtaa1prWms5Z1prOWc5ZzlnWms5Z1prOWdaazlnWms5Z1prOWdaazlnWms5ZzlnOWdaazlnOWc5Z1prOWdaazlnWms5Z1prOWc5ZzlnOWc5ZzlnOWc5ZzlnWms5ZzlnOWdaazlnOWc5ZwAAe296b3tvem97b3pve296b3tvem97b1pre29aa3tvWmt6b1pre296b3tvem96b1pre29aa3pvWmt6b1prem9aa3tvWmt7b1pre29aa1prWmtaa1prWmtaa1prWmt7b3pvmm84Z3lrWWs6Zztnl1ILIQ0lkTEeZ1dOLiUvKQ4lLikWRg4lDSUMJZAxjzGXUvleXGtba1trWmtba1prW2taa1trW2tba1pre29aa1trWmt7b1prWmtZa1prWWt6a1prWmtaa1prWWdaa1prW2saZ9laE0LqIAohGmNbb3tvWWt6a1prem9aa3tvWmtba1prW2taa1prWWt6a1lrWWtZa1prWmtaa1prWmtaa1prWmtaa1prWmtaa1prWmtaa1pre29aa1prWmt7b1prWmtaa1prWmtaa1prWmtaa1prWmtaa1prWms5Z1prWmtaa1prWmtaa1prWmtaa1prWmtaa1prWmtaa1prWmtaa1prWmtaa1prWmtaa1prWmtaa1prWmtaa1prWmtaa1prWmtaa1prOWdaazlnWms5Z1prWmtaa1prWms5Z1prOWdaazlnWms5Z1prOWdaazlnWms5Z1prWmtaa1prWmtaa1prWmtaazlnWms5Z1prOWc5ZzlnWms5ZzlnOWdaazlnOWc5Z1prAABaa3pvWmt6b1prem9aa3tvem97b3pve29aa3tvWmt7b3pvem9aa3tve297b1prWmtZa1prWmtaa1lrWmtaa1pre297b1prWmtaa1prWmtaa1prWmtaa1prWmtaa1prWms5Z3prOWdaZxpjO2e4Vk0pDCFOKbpa+17zPbE5kDFvLcscyxzsILE1FEJNKY4xTC3QOZZSGWM6ZxljW2t7a3xvGWNaa3tvfG9ba1prWmt7b1prWmtaa1prOWdZa1lrWms5Z1prWWtaazlnWms6ZztrG2fyQcocCyV1TltrOWd7bxhjnHMYY3tvW2sYY3xvOms6azlnWmt6bzhnWWtZa3prWWtaa1prWmtaa1prWmtaa1prWms5Z1prOWdaa1prWmtaa1prWmtaazlnWmtaa1prOWdaa1prWmtaa1prOWc5ZzlnWms5Z1prOWdaa1prWmtaa1prWmtaazlnWms5Z1prOWdaazlnWms5Z1prOWdaa1prWms5Z1prOWdaa1prWms5Z1prWmtaazlnWmtaa3tvOWdaazlnWms5Z1prOWdaazlnWms5Z1prOWdaazlnWms5Z1prOWdaazlnOWc5ZzlnOWc5ZzlnWms5ZzlnOWdaazlnWms5Z1prOWc5ZzlnOWc5ZzlnOWdaazlnOWc5ZzlnOWcAAHtvWmt7b1pre29aa3tve297b3tve297b3tvem97b3pve296b3tvem+bc3tve29aa1prWmt6b1prWmtaa3pvWmt7b3tve29aa1prWmtaa1prWmtaa3tvWmt7b1prWmtaa1prW2tbaztnO2c7Z9laTi0MJU0p2l48a7dWllKWUlRK6xwNJesc6xy4VvpeVUrxPY4xbS2uNTJG+F45ZzpnGWOec1trOmcZY1trW2t8b1trW2taa3tvWmtaazlnOWc4Z1prWWtaa1lrWms5Z1trO2c7ZzRGCyHqHDNGW2tbb1pre297bxhjWmtaazprW2t8b3tvWmucc3pvWWtZa3lvWWtaa1prWmtaa1prWmtaa1prWmtaa1prWmtaa1prWmtaa3tvWmtaa1prWmtaa1prWmtaazlnWms5ZzlnOWd7b3tvWms5Z1prWmtaa1prWmtaa1prWmtaa1prWmtaa1prWmtaa1prWmtaa1prWmtaa1prWmtaa1prWmtaa1prWmtaa1prWmtaa1prWmtaa3tvWmtaa1prWmtaa1prWmtaa1prWms5Z1prOWdaazlnWmtaa1prOWdaazlnWms5Z1prOWdaazlnWms5Z1prOWdaazlnWmtaa1prWmtaazlnWms5Z1prOWdaa1prWms5Z1prOWdaawAAWmt6b1prem9aa3tvWmt7b3pve296b3tvem97b1pre297b3tvWmt6b3tve29aa1prWmtaa1prWmtaa1prWmtaa1pre29aa1prWmtaa1prWmtaa1prWmtaa1prWmtaa1prOmdbazpnO2sbYzxn2VqPMesgTS23Vn1vGWMZY/he11puLescyhgMIbhWfm/ZWhpjllLxPUwpbC2NMa41EUK2VtheGmM7Z1xvW2tbazpnOmd7b3tvOmc5ZxljOWdaa5xzOWdaa1lnWWtZa1prOmc7axpjl1LqHMkYjzVca1trOmd7b1trOWdbbzpn+F7xQXROOmd7b1trWmtZa3lrWWtZa1lrWmtaa1prWmtaa1prWmtaa1prOWdaazlnWms5Z1prWmtaazlnWms5Z1prWmtaa1prWmtaa1prOWc5Zzlne285Z1prOWdaazlnWms5Z1prWmtaazlnWmtaa1prOWdaazlnWms5Z1prOWdaazlnWmtaa1prOWdaazlnWms5Z1prWmtaazlnWms5Z1prOWdaazlnWms5Z1prOWdaazlnWms5Z1prOWc5ZzlnWms5Z1prOWdaazlnWms5Z1prOWc5ZzlnWms5Z1prOWdaazlnWmtaa1prOWdaazlnWms5Z1prOWdaazlnWms5Z1prOWc5ZzlnAAB7b1pre29aa3tvem97b3pve297b3tvem97b3pve29aa3tvem97b1pre297b3tvWmt6b1prem9aa3pvWmt6b1pre29aa3tvWmt7b1pre29aa3tvWmt7b1pre29aa1prWmtba1trO2c7ZztnO2f6XtE56iBMKXVOfG9ba1prOWf3XnZS6hzqHG4tE0LZWn1vfm9ca/let1Z1TvE9TClsLa41rzUSQrdWGmM7aztrXG98bzpnOmt7b3tvfG9aa1prOWdaa1lrWmtZa1prWWtaaztnO2eXVusgyRxNLRpjfG86Z1tvWmt7b3xvW2vwPQkhCiH5YltrW2s5Z3prWWt6b1lremtaa1prWmtaa1prWmtaa1prWmtaa1prWmtaa1prWmtaa1prWms5Z1prWmtaa1prWmtaa1prOWdaa1prWmtaa1prWmtaa1prWmtaa1prWmtaa1prWmtaa1prWmtaa1prWmtaa1prWmtaa1prWmtaa1prWmtaa1prWmtaa1prWmt7b1prWmtaa1prWmtaa1prWmtaa1prWmtaa1prWmtaa1prWmtaazlnWms5Z1prOWdaa1prWms5Z1prOWdaazlnWms5Z1prOWdaazlnWms5Z1prWmtaazlnWms5Z1prOWdaazlnWms5Z1prOWdaazlnWmsAAFprem9aa3pvWmt6b1pre29aa3tvem97b1prem9aa3tvWmt7b1prem9aa3pvWmt6b1prWmtaa3pvWmtaa1prem9aa1prWmtaa1prWmtaa3tvWmtaa1prWmtaa1prWmtaazpnWms6Z1trGmM7Z/piE0aoFCsl8T18b3trnHNaa1pr+V7RPckcCyVNKXVOfm9caxpjOmc7Z1trGWO2VhJCzzltLW4tbi3QOTRK2FoaZ1xvW2tcb1trW286ZzpnOWdaazlnWmtZa1prWWtaa1prW2saZ5dW6hwLIQslt1Zba1trWmt7bztrO2fYXukc6iAKIZZSXGs6Z1prWmtZa3pvWWtZa1prWmtaa1prWmtaa1prOWdaa1prWms5Z1prWmtaazlnWms5Z1prOWdaazlnWms5ZzlnGGM5ZzlnWmtaa1prOWdaazlnWms5Z1prOWdaazlnWmtaa1prOWdaa1prWms5Z1prOWdaazlnWms5Z1prWmtaazlnWms5Z1prWmtaa1prWmtaa1prOWdaazlnWms5Z1prWmtaazlnWmtaa1prOWdaazlnWms5ZzlnOWdaazlnWms5Z1prOWdaazlnWms5ZzlnOWdaazlnWms5Z1prOWdaazlnWms5ZzlnOWdaazlnOWc5ZzlnOWc5ZzlnWms5ZwAAe29aa3tvWmt7b1pre297b3tvem97b3pve29aa3tvWmt7b3pve29aa3pvWmt7b1prem9aa3tvWmt6b1pre29aa3tvWmt7b1pre29aa3tvWmtaa1pre29aa3tvWmtaa1premtZZ1prW2s6ZxpjO2dUSsgYKyXPOVtrfG+cb3tvW2s6Z9daKyXpIG0trzW3Vn1vfW9cb1xrGmM7Z1trO2e3WnZSNEbRPW4xbjGvNRJCM0r5XvleOmc6Z1trW2t8b3xvWmtZa1prWWt6a1lrWmtbazxrl1YsJQwlKyU0SlxrW29ba1trXGs6Z3VOZgwsKUwpdU59b1xvW2t7bzlnmm9Za1prWmtaa1prWmtaa1prWmtaa1prWmtaa1prWmtaa1prWms5Z1prWmtaazlnWms5Z5xze29aazlnWmtaa1prWmtaa1prWmtaa1prOWdaazlnWmtaa1prWmtaa1prWmtaa1prWmtaa1prWmtaa1prWmtaa1prWmtaa1prWmtaa1prWmtaa1prWmtaazlnWmtaa1prWmtaa1prWmtaa1prWmtaa1prWms5Z1prOWdaazlnWmtaa1prWmtaazlnWms5Z1prOWdaa1prWmtaa1prWmtaazlnWms5Z1prOWdaazlnWms5Z1prOWc5ZzlnWms5Z1prAABaa3pvWmt6b1pre29aa3tvWmt7b1prem9aa3tvWmt6b1pre29aa1prWmtaa1prem9aa3pvWmt6b1prem9aa3pvWmt7b1prWmtaa1prWmtaa1prWmtaa1prWmtaa1prWWtZa1lrOGd6axljGWMaY5VSyBhMKY0xW2tba3xvOWdbazpnGWONMSslSyltLa81GWM7Z31vnXN8bztnW2s6ZxpjG2c8Z/ped1LRPY4xTS1uMW0x8T10TvliOmdbazpnOWc6Z1prWWdZa1lrWmtaa1trPGvYWk0pCyHqHPE9W2tcbztrW2tba1xrsDWHEOocTS3yQX1vW2tba3tvOWdZa1lrWWtaa1prWmtaa1prWmtaazlnWms5Z1prWmtaazlnWms5Z1prOWdaazlnOWc5Zzln9145ZzlnWms5ZzlnOWdaazlnWms5Z1prOWdaazlnOWc5Z1prOWdaa1prWmtaa1prOWdaazlnWms5Z1prOWdaa1prWms5Z1prOWdaazlnWms5Z1prOWdaazlnWms5Z1prWmtaa1prWmtaa1prWmtaa1prWms5Z1prOWc5ZzlnOWc5Z1prOWdaazlnWms5Z1prOWdaazlnWms5Z1prWmtaazlnWms5Z1prOWdaazlnWms5Z1prOWc5ZzlnOWc5Z1prOWcAAHtvWmt7b1pre296b3tvem97b3pve29aa3tvWmt7b1pre296b3tvWmt6b1prem96b3tvWmt7b1pre29aa3tvWmt7b1pre29aa3tvWmt7b1pre29aa3tvWmt7b1prWmtZa3pvWGtZa3prOWcZYzpnllLIGEwpjjE7Z3xvfG97a5xzfG/3WvE96RzpHBJCsDVuLRpjO2d9b1xrfW9cb31vXGtdazxrXWs8Zxtjl1YzRtA5TS1MLW0xjjUSQnVSGmNca1trWmtaa1prem9aa1trW2t9b/lejzXqHOkcrzV9b1trnXM6Z1xrXGsrJckY6iCwNdA5XGtbazpre284Z3tvWWtaa1prW2taa1tvWmtba1prWmtaa1trWmtbb1prWms6a1prWmtaazlrWms6ZzpnGWPwPVRK+V46Z1trOmdaa1prWmtZa1prWWdaazlnWms5Z1prWmtaa1prWmtaa1prWmtaa1prWmtaa1prWmtaa1prWmtaa1prWmtaa1prWmtaa1prOWdaazlnWmtaa1prWmtaa1prWmtaa1prWmtaa1prWmtaa1prOWdaazlnWms5Z1prWmtaa1prWmtaa1prOWdaazlnWms5Z1prWmtaa1prWmtaa1prOWdaa1prWmtaa1prWmtaazlnWms5Z1prWmtaawAAWmt7b1pre29aa3tvWmt7b1pre29aa3tvWmt7b1pre29aa1prWmtaa1prWmtaa3pvWmtaa1pre29aa3pvWmtaa1prWmtZa3pvem97b1prWmtaa3pvWmtaa1lrWmtZa1prWWtZazhnWWtZazln+GL4Xk0pCiGPMbdWfXNaa3tvem9ZazlnVE4KIeoc80GQNU4pbi1VTthaGmNca35vXWt+c31vfW9baztnOmc7Zxlj11p1TlRK8T2PMS0pTi2xNRRC+V4ZYxpjOmcaYzpnO2dcaztnGmPRPekcCiErJVtrW2t8b1trO2fYWocQCyELIbA10Dlba1trOmdaa1tre29bazprWms6a1trOmtaazprWms6a1prOmtbazprWms6a1prOWtZbzlrOms7a1xvGmO4Vgwl6hzRORtf+l47Y1xnGV9aZ1lnOWdaazlnWmc6Z1trOmdbazprWms5Z1prWWtaazlnWmtaa1prOWdaa1prWms5Z1prOWdaazlnWms5Z1prWmtaa1prWmtaa1prWmtaazlnWmtaa1prWmtaazlnWmtaa1prOWdaazlnWms5Z1prOWdaazlnWms5Z1prOWdaa1prWms5ZzlnOWdaa1prWms5Z1prOWdaazlnWms5Z1prOWc5ZzlnOWc5ZzlnOWc5ZzlnAAB7b1pre29aa3tvWmt7b1pre29aa3tve297b1pre297b3tvWmt7b1prem9aa3tvWmt6b1pre297b3tvem97b1pre29aa1prWmt7b3tve29aa3tvWmt6b1prWmtZa1prWmtZa1lrWWtZa1lrOWcZY/lesDnqHI81dk6ec1trm3N6b3pvGGO2VukcLCWxOVZKsjnzQW4xTS3xPflePGddb55zOmd7b713fG9bazpnW2s6Z1trGmf5XpdSNEaxNXAxLSksKa41dE75XlxrXGtcaztnXGsaYxJCpxTpHCslGmNca3tvOmdca3VOZhDJGLE5t1ZUSnxvfG9aZ3xvWmt8b1trW2s6a1tvWmtbbzprW2s6a1trOmtbbzprW2s6a1tvOms5azlrWm86a1trXG88Z9pacDFPKewcTim5Vn5rXWc7YzljWWubb1lnOWc6Z3trW2tba1prW2taa1prWmtaa1prWmtaa1prWmtaa1prWmtaa1prWmtaa1prWms5Z1prWmtaa1prWmtaa1prWmtaa1prWmtaa1prWmtaa1prWmtaa1prWmtaa1prWms5Z1prWmtaa1prWmtaa1prOWdaazlnWms5ZzlnOWdaa1prWmtaa1prOWdaazlnWms5Z1prOWc5ZzlnWms5ZzlnOWdaazlnWmsAAFpre29aa3tvWmt7b1pre29aa3tvWmt7b1pre29aa3tvWmt7b1prWmtaa1prWmtaa1pre29aa3tvem97b1prem9aa1prWWtaa3pve29aa1prWmt6b1prWmtZa1prWWtaazhnWWtZa1lrOWc5Z/hiGWMTQskcbi0TRn1vfG96b5tzem85Z9daCiEtJW8x2153TgwljzGwNW4xTCnyPdlafW9ba5xve297b3tvm296a1prGWM6ZxpjO2cbY9laVUoTQo4xjjFMKU0tjjETRpdWG2MbYzxndlLJHKgYCyFVTlxrW2tba1xrM0aHEMkY8j35XrdWfW9ba1pre2tbazpnW2s6a1prOmtaazprWms6azprOmtaazprWms6a1trOmtaazhnWWs5azprOmtcbztnG2N2TvI5DCHrGI8tmFI8Y31rOmNaZzlnWmc5Y1pnOmdba1pnWms6Z1prWmtaazlrWmtaa1prOWdaa1prWms5Z1prWmtaazlnWms5Z1prOWdaa1prWmtaa1prWmtaa1prWmtaa1prOWdaazlnWms5Z1prWmtaazlnWms5Z1prOWdaa1prWms5Z1prOWdaazlnWms5Z1prOWc5ZzlnWmtaa1prOWdaazlnWms5Z1prOWdaazlnWms5ZzlnOWdaazlnOWc5ZwAAe297b3tvWmt7b3tve29aa3tve297b1pre297b3tvWmt7b3pve29aa3pvWmt6b1pre296b3tvWmt7b3pve29aa3tvWmtaa1pre296b3tvWmt7b1prem9aa1prWmtaa1prWWtZa3prWWtZazlnOWcZY5ZSyRhuLdA5fG98b3pvem96bzlnGWNNLS0pLilea9teFEZNLU0trzWvNY4x8kFVTltrWmt7b3trm297b3tvWWd7a1pnWms6Z3xvO2saZ/let1pUSvE9bS1MKU0przXROTVKVk5WTuocyhzKHNI5HGdbazpnO2uOMckYDCG4VhtjGmNba1trOmd8b1trW2tba1trWmtbb1prW29aa1prOWtabzprWms6a1pvOmtaazprWWtZa1pvOmtba1trXGs7Zzxndk7ROU0l6xxOKXdOXWeebzpjGWNaZ3xvOmc5Z1pnWmtaa1prWWtaa1prWmtaa1prWmtaa1prWmtaa1prWmtaa1prWmtaa1prWmtaazlne29aa1prWmtaa1prWmtaa3tvWmtaazlnWmtaa1prWmtaa1prWms5Z1prOWdaazlnWmtaa1prWmtaa1prWms5Z1prOWdaazlnWmtaa1prWmtaazlnWms5Z1prOWdaazlnWms5Z1prOWdaazlnWms5Z1prAABaa3tvWmt7b1pre29aa3tvWmt7b1pre29aa3tvWmt7b1pre29aa3pvWmtaa1prem9aa1prWmtaa1prWmtaa3pvWmt6b1prem9aa3pvWmt6b1prem9aa1prWWtaa1lrWmtZa1lrOWdZa1lrWmsZYxljl1bqHCwljzUaY3xzWmt6bzlnWmv4XvFBDCVOKftiPWscZxJCTCltLa81E0byPW0t8D2VUjlnnHN6b1prWWubb5tvm29aa1prOWc6ZzpnOmcaYxpj+V7YWnVOE0KPNW4tLSUMJS0liBSqGMscLim6Wn1vfXM7ZwshiBAMJftiXGs7ZztnOmdaa1prW2s6Z3xvOmtaa1prWms5a1prOWdaazlnWms5a1prOWdaazlrWms5a1pvWmtaazlnWms6Z1trGmMbY/I9LSVOKS0hLiV3ShtjO2c7Z1trOmdaZzlnWWdZZ1lrWWtaazlnWms6a1prOWdaa1prWms5Z1prWmtaa1prWmtaa1prOWdaazlnWmtaa1prWmtaa1prWmtaa1prWmtaazlnWms5Z1prWmtaa1prWms5Z1prOWdaazlnWms5Z1prOWdaazlnWms5Z1prOWdaazlnWms5Z1prWmtaazlnWms5Z1prOWdaazlnWms5Z1prOWdaazlnWms5Z1prOWcAAHtve297b3tve297b3tve297b1pre297b3tvWmt7b3tve29aa3tvWmt7b1pre296b3pvWmt6b1prWmtaa3pvWmt7b1pre29aa3pvWmt7b1pre29aa3pvWmtaa1lrWmtaa3pvWWtZa1lrem9aazprGWPZXiwpLCWOMdhafG97b1lrWWtaaxlndVJNKU4pmFI9a/peXGvYWkwpxxiOMTNGrzUqJY0xdE45Y5xznHOcc3pvWWtZa3tve297b3pre297b1trW2tbazpnGmPYWrdWdk4TQk4tDSWpFOwc7BwNIdM9+l47ZxtnDCXKHAwhHGdca31vO2d8b1prW2t7a1trW2taa1lrWm9aa1prWWtaa1lrWmtZa1prWWtaa1lrWmtZa1pvWmtab1prWms5Z1prOmc6Y1tn2FryPZAxTykuJQ0hFEIbX79zXGcZY1prnG9ZZ1lrWWtZa1lrWmtaa1trWmtaa1prWmtaa1prWmtaa1prWmtaa1prWmtaa1prWmtaa3tvWmt7b1prWmtaa1prWmtaa1prWmtaa1prWmtaa1prWmtaa1prWmtaazlnWmtaa1prWmtaa1prWms5Z1prOWdaa1prWmtaa1prOWdaa1prWms5Z1prOWdaazlnWms5Z1prOWdaazlnWms5Z1prOWdaawAAWmt7b1pre29aa3tvWmt7b1pre29aa3tvWmt7b1pre29aa3pvWmtaa1pre29aa3tvWmt6b1prWmtaa1prWmt6b1pre29aa1prWmtaa1prem9aa3pvWmtaa1lrWmtZa1prWmtaazlnWWtZa1prOWc6Z/le0DnpHI4xdE58b3tvWmtZa1prOme3Wo8xbi3zQV5vXW9ca/ledE6NMQohbTGWVq41bC1sLTJG+F6cb3tvWmtaa3pve2+bc3pvemtZZ1prOWc6ZzpnW2s7ZztnGmP6XhtjuFYUQnAxDSHtIO0cTy2PMfE98j0LIS0lTikcY59zXGs6Z3tvWms6Z3xvOmdba1prWmtZa1prWWtaazlnWWtZZ1lrOWdZa1lnWWs5Z1lrWmtaazlnWWtZa1lrOWdZZ1pnOmdca/pe0jWyNZIxzBgMITVGG2M8ZxpjW2t6a1lnWGdZa1hnWWtZa1prOmtaa1prWms5Z1prWmtaazlnWmtaa1prWmtaa1prWms5Z1prWmtaa1prWmtaa1prOWdaazlnWms5Z1prWmtaazlnWmtaa1prOWdaazlnWms5Z1prWmtaazlnWms5Z1prOWdaazlnWmtaa1prOWdaazlnWms5Z1prOWdaazlnWms5Z1prOWdaazlnOWc5Z1prOWc5ZzlnAAB7b3tve297b3tve297b3tve297b3tvWmt7b3tve29aa3pvWmt6b1pre297b3tve297b3pvem9aa3pvWmt7b3pve296b3tvWmt6b1prem9aa3tvWmt6b1prWmtaa1prWmtaa1prem9Za1prOWdaazpnGmMSQuocbjFTSltvvXdaa3tvOWd8b9ha0j1OLdI5Xm9dbztrO2tba9darjXPOdhat1bxPUwpTCkSQrZWOmd8b3xvW2t6a1prem96a5tve297b3premtaa3tvW2tbaztnGmM8Z/tiFEYuJewcUClwLbE5bi0sJYgQDSXsIJhWG2NcaxljfG86ZzpnfG87ZzpnW2taa1prWmtaa1lrWms5Z1prWWtaa1lrWmtZa1lrWWtbazlnOWdZZ3pvWWtZazhnWWs5YzpjGl/6WlZK0zlxLaoULiVWSjxnnnNbZzlnWWd5a1hrWWtZa1prWmtba1prW2taa1prWmtaa1prWmtaa3tvWmtaa1prWmtaa1prWmt7b1pre29aa1prWmtaazlnWmtaa1prWmt7b1prWms5Z1prWmtaazlnWms5Z1prOWdaa1prWmtaa1prWmtaazlnWmtaa3tvWmtaazlnWmtaa1prOWdaazlnWms5Z1prOWdaazlnWms5Z1prOWdaazlnWmsAAHtve297b3tvWmt7b1pre29aa3tvWmt7b1pre29aa3tvWmt6b1prem9aa3pvWmt7b1pre29aa3pvWmt6b1pre29aa3tvem97b1pre29aa3pvWmtaa1lrWms5Z1prWWtaazlnWmtZa1prWWtZazlnOmv5YpdWqBhuLa41XG9aa5xzWmt7b1trO2dVSi0lbzEcZ31vXGtba1trGWMZYxljOmcaY7haM0avNSslbS0zRjtnXGt8b1tre29aa3trWmtaa1lnem96a3pvm297bzlnWms7Z31v+l77XsscyxztIC8pmFI1StE5yhjsIOwgkDFuMTNGtlY6Z3xvlVJUSlxrfG86ZzpnW2+dc1prOWc5Z3tvWmtaazlnOWc4Z1lrWWtaazpnWms5Z1lrOGdZa1lreWtZZ1pnOWM6YxtjHGN4TtM5cC2qFOscNEb6XjpnWmtZZzdjWWtZa3prWWdaazpnWms6Z1prWmtaazlnWms5Z1prOWdaa1prWms5Z1prWmt7b1prWmtaa1prWmtaa1prWms5Z1prWmtaa1prWmtaa1prOWdaa1prWms5Z1prWmtaa1prWms5Z1prOWdaazlnWmtaa1prOWdaazlnWms5Z1prOWdaazlnWms5ZzlnOWdaazlnWms5Z1prOWc5ZzlnOWc5ZwAAe297b3tve297b1pre297b3tvWmt7b3tve29aa3tve297b1pre29aa3tvWmt7b3pve296b3tvWmt6b1pre297b3tvem97b3tve29aa3tvWmt6b1prem9aa1prWmtaa1prWmtaa3pvWmt6a1lrWms6Zzpnl1bpHE0przU7a3xve297b1prW2s7Z5dSTi1vMZdWnnNcb3xve286azpnW2tbaztnG2P6YlVKrzUsJY4x8T0aYxpjW2tba3xvW2t8b3tvm296b3lrWWd6b3pre297a3xvW2tda9pe6xzLHMwcDSX7YvtimFINJQ0l7CAURvE9TCltLa41rjWNMUwpM0YaY1xvOmc6ZzpnW29ba1trOmtaazlnWmtaa3tvWmtaazlnWms6Z1prWWtZa1hneWtZa1lnWWdbazpnXGc8Z/ped06yNbE1qhQLIVVKfW86Zzlne285ZzlnWWdaa1lrW29bb1prWmtaa1prWmtaa1prWmtaa1prWmtaa1prWmtaa1pre29aa3tvWmtaa1prWmtaa1prWmtaa1prWmtaa1prWmtaa1prWmtaa1prWmtaa1prWmtaa1prWmtaazlnWmtaa1prWmtaazlnWms5Z1prWmtaazlnWmtaa1prOWdaazlnWms5Z1prOWdaazlnWms5Z1prAAB7b3tvWmt7b1pre29aa3tvWmt7b1pre29aa3tvWmt7b1pre29aa3pvWmt7b1pre29aa3tvWmt6b1pre29aa3tvWmt6b1prem9aa3tvWmt6b1prem9aa1prWmtaa1lrWmtaa1trWmt6a1lrWms5Z1prOme3WuogKyWONRpjW2t8b3pve286Z1truFqwNS0pE0J9b51zfG97b1pre29ba3xvW2tcaxtn+V6WUjNGjjErJY4xEkKWUhpjW2t8bztnWmdZa3pvWWtZa1lrm297b3tve2saY35vPGdOKS4lzRxPKbhWfnPaXk4p6xwMIblal1bQPdA5bC0qJSslCiEsJZdSGmNcaztnO2c7Z1trGmM6ZxljW2t7b3tvOWcZYxljWms5Z1prOWdZazlnWWtZZ1lrOGdaa1prOmc6Z1xrG2P6XphSby0tJcoYTCkSQlxrOmc5ZzpnWmt7b1prOWc5Z3pvWmtaa1prWmtaa1prOWdaazlnWms5Z1prOWdaazlnWmtaa3tvWmtaa1prWmtaa1prWmtaa1prWmtaa1prWmtaa1prWms5Z1prWmtaazlnWms5Z1prOWdaazlnWms5Z1prOWdaazlnOWc5Z1prOWc5ZzlnWms5Z1prOWdaazlnOWc5Z1prOWdaazlnOWc5ZzlnOWcAAHtve297b1pre297b3tve297b1pre29aa3tve297b3tve296b3tvWmt7b3pve296b3tvem97b1pre296b3tvWmtaa1prem9aa3tvWmt7b1pre29aa3tvWmt7b1prWmtaa1tvW2t7b1prem9aa1prWmtba9haTS3qIK8111p8b3tvm3N7b1trW2v6YtI9TSmPNVxrfHOcc1pre297b3tve298b1xrO2caZ1xrGmN2UtA5rzWOMW4tbS3QOVRKGWN8b3pre2+cc3pvWmt6a3tvOmd0ThJC2V48Z9M97SDuIC8pFEZ+cxtjLSnKHAwhXmsaYxpn11qVUo4xTCksJesgTi0sJdE9llLZXl1rfW9cazpnnXM7ZxljGWNba3xvfG9aZ1prWmtaa1lrWmtZa1prOWdaa1pre286ZzpnOmdbZzpj+lp3Tk0pLCGoFE0p8j1ca1trW2t8b1prWmtZa1lrOWtaa1prWmtaa1prWmtaazlnWmtaa1prWmtaazlnWmtaa3tvWmt7b1pre29aa3tvWmtaa1prWmtaa3tvWmtaa1prWmtaa1prWmtaa1prWmtaa1prOWdaazlnWmtaa1prWmtaazlnWms5Z1prOWdaazlnWmtaa1prOWdaazlnWms5Z1prWmtaazlnWms5Z1prOWdaawAAWmt7b1pre29aa3tvWmt7b1pre29aa3tvWmt7b1pre29aa3pvWmt6b1prem9aa3tvWmt6b1pre29aa3pvWmt7bzlnWmtaa3pvWmtaa1prem9aa1prWmt6b1prWmtaa1prWmtba1prem9Za1lrWWtaaztr+F6vNekcjjF1UnxvfG9aa3tvW2tca/piFEZNLY4x+V58b5xzem9aa3tvWmt7bzlne297a1prGmM6Z/le2FoTQvE9jjFMKSslbC2vNRFC+F5aa5xvfG85Z1trOmfXWislTSnSPR1nWE7NHO8gDiWxOZ5zHGdOLckYLCVebzxnXGsaYxpn8kHqHJA1Ty2JFAwlTSksJQwhbi00RthWPGcbY1xrXGt8bztnO2c6Z1pnWmd6a1premtaZ1pnOWdaZ1prW2taZ1pnOWdZazhnOWc6Y9laVEbqHAshqBRuLRNCPGt9bztnGWM5Z5tzem84ZzlnWmtaa1prOWdaazlnWms5Z1prOWdaazlnWms5Z1prWmt7b1pre29aa1prWmtaazlnWmtaa1prWmtaa1prWms5Z1prWmtaazlnWmtaa1prOWdaazlnWms5Z1prWmtaazlnWms5ZzlnOWc5ZzlnWms5Z1prOWdaazlnWms5Z1prOWdaazlnWms5ZzlnOWc5ZzlnAAB7b1pre29aa3tvWmt7b3tve29aa3tve297b1pre297b3tvWmt7b1pre29aa3tvem97b1pre296b3tvWmt7b1prWmtaa3pvWmt7b1pre29aa1prWmt7b1pre29aa1prWmtba1tre29aa3pvWWtaa1prW2v5XhNGyBiOMTJGnXN8b3pve297bztrPGdVTrA1bjGWVltrvXd6b5tze296b3tvemt5a3pvWWdaa1pnW2saY1tr+V51TtA5jjFMKUwpTCnwPVNKGmN9b31vnXNba1NKyRgMJXAxulbdXs4cMSnuIJAxO2c8a24t6xwtKV5vPGt9bxpjnnNUSuocsjlXTuwgDSFvLTVGFEJvLSwlbi1NKfI9dU4bY1xrXGcaY1xrfG9aa1lnemtaa3trWmdbazpnW2taZ1prWWd6a1lreWtYZ5xv+Fq3VrdWCyHKGOscDCE1StlafW9ca1prWmt6b1hrWmtaa1prWmtaa1prWmtaa1prOWdaa1prWms5Z1prWmt7b1pre29aa3tvWmt7b1prWmtaa1prWmtaa1prWmtaa1prWmtaa1prWmtaa1prWmtaazlnWms5Z1prWmtaa1prWms5Z1prOWdaazlnWms5Z1prOWdaazlnWms5Z1prWmtaa1prWmtaa1prOWdaazlnWmsAAFpre29aa1prWmt7b1pre297b3tvWmt7b1pre29aa1prWmt7b1prem9aa3tvWmt7b1prem9aa3tvem97b1prWmtaa3pvWmt6b1prem9aa1prWWtaa1prem9aa1prOWdaazprW2taa1prWWtZazlnWms6ZxljVEqoGG0x8T18b3xvWmucc1prO2s8a7hWsDVtLRJCOmecc3pvm3Obc1prm3Oab3hrN2d5a3tvm29aazpn+V46ZzpnO2f4XnROrzVMKSwlbi0TRthaGmOecztn8kGIFC0lLiXUOZtW8CTPHK0YLSnYWhtjbi3KHE4pHGd+b1xrO2dca5ZSyhhPLZpS1D0OJXAxeFL8YjVG0jmxNU4pLSUsJU0p8j24VlxrPGc6YzhjWGc4Z1pnWmdbazpnW2c7Z1prOWdZa1lreWtYa3lrOWNbZzpj2Fa4Vi0liBAtJewg8j3ZXn1vW2s5ZzdnWWtZa1prWmtaa1prWms5Z1prOWdaa1prWmtaa1prWmtaa1prWmtaa1prWmtaa1prWmtaa1prWmtaa1prWmtaa1prWmtaazlnWmtaa1prOWdaa1prWms5Z1prOWdaazlnWmtaa1prOWdaazlnWms5Z1prOWdaazlnWms5Z1prOWdaa1prWms5Z1prOWdaazlnOWc5ZwAAe29aa3tvWmt7b1pre297b5xze297b3tve29aa3tvWmt7b3pve29aa3tvem97b3pve29aa3tvem97b3pve29aa3tvem97b1pre29aa3pvWmtaa1prem9aa3tvWmtaazlnWmtaa1prWWt6a1lrWms5Z1trGWOWUqcUjjHPOX1zfG97b5tzW2s6Z31z2V7xPUwp0DkZY51zWmucc5tvWmuac5pzeW+ab5pvem84ZzlnW2ucb1trOmcZYzpn+F7XWpZS0T1tLW4trzU0ShtnPGcTQgwhcC2SMVEpnFZzMRElzhxPLZdWXWtvMesgLSn6Yn1vfW9ba3xv2FosJQ0l3Fq7WpIxDSEUQj1nXms9Z7lWTi2xNbE1sTVOKS0lTSnSOVRKGWMYYzpnOmdba1trXGtbZ1xrOmdba1lnWWtYZ3lreW9aazpjOmc7Z9lal1KwNYcQDCULIbA5t1Z8b1trWWtZa1prWmtaa1prWmtZa1prOWdaa1prWmtaa1trWmtba1pre29aa1trWmtba1prWmtaa1prWmtaa1pre29aa1prWmtaa1prWmtaa1prWmtaa1prWmtaa1prOWdaazlnWms5Z1prWmtaazlnWmtaa1prOWdaazlnWms5Z1prWmtaa1prWmtaa1prWmtaazlnWms5Z1prAABaa1prWmt7b1pre297b3tve297b3tve29aa3tve297b1prem9aa3pvWmt6b1prem9aa3pvWmt6b1prem9aa3pvWmtaa1prWms5Z1prWmtaa1lrem9aa3pvWWtaa1pre29ZZ1lrWWtaa1lrWmtaa1trGWM7Z3VS6RxtLfA9Gmd8b1tre29aa3tvW2s6Z3ZSTS2wOVVOn3dba3xvm3NYZ7t3em+bc3pve29aa1prWmtaa1tre29aa1trOmc5ZxljOWf4XnVOjjFNKW0t8j13TjVGDSEPJdU5lDGuFHxOrhQQIewcNUY9Z7E56hxNKTpnnXN7a1prOWcZYyslLSl4Uh5nszWSMXAtXmsbY3ZOCyHrHOwc7RwOIXEtkTFwLS0lDCULIW4x8j12UtleXGtcazxr+WJca3xvfG9aZ1prWmt7bzpnWmdaa1trOmc5Z5VSzzmFEEspKyVMKXROXGs7Z1trOmdaazlnOWc5Z3pvem9aazlnWmtaa1trWmtba1prW2s6Z1trOmtbazprW2taa1trWmtaa1prWmtaa1prWmtaazlnWmtaa1prWmtaa1prWmtaa1prOWdaazlnWms5Z1prOWdaa1prWms5Z1prOWdaazlnWms5ZzlnOWc5ZzlnWmtaa1prWmtaazlnWms5ZzlnOWcAAHtvWmt7b3tve297b5xze297b3tve297b3tve297b3tve29aa3tvWmt7b1pre29aa3tvWmt7b1pre29aa3tvWmt6b1prem9aa1prWmtaa1prWmtaa3tvWmtaa1lrWmtaa1prWWt6b1prWmtaa1tvW2s6aztrt1YJIW0t0DkaZ3xvfG97b1prWmt7bzlnt1aOMZA1NEafdzxrfHObb3lrmnObc3tvnHN7b3tvWmt7b1pre29aa3tvWmtaazlnWms5ZxhjGWP4WlRKrzUtJY8tLiXMGHEtOUa1NVMptjXwHBAh7SDTOV5rsTnrIEwpW2ucc5tvemtaaxljbTEsJVdKHWOZUm8pNUK4Vn1r8TnKGE4pTykOIc0czRwvJZIxNkqZVjVKby0MIS0pjzGPMRNCllJcaztnO2c6Z1trW2t8b3tve29aa1trOWc5Z1pnWmv3XpVSZAzoHK85CiGwNX9vXW+dczlnOmd7b5xzOWc4Z1lrWWtZa1prWmt7b1trW29ba1trWmtba1trW2taa1tvW2tba1prW2taa1prWmtaa1pre29aa3tvWmtaa1prWms5Z1prWmtaa1prWms5Z1prWmtaa1prWmtaa1prOWdaa1prWms5Z1prOWdaazlnWmtaa1prWmt7b1prWmtaa1prOWdaawAAWmt7b1pre297b3tve297b3tve297b3tvWmt7b1pre29aa3pvWmt6b1prem9aa3pvWmt6b1prem9aa3pvWmt6b1prWmtaa1prWmtaa1lrWmtZa1prWmtaa1lrWmtZa1prWWt6a1lrWmtaa1trWmtbazpnW2u3WkwpSymvOdhanXN7b5xzWWt7b1prOmvXWtA5LCkTQl1rXGtba5tzWGuac3pve297b3tvWmt7b1pre29aa3tvWmtaa1prWms5Z1prOWd7bzpnGWNUStA1TSmpFKoUcS04RvY9cy1zLa4UECHMGC8p/GKyNaoYTSkaZ3xve2+bczlnOWfQOSwl0z0dY/xesTXzOZdOf29vLcoYFELaWnhOkjUOJasY7CBwLfRBuVb7XphS0j0tKU0pLCksJW4trzUSQrZW+V46ZzpnW2saY1trXGt8b1trW2s6Zzpn+F63ViwlqBhOLS0lDSF3UvpiW2t7b1prOWd7b3pvem9ZZ1lrWWtaa1lrWmtZa1prOmtbazpnW2taa1trWmtaa1prWmtaa1prWmtaa1prWmtaa3tvWmtaa1prWms5Z1prWmtaazlnWms5Z1prOWdaazlnWms5Z1prOWdaazlnWms5Z1prOWc5ZzlnWms5Z1prOWdaazlnWms5Z1prOWc5ZzlnAAB7b3tve297b3tve2+cc3tvnHN7b3tve297b3tve29aa3tvem97b1pre296b3tvWmt7b1pre29aa3tvWmt7b1pre29aa3tvem97b1prem9aa3pvWmt7b1pre29aa3tvemt6b1prem9aa3tvWmt7b1trW2tba/lerjUrJY4xl1Z9c5xznHN6b3pve29aaxljE0YLJdE5HGdca3xvm3N6b3pve297b3tve297b3tve297b3tve297b1pre29aa1prWmt7b1prGWM6Zztn2FpVSi0lDSEuJRZCWUpSKbU1rhjvIO4gzBz9XrM5yhgtKTxnfG97b5tzWms5Z1RKCyGRNRxjHGOYUm8puVZeZ04pDSF3Tn5rHGO5VhRCkDUNJQ0h7CCyORRCuVocZ/peNEbROdE5bi1NLW0tbS2OMa41EUJ0ThpnO2dca1xrfG87ZztnXGs8a/pe2VrSOcsc7BxQLewgE0LZXn1vO2c6Z3tvnHNaa1prWWtZa1lremtZa1prWWtaa1prWmtaa1prWmtba1prW2taa1prWmtaa1prWmtaa1prWmtaa1prWmtaa1prWmtaa1prWms5Z1prOWdaazlnWmtaa1prOWdaazlnWmtaa1prOWdaazlnWms5Z1prOWc5ZzlnWms5Z1prWmtaazlnWmsAAFpre297b3tve297b3tve297b3tve297b1pre29aa3tvWmt6b1pre29aa3pvWmt7b1prem9aa3pvWmt6b1prem9aa3tvem97b3pve29aa3pvWmtaa1prem9aa3tvWmt6b1lrem9aa3pvWmtaa1prW2s6azpr+WIRQukcbS00Sp1ze2+cc1pre29aa1trGmd2UusgjzW4Vn1vW2ubc3pvmm9aa3tvWmt7b1pre297b3tvWmt7b1pre29aa3tvWmt7b1pre286Z3tvO2caY9laNUYtJQ0l0zUeY7Q1tDVyLc4cDyXNHHpS9UGqGE4pPGd9b1prnHM5ZzpnllIsJU4t+15cazxnby13TplScS3sHHdOG2M7ZztnGmO4VlVK0jmRMQwlDCFOLTVK2l4bY/piG2N2UlVK8T2vNUwpKyUqJUwpCiGOMfE9dlLZWrhal1L7YhxjXmt/c9xeUC3MHO4gDiUtJbE1dk48a11vW2sZYzlnWWtZa1lrWWtYa1lrWGtZa1lnWmtZa1prWWtaa1prWmtaa1prWmtaa1prWmtaa1prOWdaa1prWmtaa1prWmtaazlnWms5Z1prOWc5ZzlnWms5Z1prOWdaazlnOWc5Z1prOWdaazlnOWc5ZzlnOWdaaxhjWms5Z1prOWdaa1prWms5ZwAAe297b3tve297b3tve297b3tve297b3tve29aa3tve297b3pve296b3tvem97b3pve29aa3tvWmt7b1pre29aa3tve297b3tve296b3tvem9aa1prWmtaa3pvWmt7b1prem9aa3pvWmtaa1prWmtaa1trOWc6Z1RK6RxMLRJCfW98c5xze297b3tvW2tca7dWTSluLVVOXW98b3tvm3N6b3pvWmt7b3tve297b3tve297b3tve297b3tvWmt7b1prWmt6b3tve29baxpjO2e3Uk0pLSWyNT9nu1YvJThGixAxKc4c9kH2QasYLik8Z1xre297b1prOmf5XiwlTim4Vp5z+Fp2SrI1N0bUOe0cd059b3xvnHN6a1tr+l65VldOFEbyPW8xDCWQNZdSPGc8ZzxnG2P6Xtha2Fp1ThJCjzFtLW0tbi2PMbA1CyGpGAwlNkqZUh5nP2u7WtU9MSmrFO0g7CBwMRRG+l48a31vW2t7b1premtZa1lrWGt5a1lrWmtZa1prWWtaa1prem9aa1prWmtaa1prWmtaa1trWmt7b1pre29aa1prWmtaazlnWms5Z1prOWdaazlnWms5Z1prOWdaa1prWms5Z1prWmtaazlnWms5ZzlnOWdaazlnOWc5Z1prOWdaa1prWms5Z1prAABaa3tvWmt7b1pre29aa3tvWmt7b1pre29aa3tvWmt7b1pre29aa3tvWmt7b1pre29aa3pvWmt6b1prem9aa3pvem97b1prem9aa3pvWmt6b1prWms5Z1prWmt7b1prWmtaa3pvWmtaa1lrWms5Z1prW2s6ZxpnllboHG0t0Dl9b3tvnHN6b5xzem9ba1tr2F6OMU0p0Tlca1tre296b3pvWmt7b1pre29aa3tvWmt7b1pre29aa3tvWmt7b1prWmtZa3prOGdaa1pnW2tba9hajzEsIW8t+14dY7M10zmsGBAlECUxKfdBahAuJfpeXGt7a5tvWWdaaxljTCktJVVKfGv4WvpesTX2QfZB7RxWSnxve29Za1hrOWdbaxxnHGf7YlVKsDWPMU0pTSnRPdlaXW+ec11rO2cbYzxn+mLYWnVONEqOMW0tbi0LJS0lNUrsHHAtszk3SrtavFq1Oc4c7iDuJM0cDSWxNZhWO2d9b1trW2taa1lrWWdZa1lnWWtZa1lrWWdZa1lrWmtZa1prWWtaa1prWmtaa1prWmtaa1pre29aa1prWmtaazlnWms5Z1prOWc5ZzlnOWc5ZzlnOWdaazlnWms5ZzlnOWdaazlnWms5ZzlnOWc5ZzlnWms5Z1prWmtaazlnWmtaa1prOWcAAHtvWmt7b1pre297b3tve297b1pre29aa3tve297b3tve296b3tvem97b3pve296b3tvWmt7b1pre29aa3tvWmt7b3pvem9aa3pvWmt6b1pre29aa1prWmt7b3tve296b3tvWmtaa1prWmtZa1prOWd7bxlnW2u3WukgbS3ROV1vfG+bc3tvm3N7b1prfG/4XtA5LCWPNTxrfG97b3pvWWt7b3tve297b3tve297b3tve297b3tvWmt7b1pre29aa1prem96b1prWms6Z3xv+WJVSgshbi13Th1j+14uJS8lUi0yLfAgGEarGC8pHGd9b51ze296a1pnOmdMKS0pE0J7a3trPGdWSjhK1T0OIdI5fG96b5lveGtZa1trXWscZ35vG2eXVtE9jjFNLW4tbi1USvpefnNdazxrXGtdbztnO2c6Z/le2Fq4VtE5bzE1RrE5DSUOJS8pMClxMbQ5cjFSLe4gziAPJS8pTykURvpifW9ca1trWmtaa1lrWmtZa1prWWtaa1lremtaa3prWWtaa1prWmtaa1trWmtba1prWmtaa1prWmtaa1prWmtaa1prOWdaazlnWms5Z1prOWdaazlnWms5Z1prOWdaazlnWms5ZzlnOWc5ZzlnWms5Z1prWmtaa1prWmtaa1prOWdaawAAWmt7b1pre29aa3tvWmt7b1pre29aa3tvWmt7b3tve29aa3tvWmt7b1prem9aa1prWmt6b1prem9aa1prWmt7b1prem9aa3pvWmtaa1prWmtaa1prWWtaa1pre296b3tvWmt7b1prWms5Z1lnOWdZazpnWmsZY9he6SBMKdE5O2d8b3tve2+bc3tve286ZxpnVU4KIW4xdU47Z957WWt6b1pre29aa3tvWmt7b1pre29aa3tvWmt7b1pre29aa3pvWWt6b1lrem9aa1trOmc6Z9daTCksJbA1PWccY1ZKyxgQJTIpUzH3QWoQUC0cY31vfG9aa5xzW2sZY9E5TSmwNVpnems7YxxjOEqTMXEtLSUYX3pvunNXZ5pzWms7Z11r+l47ZztnG2OXUhJCbi0rJU0pjzUzRvpeXWtdazxnXGs7Z1trOmcaYxpj+l4TQiwlkDHTPbE1sjkNJQ0lqxjtIBAlzxxsFJQ1szmSNS4pTilVStleO2tbazpnW2tbb3xvOGdaa3pvm29Za1lrOWdaa1prWmtaa1prOWdaa1pre285Z1prWmtaazlnWmtaa1prWmtaa1prWms5Z1prOWdaazlnWmtaa1prOWdaazlnWms5ZzlnOWdaazlnOWc5ZzlnOWdaazlnWms5Z1prOWdaazlnAAB7b3tve297b3tve297b3tve29aa3tve297b3tve297b3tvWmt7b3tve296b3tvem97b1pre29aa3pvWmt7b3pve29aa3tvWmt6b1prem9aa3pvWmt6b1pre296b3tvem97b1pre29aa1prWWtaa1lrWmtaazpn+F5MLQsh0T35Xnxze297b3tvm3N6b1trOme3VuogjzUSQnxvnHN7b3pve297b3tve297b3tve297b3tve297b3tve29aa3tvWmt6b1lrem9ab3tvWmtbazpn+V7xPQsh0DX6XjxnuVYuKc4cdDEyKXQ17iAOJTxnfW+dc1prvXdbaxpj8kEsJY4xe2tZZ51vPWe6VvU9UC0tKZVSem94b3hvem85a31vPGuedztn+V4aY1xrGmN1Tq81jjEsJSwprzVVTtlaXWuec1tre2+dc1trW2saY5dS0T2QMbE1uVpWSjVGby2QMYoU7yQyKRAl7yTuIFAt0z3SOakYjzXYWlxrfW87ZztnOmedc1prOGcYYzlnWmt7b3tve29aa1prWmtaa1pre29aa1prWmtaa1prWmtaa1prWmtaa1prWmtaa1prOWdaazlnWmtaa1prWmtaazlnWms5Z1prOWdaa1prWms5Z1prOWdaazlnWmtaa1prWmtaa1prWmsAAFpre29aa3tvWmt7b1pre29aa3tvWmt7b1pre29aa3tvWmt6b1pre296b3tvem97b1prem9aa3pvWmt6b1prem9aa3pvWmtaa1prWmtaa1prWmtaa1prem96b3tvWmtaa1prW2taa3pvWmt6b1lrWmtaa3tvGWMZY681yRywObdWW2t7b3prem96b3tvWms6Z9haCyVuLbA1XG9bb3tvem9aa3tvWmt7b3tve29aa3tve297b3tve297b3tvWmt6b1lrWW9Za1pvWmt7bzpnOmsZY9da6RzQNXZOXWv6XvM9axCVNe8gECUvKQ0hG2N+b3xve2+cc3trGmN2Tuscbi0YX1lnnnM9Z/xieFIuKU0pzzl6bzdnmnM4Z1lrnHM7a3xvW2sZYzpnXGtca/hetlbxPa81TCkLJQohbjFVSjtnfG+cb1trXGt8b31v+l6WUgwlLSk1Rj1r2lrZWndOsjnuIO8grRwPJXExUC1PLQ0lsDUtKQoh0DnZWp5zfW87axljOmtba3xvWmtaazpnW2taa1trOWdaazlnWmtZa1prWmtaazlnWmtaa1prOWdaa1prWms5Z1prOWdaazlnOWdaa1prWmtaazlnWms5ZzlnOWc5ZzlnOWc5ZzlnOWc5ZzlnOWc5Z1prWmtaa1prWms5ZwAAe297b3tve297b3tve297b3tve297b3tve297b3tve297b3pve297b5tze297b3tve296b3tvWmt7b3pve29aa3tvem97b1pre29aa3pvWmt6b1prem96b3tve297b1prW2tba3tvem97b3prem9Za3pvWms5ZxljM0qnFLA1VEp8b3tvm3N6b3tvem97bzpnGmNMKUwpbjE7a1trnHNaa3tve297b3tve297b3tvWmucc3tve297b3tvWmt7b1prem9Za1prWWt7b1prW2s6azpnGWNtLW0tM0ZdazxnmFLNHDItESXOHDApDSEcZ31vfG97a5xzW2tba/leLCVuLZVSWmedcztnXm/aXrE5CyVtLfheem+bczhnWmuddzprOmdba5xze2s6ZxljOmc7Z1trllLQOU0tbS1NLW4tbS2VUvhenXOdc31vO2c8Zxtn8j0sJU0p+l48Z11r2Vq5VnhOkjXsIMscsTVvMbE5TSlNLU0tbjFNLU0pjzGWUn1vfW9baztrOmdba1trW2s6a1tvWmtaa1prWmtaa1prWmtaa1prWmtaa1prWmtaa1prWmtaa1prWmtaa1prWms5Z1prWmtaa1prWms5Z1prOWdaazlnWms5Z1prOWc5ZzlnWms5Z1prWmtaa1prWmtaa1prAABaa3tvWmt7b1pre29aa3tvWmt7b1pre29aa3tvWmt7b3pve297b3tvem97b1pre29aa3pvWmt7b1pre29aa3pvWmt6b1prem9aa1prWmt6b1lrWmtaa3tvem97b1prWmtaa1trW2t7b1prWmtZa1lrWWtaaxljGmd1TqgYbi3yPTpne2+bb5tvWWt6b1prW2v4Xq816hyPMbdWfXNba3tve297b3tve297b3tvWmt7b1pre29aa3tvWmtaa1prWmtZa1lvWWtab1prWm9aa1trOmcZYxJCKynQOTxrGmP7YlEtzhxRLe4g7SAuKRtjXG9ba3tve297bztnG2dOLU0p8D2cb1trO2d9bxtnVU4KIUwpVEqdd3tvOWt7c3pvWmtaa3tve297b1prWms6Zzpn+F46Zxpjt1bxPW0tKyVNLUwtzzlTSvleXGuec11rPGfZWpA16yCPMV1rXWs7Zzxn+2L7YlZOjzHQOTNGt1p1TvE9rzVMKSwpCyELJU0tsDmWUvleXGt9bztrOmc6Z1tvWmtba1prWms5Z1prWWtaazlnWmtaa1prOWdaa1prWms5Z1prOWdaazlnWms5Z1prOWdaa1prWms5Z1prOWc5ZzlnOWc5ZzlnOWc5ZzlnOWc5Z1prOWdaazlnWms5Z1prOWcAAHtve297b3tve297b3tve297b3tve297b3tve297b3tve297b5tze297b3pve29aa3tvWmt7b3tve296b3tvWmt7b1pre296b3tvWmt7b1prem9aa3tvem97b3pve29aa3tvW2t7b3pvem9Za1lrWWt6b1lrOmcaY7daCyFNKY81Omd7b5xze296b3pve29aa/liM0bqHI4xVEqdc1trfG97b3tvnHN7b3tve297b3tve29aa3tvWmt7b1pre29aa3pvWWtab1lrem9aa1tvWmtba/he11orJa81+V47YzxnN0qMFHIxDyXMHE8tPGdca5xve297b1prXGsbY/M9LCXPNZ1zW2tba31vO2caY0wpTS2vNZ5zO2t8b5tzeW9Za3tvemt7b3pre29ba1trOmdbaxpjGmMaYxpjt1YTRo4xTCkKIQshjzWXUhxjXm89axxjmFZvLQwhuVqfc35zXWsaY1trW2sZYxlj+F5aa/he+F6WVlRO8T2OMSslCyHqICwl0Tm4WjtnXW87a1xrW2tba1prW2taa1prWWt6a1lrWmtaa1prWmtaa1prWmtaa1prWmtaa1prWms5Z1prWmtaa1prWmtaa1prOWdaazlnWms5Z1prOWdaazlnWms5Z1prWmtaa1prWms5Z1prOWdaawAAWmt7b1pre29aa3tvWmt7b3tve29aa3tvWmt7b1pre29aa3tvWmt7b3pve29aa3pvWmt7b1pre297b3tvWmtaa1pre29aa3pvWmt6b1prem9aa3pvWmtaa1pre29aa1prW2t7b1prem9aa3pvWWt6b1prWmsZZxpnt1puMQshbjH4Xlpre296b1lrem9aa1trGWOXVuocbS3xPX1vOmt8b3tve297b3tve297b1pre29aa3tvWmtaa1pre29aa3pvWm96b1lrWmtaa1pvOmtaazpnOmf4Xo0xbS2WUjtnPWuaVu4g7iAvKewcTy07Z3xvnHOcc1pre2tcaxtjd04tKY4xOmdba3trWmdaaztnEkILJU4tuFpdb1tvnHNYa3lvWGt6a3prem9ZZ1prOmdbaxljW2tca1xrGmP5XrdWt1awNZA1bi1OKS0pkTVWSh1julo+a/RBbzGQMRxnG2M7Z3tvWWvWWnpvem9Za1lnemsXYxlj+GLYXnVSEkJNLeocbi0tKQshjzFVThtnW2tbazprW2s6a1prWmtaa1lrWWtZa1prOWdaa1prWms5Z1prOWdaazlnWms5Z1prOWdaazlnWms5Z1prWmtaazlnWmtaa1prOWc5ZzlnWms5Z1prOWdaazlnWmtaa1prOWdaazlnAAB7b3tve297b3tve297b3tve297b3tve297b3tve29aa3pvWmt7b1pre296b3tvem97b3pve297b5tze297b1pre296b3tvWmt7b1pre29aa3tvWmt6b1pre296b3tvWmt8b1tre29aa3tvem+bb3pvm29Za1prGmPYXtA5CyFuLdhaOWd7b3pvem96b3tvWms6Z9haLCUsJdA5W2tba3xvnHN7b5xze2+cc3tve29aa3tvWmt7b1pre297b3tvem97c3pvWm9aa1pvWmtaazlrWmtbaxhfzzlsLVNKfG9ca9taMCnMGC4lLiUuKTxrfG+9d5xze297b51zGmMcZ04tbi2XVn1ve285Z1pne2+3VuogLSkURn5vfG97b3lveW+bc3prWmtZa3pvemt7b1prnG9bazpnGmNba1trO2f5YhpjVUqwNU4tjzFvLU8tLinSOTVGVk4tKW4tNEZ+b31zem+bczhneW9Za5tzm284Z1prWmtbaxlnOmcZY7dWM0YsJU0tbjFNKU0pjzWWUlxrXGtba1trW2tbb1prWmtaa1prWmtaa1prWmtaa1prWmtaa1prWms6Z1prWmtaa1prWms5Z1prWmtaa1prWmtaa3tvWmtaazlnWms5Z1prWmtaazlnWmtaa1prWmtaa1prWmsAAFpre29aa3tvWmt7b1pre29aa3pvWmt7b1prem9aa3tve297b1pre29aa3tvem97b1pre296b3tvWmt7b1prem9aa3tvWmt6b1prWmtaa3pvWmt6b1pre29aa3pvWmtaa1trW2taa3tvWmt6b3pvem85Z3pvOmc6Z9le8kGHEI81dVK3WpxznHNZZ5tzWWt7b1tr+F6OMekcrzUZX3xrfG9ba3tve297b1pre29aa3tvWmt7b1pre297b3tvWmt7b1prWmtaa1prWWtaa1lrWmtZazlnOWcxRowxrjX4Xnxv+l5WTokU7CDsIC4pG2Oec3xvfG97b3tvOmc6Z9heVUpPLTZKXW+dcxhjvHf3XjpnbjHrHJE1PWsaZ5xzmnNZa1lrWms5Z1lrOWdaa1pre29aa1prOmdaazpnWms5ZzpnGmcaZ9hadU7QOW4xTClNKSwpLCULIQwlCyFvMVZOXW+cc1lrem+cc1lnWmt7a1trW2tba1pnWmc5YzlnGGM5Z/heM0ZtMUwpCyULJW0t8kG4WjtnXGs7aztnfG9bazpnOWdaa1pre285ZzlnOmd7b1prWms5ZzpnOmdaa1prW2s5Z1prOWdaazlnWmtaa1prOWdaazlnWms5ZzlnOWc5ZzlnWmtaa1prWmtaazlnOWc5ZwAAe296b3tvem97b3pve296b3tvWmt7b3pve29aa3tvem97b1prem9aa3tvem97b1pre296b3tve297b3pve29aa3tvWmt7b1prem9aa3tvWmt6b1pre296b3tvWmt6b1prfG9ba3tvW2t7b3pve296b1lrWmtbazpnGmMTRqkYjzFUSthenXd8b3pvem96a1pre2v5XvE96RyvMZZSfGt8b3xve297b3tve297b3tve297b3tve297b5xze297b1prW2taa1prWmtaa1lremtZa1prOGdZa1JKCCFsLVJKW2s7Z5dWCyHKGAwhDCX6Xl1vfXN8b5xze29ba1prGWN2UpEx1D1ea1xrWmubb1lnOmcTQusckDHaXn1vW2ubc1lrem9aa1prOWdaa1pre29aa3tvWmtaa1prWmtaa1prOmdaaxlnOmcZYxljt1YzRq85jjEsKQslCyHqIOsg0TmWUnxvWmubc3tve298b5xvWmd7b1trW2taa1prOWdZazlnWmv4YthelVLxPSwpCyUsJU0tNEYbZ11vXGs7a1xrW2tbb1prW2taa1prOWdaazpnW2s6Z1prOmdaa1prW2taa1prOWdaa1prWmtaa1prWmtaa1prWmtaa1prOWdaazlnWms5Z1prWmtaa1prWms5Z1prAAB6b3tvWmt7b3pve29aa3tvWmt7b1pre29aa3tvWmt7b1prWmtZa1prWmt7b1prWmtaa3tvWmt7b3pve29aa3pvWmt7b1prWmtaa3pvWmt6b1pre29aa3tvWmt6b1prWmtba3tvWmtaa1pre29aa3pvWWd6bzpnO2saY1VOyRyPNdA9GmN8b3tvem96b1prWmtbaxpjNEbqHG0pEkI6Y51ze297b3tve297b3tvWmt7b3tve297b3tve297b1prWmtaa1trWmtaa1lrWmtZa1lrOWc4ZzlnlFKFFCopbC1bazxr+mJuLYgU6yAMJbhaXGt8b3xve297b1pre286Z7haszmSNftiXGt7b3pvWmtaZ5dSLSktKVVKfW9aa3lreWt6a1prOWdaa1pre29aa3tvWmtaa1prWmtaa3tvWmtaazpnW2tba3xvW2s6Z/he2Fp1UjNG8T3RPW4xLCksKY81GWN8b3xvW2t7a51ze2taa1prW2taa1prWmtaa1prWmtaa1trOmtba/ledU6vNU0pCyEsJW4tM0b5Xn1zXG87a1trWms6Z1prOmt7b3tve29aa1prOWc6ZzpnWms6a1prOWdaazlnWms5Z1prOWdaazlnWms5Z1prOWdaazlnOWc5Z1prOWdaa1prWms5ZzlnOWcAAHtve297b3pve297b3tvem97b3pve296b3tvem97b3pvem9aa1prWmt7b3tve29aa3pvWmt7b3pve297b3tvem97b1pre29aa3tvWmt7b1pre296b3tvWmt7b1pre29aa3xvW2t7b1pre296b3pvWWt6b1prW2s6Zztnl1YsKY81jzUaZ3tvWmubc1lre29aa3xvGmO3UgohTCmvNTpjnW98b3tve297b3tve297b3tvnHN7b3tve297b3tve29aa3tvWmtaa1prem9aa1prWWs5ZzlnOmfWWgkh6BxsLTpnXW87Z/NBZxAMJS0l2Vpdb51zW297b3pve297b1tr+V4VRlAtuVZcb5xzWmt6bzlnGmOxNS0lsTUbZ1trem9Za3tvWmtaa1pre297b3tve297b1pre29aa3tve297b1pre29ba1trOmc6ZzpnW2tca1xrO2caY9leuFYzRo81KyWWUlxrnnNba3xvfG97b1tre29aa3trWmt7b1pre29ba1trOmc6ZzprfW9ca/ledU7QOW4xbS1MKY4x8T3YWn1zW2tba3tvOms6azpnW2taa3tvWmtaazlnWmtaa1prWmtaa1prWms5Z1prWmtaa1prWmtaa1prOWdaazlnWms5Z1prWmtaa1prWmtaa1prOWdaawAAem97b3pve296b3tvem97b1pre296b3tvWmt7b3pve29aa1prWmt7b3pve296b3tvWmtaa1pre29aa3tvWmt7b1prem9aa3pvWmt6b1pre29aa3tvWmt7b1prem9aa3tvW2t7b1tre29aa3pvWWtaa1prWms6ZzpnGmPYXm4tsDWOMRpnW2taa3pvWWt6a3tve2s6Z7hWTCkrJY4xGV+db3tve297b3tve297b3tve29aa3tvWmt7b3tve297b3tvWmtaa1prWmtZa1prWWtaazlne28ZYxljzzmnGG4x2Fo8azxrVUqIFOscLSmXUlxvfG97b1pre29aa1tvW2sbYzZGUC0TQn1ve2ubb1lnOmcaY1ZOLSVuLVVKfG96a3prWmtaa1prWmtaa3tvWmt7b1pre29aa3tvWmt7b3tve297b1prGGM6a3tvnHNaaxljGmdca1trO2cbZxpjM0ZNKY8xuFpda31vfG97b1pre29aa3prWmt6a1prW2taa1trWmt8b3tvW2s6Z1trO2tba/lillLwPY0xKiUrKa41Mkb4XltrnXOdc1trWms6Z1prWmtaazlnWms5Z1prWWtaazlnWms5Z1prOWdaazlnWms5Z1prOWdaazlnWms5Z1prOWdaazlnWms5Z1prOWdaazlnAAB7b3tve297b3tve297b3tve296b3tve297b3pve297b3tvem97b3tvnHN7b5tze296b1pre296b3tvWmt7b1pre29aa3tvWmt6b1pre296b3tvem97b3pve29aa3tve298b1tre29aa3tvWmt6b1lre29aa1trOmc7Z/lejzVuMa85+F58b3pvem9Za3pvemt8bzpn+V6PMUwlji0ZX3xvfG97b5xze297b3tve297b3tvWmt7b3tve297b3tve297b1pre29aa3pvWWtaa1prWmt7bzpnGWOWUqcUjzU0RlxvO2e4VsocyhwtKVVOG2edc1tre296b1prW2tbbxpjV05wLbA1O2d7b5xze2tbaztn2VqQNS0lsDk7Z3xvWmt7b1pre29aa3tve297b1pre29aa3tvWmt7b3tve297b3tvWmtaa1pre297b3tvOmc6Z1trW2sZYztrW2vXWtE9LSXzQfpefm++d3xve2t7b3tvemt7b1prW2taa1trW2t7b3tve29ba3tvW2tbbztn+WI6Z3xv+F4RQkspSylsLa41EkK2VvheW2t8b5xzW2t7b1prWmtZa1prWWtaa1lrWmtaa1prWmtaazlnWmtaa1prOWdaazlnWms5Z1prOWdaa1prWmtaa1prOWdaa1prWmsAAHtve296b3tve297b3pve296b3tvWmt7b3pve29aa3tvem97b3pve297b5tzem97b1prem9aa3pvWmt6b1prWmtaa3pvWmtaa1prem9aa3tve297b1prem9aa3tvWmt7b3tve29aa1prWmtaa1lrWWtaa1prWmtbazpnGmNtLQolbTF0Tjpre29Za3pvWWt7b1trXGv6XvI9KyGOMdhWfGt7b3tve297b3tve297b3tve297b1pre29aa3tvWmt7b1pre29aa1prWmtaa1prWmtba3tvOmcaY7haCyFNLfJBXGs7a9haTS2oGG4tM0YaY3xve29aa3tvWmt7b1trO2eYVpExTi23Vnxve29aa3tvO2cbYxNCLCVNKbdWfG97b1prWmtaa1prWmt7b1prWmtaa1prWmtaa1pre29aa1prOWd6b1prWmsYYzlnWmucc3tvfG9aazpnOmdba/hel1ZvMZExFUY8Z35vfG9aa3tvemt6b1premtaa1trW2tba1prWWs4Z3tvnHOcc1trOmdbazpnGWM6Zzpn914RQo0xCiErJUspzzmVUltrW2s6Z1prWms5Z1prWWtaa1lnWWtZa1prOWdaazlnWms5Z1prOWdaazlnWms5Z1prOWdaazlnWms5Z1prOWdaazlnWms5ZwAAm3N7b3tve2+bc3tve297b3tve297b3pve297b3tvem97b3tve297b5xze297b1pre296b3tvWmt7b1prem9aa3tvWmt6b1pre29aa3tvem+bc3tve29aa3tvem97b3tvnHN7b3tvWmt7b1prWms5Z3tvWmt7b1trW2sZY2wtxxhMKc85OWdaa1lrm3N6a3tvfGt8azxnNEYsJY4x2FZca5xze297b3tve297b3tve2+cc3tve29aa3tve297b1pre296b3tvWmt6b1prWmtaa3xvOmdcbxpj2V5OLU0p8kF9bzpnGmOvNckcjzFUShpnnXNaa3tve297b3tvfG87Z/tisTVuLVRKnXNaZ3tve2tcaxpjl1IsJU0pNEZ9b3xve29aa1prWmt7b3tve29aa3tvWmtaa1pre29aa3tvWmt7b1prWmtaa3tve29aazpne29aa1trW2tbazlnOmc7ZzZKcC2xOblaXWtca3xvem97b3pre29aa3tvW2t8b1xre296b5tze297bzlnWmt7b3tvW2taazlnOmcZZxlj+F51UvE9bTGOMZVSW2+dczlne29aa1prWWt6b1lrWWs5Z1prWmtaa1prWmtaa1prOWdaazlnWms5Z1prWmtaazlnWmtaa1prOWdaa1prWmtaa1prAABaa3tvWmt7b1pre296b3tvWmt7b3pve29aa3tvWmt7b1pre296b3tve297b3pve29aa3tvWmt7b1pre296b3tvOWdaa1pre29aa3tvWmt6b1prem9aa3pvWmt6b1pre297b3xve297b1prWmtZa1prWmtaazpnW2s6Z7ZarjXHGColU0paa5tzWWt6b3pve298b3xr+V6XUiwlji3xPZ1ve297b3tve297b3tve297b3tve29aa1prWmt7b1pre29aa3pvWmtaa1lrWmtaa3tvOmdbaztnO2f5XtE56hzxPbdWnXM7ZxJG6RwrJZZSfXN7b3tvem97b1pre29ba1xvG2PzQQshEUKdc1prWmt7bzpnGmPYWrA5CyWwNTxrnnNba3tvWmt7b1prWmtaa3tvWmt7b1pre29aa3tvWmt7b1lrWmtaa3prWWtaa1pre29aa1prWmtaa1prW2s6ZztnHGP0PS4psDXZXlxrfG9aa1prWmtaa3tvW2tba1trfG9aa3pvem96b1lrWms5Z1prWmt7b1prW2s6ZzpnOWc6Zxlj+WL4XhpjOmdba1prWmtaa1prWWtaa1lnWWtZa1prWWtaazlnWms5Z1prOWdaazlnWms5Z1prOWdaazlnWms5Z1prOWdaazlnWms5Z1prOWcAAHtve297b3tve296b3tve297b3pve297b3tvem97b3pve296b3tve297b3tve296b3tvem97b3pve296b3tve297b1pre296b3tvWmt7b1pre29aa3tvWmt7b1pre297b3xve298b3tve29aa3pvWmtaa1prWmtaa1trGWO2VjJGtlY6Z713m3N5a1lrem9aa51vXGsaY5dSTSluLRI+fW+cb3tvnHN7b5xze2+cc3tvnHN7b3tvWmt7b1pre29aa3tvWmt6b1prWmtaa3tvWmt8b1trW2s7Zxpj0T0LIdA5+F58bzpnEkIsKU0tt1Z8b3xve297b3pve29aa3tvXGs8Z1ZOLCltLfheW2udc1prfG87Zxpj0T1NKY8x+2J+c3xvWmt7b1pre29aa3tvWmt7b1pre297b3tvWmt7b1prWmtaa3pvWmtaa1prem9aa3tvWmtaa1pre29aa1prOmf7XrpasjmPMa81GmN8b3tve2t7b3xvWmt7a3tvfG9aa3tvem+bb3pvem9Za1prWWt6b1pre29aa3tvWmtbazprO2caZzpnOmdba1trW2taa1trWmtaa1lrWmtZa3prWWtaa1prWms5Z1prOWdaa1prWms5Z1prWmtaazlnWmtaa1prOWdaa1prWms5Z1prOWdaawAAe2+bc3tve296b3tvem97b1pre29aa3tvem97b1pre29aa3tvWmt7b3pve29aa3tvem97b1prem9aa3tvWmt7b3pve29aa3pvWmtaa1prWmtaa3pvWmt6b1pre29aa3tvW2t7b1pre29aa3tvWmt7b1pre29aazpnOWc6ZxljOWd7b5xze296b1hreWtZa3tvfGt8a/peuFZNKW4t0Tl9b3tve297b3tve297b3tve297b3tvWmtaa1pre29aa1prWmtaa1lrWmtZa1prWWtaa1prW2s6ZztnGmMSQuogjjHWWnxvW2vYXlROllI7a513e297b1prem9aa1prWmtbaztnuFpMKSslU0p8b5xvWmtba3xv+V7yQU0pTilWSn5vW2t7b1pre29aa3tvWmtaa1prWmtaa3tvWmt7b1prWmtZa1prWmtaa1lrWmtaa1prWmtaa1prWmtaa1prOWc6axpjHGe5WiwlTSnxPTtnfG9ba3tvW2t7a1tre29ba1trWmt7b1pre29Za1prWWdZa1lrem9aa3tvW2t7b1trW29ba1trO2dbazpnW2s6Z1prWmtaazlnWWtZa1prWWtaa1lrWms5Z1prOWdaazlnWms5Z1prOWdaazlnWms5Z1prOWdaazlnWms5Z1prOWdaazlnAACcc3tve297b3tve297b3pve297b3tve297b3tve296b3tvem97b3pve297b3tvem97b3tve29aa3tvem97b3pve297b3tvWmt6b1pre29aa3tvWmt7b1pre296b3tvem97b3tve29aa3tvWmt7b1pre297b3tvWms5ZxhjOWc5Z3xvWmtaa1lrem95a3pve298b1xrO2PZWo4tbi3ROVxrnHN7b3tve2+cc3tve297b5xze297b1pre29aa3tvWmt7b1prWmtaa1prWWtaa1lrWms6Z1trOmtba1RKTC1tMddaWmtbazpnGmcaY31ze297b3pvem9aa3pvWmtbaztrXGvYWm4tbC1TSntve29aa3tre286ZzNGsDUtJfQ9f3N8b3tve29aa3tvWmt7b1prWmtaa3tvWmt7b1prWmtaa1prWmt7b1prWmtaa1prWmt7b1pre29aa3tvWmtaazprXGs8a9leVEptLW4xVEpca51zO2dba3xvnHM6Z1pre297b3tve29aa3pvWmt6a1lrem9aa3tvW2t8b3tvfG9ba3xvW2t8b1trW2s6a1trWmtba1prWmtZa1prWmtaa1prWmtaa1prWmtaa1prWmtaa1prWmtaa1prWmtaa1prWmtaa1prWms5Z1prWmtaazlnWmsAAHpve296b3tvWmt6b1pre29aa3tvem97b3pve296b3tvWmt7b1pre29aa3tvWmt7b3pve296b3tvWmt6b1pre29aa3pvWmt6b1prem96b3tvWmt6b1prem9aa3pvWmt7b3tve297b3tvWmtaa1prW2taa1prWmt7b1prWmtaa3tvW29ba1prem95b3lvWWt7b1trXGsbY/pebi1uLbA1fWt7b3tve297b3tve297b3tve297b1prWmtaa1prWmtaa1prWmtaa1prWWtZa1lrWWtaa1prWmtba1tr2F4SRlNKOWd7bzlnOmcZYxpnXGtba1prem9Za3pvWWtaazprW2s7Z/lejjVMKfA9W2tba3tvWmt7bzpnllLROW8tsjmfd1xre29aa3tvWmtaa1pre29aa1prWmtaa1prWmtaa1prWmtaa1prWmtaa1prWmt7b1prWmtaa3tvWmtaa1prWmtbazpn+F4aZxJCbS1tLXVOO2dca3xvfG9aa1prWmt6b1tre29aa3tvWmt6b1lrWmtZa3prWmt7b1trW2tba1xrWmtba1trW2s6Z1prOmtbazpnWms6Z1prOWdaa1prWmtaa1prWmtaazlnWms5Z1prOWdaa1prWms5Z1prWmtaazlnWms5Z1prOWdaazlnWms5ZwAAe296b3tvem97b3pve297b3tve2+bc3tve297b3tve297b3pve29aa3tvWmt7b3tve297b3tvem97b1pre296b3tvWmt7b1pre296b3tve297b1pre29aa3tvWmt7b3tve297b3tve297b1pre29aa3tvWmtaa1pre296a3tve298b1tve296b3pvWWt6b3tve2tca1xnG2OPMU0p0Tlca5xve2+cc3tve297b3tve297b1pre29aa3tvWmt7b1prW2taa3tvWmt6b1lrWmtZa3tvWWtaazlnWms6Z/hiOmd7b5tzW2tbb3xvW2udc1tre296b3pvWWt6b1prW2tba1trO2czRgohrzU6Z5xze296a1prW2vXWhNCkTGyNX9vfG9aa3tvWmt7b1pre29aa1prWmt7b1pre29aa3tvWmtba1pre29aa1trWmt7b1trW2taa3tvWmt7b1pre29aa3pvGGOcbxljGmOvNY8xTSm3Vlxrv3dbazlnm2+bczhje29ba3tve297b3pvem9Za3pvWmt7b1tre29ba1xrW2tba1prW2taa1trWmtba1prWms6Z1prWmtaa1prW2taa1prWmt7b1prWmtaa1prWmtaa1prWmtaa1prWmtaa1prWmtaa1prWmtaazlnWmtaa1prAABaa3tvWmt7b3pve296b3tvem97b3pve297b3tvem97b3pve29aa3pvWmt7b1pre297b3tvWmt7b1prem9aa3pvWmt7b1pre296b3tvWmt7b1prem9aa3pvWmt7b1pre296b3tvWmt7b1tre29aa1tre29aazlnWmtaa1prOWdaa1pre29aa1lrWWt5b3pre29ba3xrPGcbY28tTSmwMX1rfG97b3tve297b3tvWmt7b1prWmtaa1prWmt7b1prWmtaa1trWmt6b1premtZa1lrWWtZZ1lrOWcYY1prOWeccxhjWWs5Z3xvfG9ba1trOmt6b3pvWWt6b1prWms6a1trO2dba7dWrzVTSlxre2t7b1prWmtaa/le80GyOVEtHWdca3tvWmt7b1pre29aa1prWmtaa1prWmtaa1prWmtaa1prW2taa1trWmtba1prW2taa1trWmt7b1prWmtaa3pvOGd6bxhjnG/YWtlesDUtKbE5uFY7Z1trOWd7b3pvWGd7b3tvWmt7b3pve29Za1prWmt6b1pre29ba1trO2tba1prWms5ZzlnWmtbazpnWms6Z1prOmc6azpnW2s6a1trWmtaa1prWmtaa1prOWdaazlnWms5Z1prOWdaazlnWmtaa1prOWdaazlnWms5Z1prWmsAAHtvem97b3pvm3N7b5xze297b3tve297b5tze297b3tve296b3tvWmt7b1pre296b5tze297b3pve29aa3tvWmt7b3tve297b3tvem96b1pre29aa3tvWmt7b3pve296b3tvWmt7b1pre297b3tve297b1prWmt6b3tvWmtaa1prW297b5xzem96b3pvem85Z3tvXGtcaxpjjzFMKbA1fGucc3tve297b3tve297b1pre29aa1prWmt7b3tve29aa3tvW2t7b1pre29aa3prWWtZZ1lnnHNaa1prWms6Z1prnHN7b1prW2tbazpnfG97b3tvem96b3pre29aa1trWmtbaxpjW2u2VlxrfG9aa3prnHNaa3xvGWMzRtI5kDH6Xnxve297b1pre29aa3tvWmt7b1pre29aa3tvWmt7b1prW2tba3tvWmtba1prW2taa1trWmt7b1tre29aa3tvWmt6a1lnWmsYY3xvGmOXUpA1LSmxObhWXG+dczlnWWuab3tvW297b1pre297b3pvWWt6b1pre29ba3xvW2t8b1tre29aazlnOWdaa1prWms5Z1prOmdaazpnW2taa1trWmtba1pre29aa3tvWmtaazlnWms5Z1prOWdaazlnWms5Z1prWmtaa1prWmtaa1prWmtaawAAem97b3pve296b3tve297b1pre297b5tzem97b3pve29aa3tvWmt7b1pre297b3tvWmt7b3tve297b3tve297b3tve297b3tve297b3tve29aa1prWmtaa1pre29aa1pre297b3tve29aa3tve297b1pre297b3tvWmtaa1pre29aa3tvWmt6b1prWmtaa3tvWmtba1trGWPPOegcrjU5Z3tve297b3tve297b1pre29aa3tvWmt7b1pre29aa3tvWmt7b1pre29aa1prOWdZazhnWmtaa1prOWd7b3tvWmtaa1prWmtba1prW2taa1prWmt6b1pre29aa3tvW2t7bzpnOmcZZ1prW2t8b1trWmtaa5xzOWc6Z9dajjFMKfleWmtaa1pre29aa1prWmtaazlnWmtaa3tvWmt7b1prWmtaa1prWmt7b1pre29aa3tvWmt7b3tve29aa1prWmt7bzlnWmtaa1prOmc7a/leuVrLHC4pTi0bY11vW2taa3tvWmt7b1pre29aa1prWmtaa1lrWmtaa1prWmtaa1prW2taa1prWmtaa1prWmtaa1prOWdaazpnWms6Z1prWmtaa1prWmtaa1prOWdaa1prWmtaa1prOWdaazlnWmtaa1prOWdaa1prWms5Z1prWmtaazlnAAB7b3tve297b3tve2+bc3tve297b5xze2+bc3tve297b3tve297b3tve297b3tve297b3tve297b3tve297b3tve297b3tve297b3tvnHN7b3tvWmt7b1pre297b3tve2+cc3tve297b3tve297b3tvWmtaa5xze2+cc3tve297b3tvWmt7b1pre29aa3tve297b1prWmsYY7VWUkrWWntve297b3tve297b3tve29aa3tvWmt7b3tve29aa3tve297b1pre297b3tvWmtaa1prWmtaa3tvWmtaa3tvnHNaa3tvWmt7b1pre29aa3tvWmt7b1pre29aa3tvWmt7b1prWms5Z1prWmt7b3tve29aa3tvnHN7b1prWmtzTnNOe297b1pre29aa3tvWmt7b1prWmtaa3tve297b1pre29aa1prWmt7b1pre29aa3tvWmtaa1pre29aa3tvWmtaa1prWmtaa1prWmtba1trO2fZXtI96yCxOdI9XWt9b3xvWmt7b1pre29aa3tvWmt7b1prWmtaa3tvWmtaa1pre29aa1prWmtaa1prWmtaa1prWmtaa1prWmtaa1prWmtaa1prWmtaa1prWmtaa1pre29aa1prWmtaa1prWmtaa1prWmtaa1prWmtaa1prWmtaa1prWmsAAHpve296b3tve297b3tve297b5tze2+bc3tve296b3tve297b1pre29aa3tvWmt7b1pre29aa3tve297b3tve29aa3tvWmt7b3tve297b3tve297b1pre29aa3tvWmt7b3tve297b3tvWmt7b1pre285Z3tve2+cc5xznHNaa3tvWmt7b1pre29aa1prWmt7b3tve285ZzlnGGNaa3tve297b3tvWmt7b3tve29aa3tvWmt7b1pre29aa3tvWmt7b1pre29aa3tvWmtaazlnWmtaa3tvWmtaa1pre297b1prWmtaa1prWmtaa1prWmtaa1pre29aa1prWmtaa1prWmtaa1prOWdaa1prWmtaa3tvOWd7b1prWmtaazlnOWecc1pre29aa1prWmtaa1pre29aa1prWmt7b1pre29aa1prWmtaa1prWmtaa3tvWmtaa1prWmtaa1prWmtaazlnWms5Z1prWWtaa1pre287ZxtnmFbSPU4tby00Sp1zW2t7b1pre29aa1prWmt7b1prWmtaa1prWmtaa1prWmtaa1prWmtaa1prWmtaa1prWmtaazlnWms5Z1prOWdaazlnWmtaa1prOWdaa1prWmtaa1prWmtaazlnWms5Z1prOWdaa1prWms5Z1prWmtaazlnWmtaawAAe297b3tve2+bc3tvm3N7b5tze2+cc3tvm3N7b3tve297b3tve29aa3tve297b3tve297b3tve297b3tve297b3tve297b3tve297b5xze297b3tve29aa1prWmt7b3tvnHN7b3tve297b1pre29aa1pre2+cc5xznHN7b3tvWmt7b3tve29aa3tvWmt7b3tve297b5xzWmtaa1pre29aa3tve297b3tve297b3tvWmt7b3tve29aa3tve297b1pre297b3tvWmt7b1prWmtaa1pre297b1pre297b3tvWmt7b1pre29aa3tvWmt7b1pre297b3tvWmt7b1prWmtaa3tvWmt7b1prWmtaa3tve297b1pre29aa1prWmt7b1pre297b3tvWmtaa1pre297b3tvWmt7b1pre29aa3tvWmt7b1pre29aa3tvWmt7b1prWmtaa3tvWmt7b1prWmtaa1prWmtaa1lre29ba1trO2cbZ/pebzFuLY81t1acc3tve29aa3tvWmt7b1pre29aa3tvWmtaa1pre29aa1prWmt7b1prWmtaa1prWmtaa1prWmtaa1prWmtaa1prWmtaa1prWmtaa1prWmtaa1prWmtaa1prWms5Z1prWmtaazlnWmtaa1prWmtaa1prWmtaa1prAAB6b3tvem97b3pve297b3tvWmt7b3tve29aa3tvWmt7b1pre29aa3tvWmt7b3tve29aa3tvWmt7b1pre297b3tvWmt7b1pre297b3tve297b1pre29aa3tvWmtaa1pre297b3tve297b1prWmtaa3tve297b3tvnHN7b3tvWmt7b1pre297b3tvWmtaa1pre29aa3tve297b1prWmt7b5xzWmt7b1pre297b3tvWmt7b1pre29aa3tvWmt7b1pre29aa3tvWmt7b1prWmtaa1prWmtaa1prWmtaa1prWmtaa1prWmtaa3tvWmtaa1pre297b3tvWmt7b1prWmtaa1prWmt7b1prWms5Z1prWmt7b3tvWmtaa3tvOWdaa1prWmtaa3tvWmtaa1prWmtaa3tvWmtaa1pre29aa1prWmtaa1prWmtaa3tvWmtaa1prWmtaa3tvWmt7b1prWmtaa3tvWmtaa1lrWmtZa1prOmtbaxtnG2dVSm4x0T1TSpxzWWtaa1prWmtaa1prWmtaa3tvWmtaa1prWmtaa1prWmtaa1prWmtaa1prWmtaa1prWms5Z1prOWdaazlnWms5Z1prOWdaazlnWms5Z1prWmtaazlnWms5Z1prOWdaazlnWms5Z1prWmtaazlnWmtaa1prOWcAAHtve297b3tve297b5tze297b3pvm3N7b3tvWmt7b3pve297b3tve297b3tve297b3tvWmt7b3tve297b3tve297b3tve297b3tve297b3tve297b5xze297b1pre297b5xze297b3tve29aa3tvWmucc3tvnHN7b3tvWmt7b3tve297b3tve297b1pre297b3tvWmtaa3tvnHN7b5xznHN7b1pre297b3tve297b1pre29aa3tve297b1pre297b3tvWmt7b1prWmtaa3tvWmt7b1pre29aa1prWmtaa1prWmtaa3tve29aa1pre297b3tve297b3tve29aa3tvWmt7b3tve29aa1prWmt7b3tve29aa3tve297b1pre297b3tvWmt7b1pre29aa3tve297b1pre29aa3tvWmt7b1pre29aa3tvWmt7b1pre29aa3tvWmt7b3tve29aa3tvWmt6b1lrWmtZa3prWWdaa1trXGv6YhtnVEqWUjpnWWtaa1prWmt7b1pre29aa3tvWmtaa1pre29aa1prWmt7b1pre29aa3tvWmtaa1prWmtaa1prOWdaa1prWmtaa1prWmtaazlnWmtaa1prWmtaa1prWmtaa1prWmtaa1prWmtaa1prWmtaa1prWmtaa1prWmtaawAAem97b3pve297b3tve297b1pre297b3tvem97b1pre297b3tvWmt7b1pre29aa3tvWmt7b1pre29aa3tvWmt7b3tve29aa3tvWmt7b1pre29aa3tve2+cc3tve29aa3tve297b1pre29aa3tvWmt7b3tve297b3tvWmt7b1pre29aa3tvWmt7b1pre29aa3tve297b1prWmt7b5xzWmtaa1pre29aa3tve297b1pre29aa3tvWmt7b1pre29aa3tvWmt7b1prWmtaa1prWmtaa1pre29aa1prWmtaazlnWmtaa3tve297b1prWmtaa3tvWmt7b1pre29aa3tvWmt7b1pre29aa3tvWmt7b1pre285Z1prWmtaa1pre29aa3tvWmt7b1pre29aa3tvWmt7b1pre29aa1prWmtaa1prWmtaa3tvWmt7b1prWmtaa1prWmt7b1pre29aa1prWmtaa1prWWtZZ3lvWWtZazlnW29ca1trGmdba/he3ns4Y3pvWWtaa1prWmtaa1prWmtaa1prWmtaa1prWmtaa1prWmtaa1prWmtaa1prWms5Z1prOWdaazlnWms5Z1prOWdaazlnWms5Z1prOWdaazlnWmtaa1prWmtaa1prWmtaa1prWmtaazlnWmtaa1prOWdaazlnAAB7b3tve297b5tze2+bc3tve297b5xze2+bc3tve297b3tve297b1pre297b3tve297b1pre29aa3tve297b3tvnHN7b3tve297b3tve29aa1pre2+cc3tve29aa1prWmt7b3tve29aa3tvWmt7b1pre297b3tve297b3tve29aa3tve297b3tve29aa3tve29aa3tvnHN7b3tvnHOcc1pre29aa3tvWmt7b3tve29aa3tve297b1pre297b3tvWmt7b1pre29aa1prWmt7b1pre297b3tvWmt7b1prWmtaa1pre297b3tve29aa3tve297b1pre29aa3tvWmt7b1pre297b3tve297b3tve29aa1prnHN7bzlnWmt7b1prOWd7b1pre297b3tve297b1pre29aa3tvWmt7b1pre29aa3tvWmt7b1pre29aa1prWmtaa1pre29aa3tvWmtaa1prWmtZa1lreW96b1lremt7b1trXG87azpnfG/3XptzWWtaa1prWmtaa3tvWmt7b1pre29aa1prWmt7b1prWmtaa3tvWmt7b1prWmtaa1prOWdaazlnWms5Z1prWmtaazlnWmtaa1prOWdaa1prWmtaa1prWmt7b1pre29aa1prWmtaa1prWmtaa1prWmtaa1prWmsAAHtve297b3tvem97b3tve297b3tve297b3pve297b5tzWmt7b1pre29aa3tvWmt7b3tve29aa3tve297b1prWmtaa3tve297b1pre29aa3tvWmt7b1pre29aa3tvWmt7b1prWmtaa1prWmt7b3tve297b3tve297b3tve29aa3tvWmt7b1pre29aa3tvWmt7b1pre29aa3tvWmt7b3tve29aa3tvWmt7b1pre29aa3tvWmtaa1pre29aa3tvWmt7b1pre29aa3tvWmtaa1pre29aa1prWmt7b1prWmtaa1prWmt7b3tve29aa1prWmt7b1pre29aa3tvWmt7b1pre29aa1prWmtaa1prWmtaa3tvWmtaa1prWms5Z1prWmt7b1pre297b3tvWmt7b1prWmtaa3tvWmtaa1prWmtaa3tvWmt7b1pre29aa1prWmtaa1prWmtaa1prWmtaa1prWms5Z1prWWt5a1hrWWtZa1prWmtbaztnW2taa1prWWt6b1pre29aa1prOWdaa1prWmtaa1prWmtaa1prWmtaa1prWmtaa1prWms5Z1prOWdaazlnOWc5Z1prOWdaa1prWms5Z1prOWc5ZzlnWmtaa1prWmtaa1prWmtaa1prWmtaazlnWmtaa1prOWdaa1prWms5ZwAAm3N7b5tze297b3tvnHN7b5tze2+bc3tve297b5tze297b3tve297b3tve297b3tve297b3tvWmt7b1pre29aa3tve297b3tve297b3tvWmt7b3tve297b3tvWmt7b1pre29aa1prWmt7b3tve297b3tve297b3tve297b3tve297b3tve297b3tve297b3tve29aa3tve297b3tve297b3tvWmt7b3tve297b3tvWmt7b1pre29aa3tvWmt7b3tve29aa3tvWmt7b1pre29aa3tvWmt7b1pre29aa3tvWmt7b3tvnHN7b1prWmt7b3tve29aa3tvWmt7b1pre29aa1prWmt7b1pre29aa3tvWmtaa1pre29aa1prWmt7b1pre297b3tvWmtaa1pre29aa3tvWmt7b1prWmtaa3tvWmt7b1pre29aa3tvWmt7b1pre29aa3tvWmtaa1prWmtaa1prWmt6b1lreWtZa3prWWt7b1trW2taa1trWmt6b1lrem9aa3tvWmtaa1prWmtaa3tvWmt7b1pre29aa3tvWmtaa1prWmtaa1prWmtaa1prWms5Z1prWmtaa1prWmtaa1prWmtaazlnWms5Z1prWmtaa1prWmtaa1prWmtaa1prWmtaa1prWmtaa1prWmtaa1prAAB6b3tvem97b3tve297b5tze297b3tve297b3tve297b1pre29aa3tvWmt7b1pre297b3tvWmt7b1pre29aa3tvWmt7b1pre297b3tvWmt7b3tve297b3tve297b1pre29aa3tvWmtaa1pre29aa3tve297b3tve297b3tvWmt7b3tve29aa3tvWmt7b1prWmtaa3tvWmt7b3tve29aa3tvWmt7b1pre297b3tvWmt7b1pre29aa3tvWmt7b1pre29aa3tvWmtaa1pre29aa3tve297b1prWmtaa1prWmtaa1pre29aa3tvWmtaa1pre29aa1prWmtaa1prWmtaa1prWmtaa1prWmtaa3tvWmtaa1prWmtaa1prWmtaa1pre297b3tvWmtaa1pre29aa1prWmtaa1prWmtaa1prWmtaa1pre29aa1prWmtaa1prWmtaa3tvWmtaa1prWmtaa1prWmtaa1lrWWtZa3lrWGtaa1prW2s6Z1prWmt6a1lrWWtZa1prWmtaa1prWmtaa1prWmt7b1prWmtaa3tvWmtaa1prWms5Z1prOWdaazlnWms5Z1prOWdaa1prWms5Z1prOWdaazlnOWc5Z1prOWdaa1prWms5Z1prWmtaazlnWmtaa1prOWdaa1prWms5Z1prOWcAAHtve297b3pvm3N7b5xze2+bc3tvm3N7b5xze2+bc3tve297b3tve297b3tve297b5xze297b3tvnHN7b5xze297b3tve297b3tve297b1pre297b3tve297b3tve297b3tve297b1pre297b3tvWmt7b3tve297b3tve297b1pre297b3tve297b1pre29aa3tvWmt7b3tve297b3tvWmt7b3tve297b3tve297b3tve29aa3tvWmt7b1pre29aa3tvWmt7b1pre29aa3tve2+cc3tve29aa3tvWmt7b1prWmtaa3tvWmt7b1pre29aa3tvWmtaa1pre29aa1prWmt7b1pre29aa3tvWmt7b1prWmtaa1prWmtaa1pre297b3tve297b1pre297b3tvOWdaa1prWmtaa3tvWmtaa1pre29aa3tvWmt7b1pre29aa3tvWmt7b1pre29aa1prWmtba1prWmtZa3lvWWt5a1lre29ba1trWmt7b1prWWtZa1prWmtaa1pre29aa1prWmt7b1pre29aa3tvWmt7b1pre29aa1prWmtaa1prWmtaa1prWmtaa1prWmtaa1prWmtaa1prWms5Z1prWmtaa1prWmtaa1prWmtaa1prWmtaa1prWmtaa1prWmtaa1prWmtaawAAWmt7b1pre296b3tve2+cc3pve297b5tze297b3tve29aa3tvWmt7b1pre29aa3tvWmt7b3tvnHOcc5xze297b1pre29aa3tvWmt7b1pre297b3tve297b3tve29aa3tvWmt7b1pre29aa3tvWmt7b1pre29aa3tvWmt7b1pre29aa3tve297b1prWmtaa1prWmtaa1pre29aa3tvWmt7b1pre297b3tvWmt7b1pre29aa3tvWmt7b1pre29aa3tvWmtaa1prWmtaa3tvWmt7b3tve29aa1prWmtaa1prWmtaa1prWmt7b1prWmtaa3tvWmtaa1prWmtaa1prWmtaa1prWmtaa3tvWmtaa1prWms5Z1prWmtaa1prWmtaa3tvWmt7b1prWmtaa3tvWms5ZzlnWmtaa1prWmtaa1prWmtaa1prWmtaa1prWmtaa3tvWmt7b1pre29aa1prWmtba1prW2taa3prWWt5a1lrWmtaa1trWmtba1prWmtZa1lrOWdaa1prWmtaa1prWmtaa1prWmtaa1prWmtaa1prWmtaa1prWmtaazlnWms5Z1prOWdaa1prWmtaa1prWmtaazlnWms5Z1prOWdaa1prWms5Z1prWmtaazlnWmtaa1prOWdaa1prWms5Z1prWmtaazlnAAB7b3pve297b3tve2+bc3tve297b5xze2+cc3tvm3N7b3tve297b3tve297b3tve297b1pre297b5xze297b1pre29aa3tve297b3tve297b3tve297b3tve297b3tve297b3tve297b3tvWmt7b3tve29aa3tve297b3tve297b3tve297b3tve29aa3tvWmt7b1pre297b3tvWmt7b3tve29aa3tve297b1pre29aa3tvWmt7b1pre29aa3tvWmt7b1pre29aa3tvWmt7b3tve29aa3tvWmtaa1pre29aa3tvWmt7b1pre29aa3tvWmt7b1pre29aa3tvWmt7b1pre29aa3tvWmt7b1pre29aa1prWmt7b1prWmtaa3tve297b1pre29aa3tve29aaxhjWmtaa3tvWmt7b1pre29aa3tvWmt7b1pre29aa3tvWmt7b1pre29aa3tvWmt7b1prW2tba3tvWmt6b1lrem9Za3tvWmtba1tre29aa3prWWtaa1prWmtaa1prWmtaa1prWmtaa3tvWmtaa1pre29aa1prWmtaa1prWmtaa1prWmtaa1prWmtaa1prWmtaa1prWms5Z1prWmtaa1prWmtaa1prWmtaa1prWmtaa1prWmtaa1prWmtaa1prWmtaa1prWmsAAHpve29aa3tvem97b3pve296b3tve2+bc3tvm3N6b3tvWmt7b1pre29aa3tvWmt7b1pre29aa3tve297b3tve29aa3tvWmt7b3tve29aa3tvWmt7b1pre29aa3tvWmtaa1pre297b3tvWmt7b1pre29aa3tvWmt7b1pre29aa3tvWmt7b1pre29aa3tvWmtaa1pre29aa3tvWmt7b1pre29aa3tvWmt7b1pre29aa1prWmt7b1pre29aa3tvWmtaa1pre29aa1prWmt7b1pre29aa1prOWdaa1prWmtaa1prWmt7b1prWmtaa1prWmtaa1pre29aa1prWmt7b1prWmtaa3tvWmtaa1prWmtaa1prWmtaa1prWmtaa1prWmt7b1pre29aa1prWmt7bzlnGGNaa1prWmt7b3tve29aa3tvWmtaa1prWmtaa3tvWmt7b1pre29aa3tvWmt7b1prW2tba1xrWmtaa1lreW9Za1prWmtbazprW2taa3pvWWtZazlnWms5Z1prOWdaa1prWmtaa1prWmtaa1prWmtaa1prWmtaazlnWms5Z1prOWdaa1prWmtaa1prWmtaazlnWms5Z1prOWdaazlnWms5Z1prOWdaazlnWms5Z1prOWdaa1prWms5Z1prWmtaazlnWms5ZwAAm3N7b3tvem97b3tve297b3tve2+bc3tvnHN7b3tvem97b3tve297b3tve297b3tvnHN7b3tvWmt7b3tvnHN7b3tvWmt7b3tve297b3tve297b3tve297b3tvWmt7b1pre297b5xze297b1pre29aa3tvWmt7b3tve297b3tve297b1pre29aa3tve297b1pre29aa3tvWmt7b3tve29aa3tvWmt7b1pre29aa3tvWmt7b3tve29aa3tvWmt7b1pre297b3tvWmt7b1pre29aa1prWmtaa1pre29aa1prWmt7b1pre29aa3tvWmtaazlne29aa3tvWmt7b1pre29aa3tvWmt7b1pre29aa1prWmt7b1pre29aa1prWmtaa1pre29aa1prOWd7b3tvWmsYY1prWmt7b3tvnHN7b3tvWmt7b1pre29aa3tvWmt7b1pre297b3tvWmt7b1pre29aa1tvW2t7b1prem9Za3pvWWtaa1prW2tba3tvem96b1lrWmtaa1prOWdaa1prWmtaa1prWmtaa1prWmtaa1prWmt7b1prWmtaa1prWmtaa1prWmtaa1prWmt7b1prWmtaa1prOWdaa1prWmtaa1prWmtaa1prWmtaa1prWmtaa1prWmtaa1prWmtaa1prWmtaa1prAAB7b3tve297b1pre297b3tve297b3tve297b3tve2+cc1pre29aa3tvWmt7b1pre29aa3tve297b3tve297b3tvWmt7b3tve297b3tve297b1pre29aa3tvWmtaa1prWmtaa3tve297b3tve29aa3tve297b1pre29aa3tve297b1prWmt7b3tve297b1prWmtaa1prWmt7b1pre29aa3tvWmtaa1prWmtaa1prWmtaa1prWmtaa3tvWmt7b1pre29aa1prWmt7b1pre29aa3tvOWdaa1pre29aa1prWmtaa1prWmtaa3tvWmtaa1prWmtaa1prWmtaa1prWmtaa1prWmtaa1pre29aa1prWmtaa1prWmtaa1prWmtaa1pre29aa1prWmtaa1prWmtaa3tvWmt7b1pre29aa1prWmtaa1prWmtaa3tvWmt7b1pre29aa3tvWmt7b1prWmtaa1prWmtba1tre29aa3pvWmtaa1prWms5Z1prWmt7b1prWmtaa1prWmtaa1prWmtaa1prWmtaa1prWms5Z1prOWdaa1prWmtaa1prWmtaa1prWms5Z1prWmt7bzlnWms5Z1prOWdaazlnWms5ZzlnOWdaazlnWms5Z1prOWdaazlnWmtaa1prWmtaazlnWmtaa1prWmsAAHtve297b3tve297b3tve297b3tvnHN7b5xze2+cc3tve29aa3tvWmt7b1pre297b3tve297b3tve297b3tve297b3tve297b3tve297b3tve297b3tve297b1pre29aa3tve297b3tve297b3tvWmt7b3tve297b3tve297b3tvWmtaa3tve297b3tve29aa3tvWmt7b3tve297b3tve297b1pre29aa3tvWmt7b1pre29aa3tvWmt7b1pre297b3tvWmt7b3tve29aa3tvWmtaa1pre29aa1prWmt7b1pre29aa3tvWmt7b1pre29aa3tvWmt7b1prWmtaa1prWmt7b1pre29aa3tvWmt7b1pre29aa3tvWmtaa1pre29aa3tvWmt7b1prWmtaa3tvWmt7b3tve297b3tvWmt7b1prWmtaa3tvWmt7b1pre297b3tvWmt7b1pre29aa3tvWmt7b1pre297b3tvWmt7b1prWmtaa1prWmt7b1pre29aa1prWmtaa1prWmtaa1prWmtaa1prWmtaa1prWmtaa1prWmtaa1prWmtaa1prWmtaa1prWmt7b1prWms5Z1prWmtaa1prWms5Z1prOWdaazlnWmtaa1prWmtaa1prWmtaa1prWmtaa1prWmtaa1prWmtaawAAWmt7b1pre297b3tve297b3tve297b3tve297b3tve297b3tvWmt7b1pre29aa3tvWmt7b1pre29aa3tvWmt7b3tve29aa3tve297b1pre29aa3tvWmt7b3tve29aa3tvWmt7b1pre29aa3tvWmt7b3tve29aa3tvWmt7b1pre29aa3tvWmt7b3tve29aa1prWmt7b1pre29aa3tvWmt7b1prWmtaa1prWmtaa1prWmtaa3tvWmt7b1pre29aa3tvWmt7b1pre29aa3tvWmtaa1prWmtaa1prWmtaa1prWmtaa1prWmtaa1pre29aa1prWmt7b1prWmtaa1prWmtaa1prWmtaa1prWmt7b1pre29aa1prWmtaa1prWmtaa1prWmtaa1prWmtaa1prWmtaa1pre29aa3tvWmt7b1pre29aa1prWmtaa1pre29aa3tvWmt7b1prWmtaa1prWmtaa1pre29aa3tvWmt7b1prWmtaa1prOWdaa1pre29aa1prWmtaa1prWmtaa1prWmtaa1prWms5Z1prOWdaazlnWmtaa1prWmtaa1prWmtaa1prOWdaa1prWmtaa1prOWdaa1prWms5Z1prOWdaazlnWms5Z1prOWdaazlnWms5Z1prWmtaazlnWmtaa1prWmtaa1prAAB7b3tve297b3tve2+cc3tve297b3tve2+cc3tvnHN7b3tve297b1pre297b3tve297b1pre29aa3tve297b3tve297b3tve297b3tve297b3tve297b3tvnHN7b3tve297b1pre29aa3tve297b1pre297b3tve297b3tve297b3tvWmt7b3tve297b3tvWmt7b1pre29aa3tve297b1pre29aa3tvWmt7b1pre29aa3tvWmt7b1pre29aa3tvWmt7b1pre29aa3tvWmt7b1pre29aa3tvWmt7b1prWmtaa3tvWmt7b1pre29aa3tvWmt7b1pre29aa3tvWmtaa1prWmtaa1prWmt7b1pre29aa3tvWmtaa1pre29aa3tvWmt7b1prWmtaa3tvWmt7b1pre29aa3tvWmt7b3tve297b3tvWmt7b1pre29aa3tvWmt7b1pre29aa3tvWmt7b1pre29aa3tvWmt7b1prWmtaa3tvWmt7b1pre29aa1prWmtaa1prWmtaa1prWmtaa1pre29aa1prWmtaa1prWmtaa1prWmtaa1prWmtaa1prWmtaa1prWmtaa1prWmtaa1prWmtaa1prOWdaa1prWmtaa1prWmtaa1prWmtaa1prWmtaa1prWmtaa1prWmtaa1prWmsAAFpre29aa3tve297b3tvnHNaa3tve297b3tve297b3tve297b3tve29aa3tvWmt7b1pre29aa3tvWmt7b1pre297b3tve297b1pre29aa3tvWmt7b1pre297b5xze297b1prWmtaa3tvWmt7b1pre29aa3tvWmt7b1pre29aa3tvWmt7b1pre29aa3tvWmt7b1prWmtaa3tvWmt7b1prWmtaa1prWmtaa1prWmtaa1prWmt7b1pre29aa3tvWmt7b1prWmtaa3tvWmt7b1pre29aa3tvWmt7b1prWmtaa3tvWmtaa1pre29aa1prWmtaa1pre29aa3tvWmtaa1prWmtaa1prWmtaa1prWmtaa3tvWmtaa1prWmtaa1prWmtaa1prWmtaa1prWmtaa1pre285Z1prWmtaa1pre29aa3tvWmtaa1prWmtaa1prWmt7b1prWmtaa1prWmtaa1pre29aa1prWmt7b1prWmtaa1prWmtaa1prWmtaa1prWmtaa1prWmtaa1prWmtaa1prWmtaa1prWmtaazlnWms5Z1prWmtaa1prWmtaa1prWmtaazlnWms5Z1prOWdaa1prWms5Z1prOWdaazlnWms5Z1prOWdaazlnWms5Z1prOWdaazlnWms5Z1prOWdaa1prWms5ZwAAe297b3tve297b3tvnHN7b3tve297b3tve297b5xze2+cc3tve297b3tvWmt7b3tve29aa3tve297b3tve297b3tve297b3tve29aa3tvWmt7b1pre297b5xze2+cc3tve29aa3tvWmt7b1pre297b3tve297b3tve297b3tve297b1pre297b3tvWmt7b1pre29aa3tvWmt7b1pre29aa1prWmt7b1prWmtaa3tvWmt7b1pre29aa3tvWmt7b1pre29aa3tve297b1pre29aa3tve297b1prWmtaa3tve297b1pre29aa3tvWmt7b1pre29aa3tvWmt7b1pre29aa3tvWmt7b1pre29aa3tvWmt7b1prWmtaa1prWmt7b1prWmtaa1prWmtaa1pre29aa1prWmtaa1pre29aa3tvWmt7b1pre29aa3tvWmt7b1pre29aa3tvWmt7b1pre29aa3tvWmt7b1prWmtaa3tvWmt7b1pre29aa1prWmtaa1prWmtaa1prWmtaa1prWmtaa1prWmtaa1prWmtaa1prWmtaa1prWmtaa1prWmtaa1prWmtaa1prOWdaa1prWmtaa1prWmtaa1prWmtaa1prWmtaa1prWmtaa1prWmtaa1prWmtaa1prWmtaa1prWmtaa1prAAB7b3tvWmt7b3tve297b3tve297b1pre297b3tve297b3tve297b3tvWmt7b1pre29aa3tvWmt7b3tve297b3tve297b1pre29aa3tvWmtaa1prWmtaa3tve2+cc3tve297b3tvWmt7b1pre29aa3tvWmt7b1pre297b3tvWmt7b1pre29aa3tvWmt7b1pre29aa3tvWmt7b1prWmtaa1prWmtaa1prWmtaa1prWmtaa1pre29aa3tvWmt7b1prWmtaa3tvWmt7b1pre29aa1pre297b1prWmtaa1prWmt7b1prWmtaa1prWmt7b1prWmtaa3tvWmt7b1pre29aa1prWmt7b1prWmtaa1prWmtaa1prWmtaa1prWmtaa1prWmtaa1prOWdaa1prWmtaa3tvWmtaa1prWmtaa3tvWmt7b1prWmtaa1prWmtaa1prWmtaa1prWmtaa1pre29aa3tvWmt7b1prWmtaa1prWmtaa1prWmtaa1prWmtaa1prWmtaa1prWmtaa1prWmtaa1prWmtaazlnWms5Z1prOWdaa1prWmtaa1prWmtaa1prWmtaa1prOWc5Z1prWmtaa1prOWdaazlnWms5Z1prWmtaazlnWms5Z1prOWdaazlnWmtaa1prOWdaazlnWms5Z1prOWcAAHtve297b3tve297b3tve297b3tve297b3tve297b3tvnHN7b3tve297b3tve297b3tve297b3tve297b3tve297b3tve297b3tvWmt7b1pre29aa1prWmucc5xznHN7b5xze297b1pre297b3tve297b3tve297b3tve297b1pre297b3tvWmt7b3tve29aa3tvWmt7b1pre29aa1prWmtaa1prWmtaa1prWmtaa1pre297b3tvWmt7b1pre29aa3tvWmt7b1pre29aa3tvWmt7b3tve29aa1prWmt7b1pre29aa3tvWmt7b1pre29aa3tve297b1pre29aa3tvWmt7b3tve29aa3tvWmtaa1pre29aa1prWmtaa1prWmtaa1prWmtaa1prWmtaa3tvWmt7b1pre29aa3tvWmt7b1pre29aa3tvWmt7b1prWmtaa3tvWmt7b1pre29aa3tvWmt7b1pre29aa1prWmtaa1prWmtaa3tvWmtaa1prWmtaa1prWmtaa1prWmtaa1prWmt7b1prWmtaa1prWmtaa1prWmtaa1prWmtaa1prWmtaa3tvWmtaazlnWmtaa3tvWmtaa1prWms5Z1prWmtaa1prWmtaa1prWmtaa1prWmtaa1prWmtaazlnWms5Z1prOWdaawAAWmt7b3tve297b3tve297b1pre29aa3tvWmt7b3tve297b3tve297b3tve29aa3tve297b3tve297b5xze297b3tve297b3tvWmt7b1pre297b3tvWmt7b3tvnHN7b3tve297b3tve29aa3tvWmt7b1pre297b3tve297b3tve29aa3tvWmt7b1pre297b3tvWmt7b1pre29aa1prWmt7b1prWms5Z3tvWmtaa1pre29aa1prWmtaa1prWmtaa3tvWmt7b3tve29aa3tvWmt7b1pre29aa3tvWmt7b1pre29aa3tvWmt7b1prWmtaa3tvWmt7b1pre29aa1prWmt7b1pre29aa3tvWmtaa1pre29aa1prWmtaa1prWmtaa1prWmtaa1prWmtaa1prWmt7b1prWmtaa1prWmtaa1prWmtaa1prWmtaa1prWmtaa1prWmtaa1prWms5Z1prWmtaa1prWms5Z1prOWdaa1pre285Z1prWmtaa1prWmtaa1prWmtaa1prWmtaa1prWmtaa1prWms5Z1prOWdaa1prWmtaa1prOWdaazlnWms5Z1prOWdaazlnWms5Z1prWmtaazlnWmtaa1prOWdaa1prWms5Z1prOWdaazlnWms5Z1prOWdaazlnWms5Z1prOWdaazlnAAB7b3tvnHN7b5xze2+cc3tve297b3tve297b3tvnHN7b3tve2+cc3tve297b3tvWmt7b3tve297b5xze2+cc3tve297b3tve297b1pre297b3tve297b3tvnHN7b5xze2+cc3tvnHN7b3tve297b3tve29aa3tve297b3tve297b3tve297b3tve297b3tve297b1pre29aa1prWmt7b1pre29aa1prWmt7b1prWmt7b1prWmt7b1pre29aa3tvWmt7b1pre297b3tve297b3tve29aa3tvWmt7b1pre29aa3tvWmt7b1pre29aa3tvWmt7b1pre29aa3tvWmt7b1pre29aa3tvWmt7b1pre29aa1prWmt7b1prWmtaa3tvWmtaa1prWmtaa1prWmt7b1prWmtaa3tvWmt7b1pre29aa1prWmt7b1prWmtaa3tvWmtaa1prWmtaa1prWmt7b1prWmtaa1prWmtaa1pre29aa1prWmt7b1pre29aa3tvWmt7b1pre29aa1prWmt7b1pre29aa1prWmtaa1pre29aa1prWmtaa1prWms5Z1prWmtaazlnWmtaa1prWmtaa1prWmtaa1prWmtaa1prWmtaa1prWmtaa1prWms5Z1prOWdaazlnWms5Z1prOWdaazlnWmsAAHtve297b3tve2+cc3tve297b3tve297b3tve297b5xze297b3tve297b3tvWmt7b3tve29aa3tve297b3tve297b3tvWmt7b1pre29aa3tve297b1pre297b3tve297b3tve297b3tve297b1pre29aa3tvWmt7b1pre29aa3tvWmt7b1pre29aa3tvWmt7b1pre29aa1prWmtaa1prWmtaa1prOWdaa1prWmtaa3tvWmtaa1prWmtaa3tvWmtaa1pre29aa3tvWmt7b1pre29aa3tvWmtaa1pre29aa1prWmt7b1prWmtaa3tvWmt7b1pre29aa1prWmt7b1pre29aa3tvWmtaa1prWmtaa1prWmtaa1prWmtaa1prWmtaa1prWmtaa1prWmtaa1prWmtaa1prWmtaa1prWmtaa1prWmtaa1prWmtaa1prWmtaa1prWmtaa1prWmtaa1prWmtaa1prOWdaa1prWmtaa1prWmtaa1prWmtaa1prWmtaa1prWmtaa1prWmtaa1prWmtaa1prWmtaazlnWmtaa1prWmtaazlnWms5Z1prOWdaazlnWms5Z1prOWdaazlnWmtaa1prOWdaa1prWms5Z1prWmtaazlnWms5Z1prOWdaazlnWms5Z1prOWdaazlnOWc5ZwAAe297b3tve2+cc3tve297b5xze297b3tve297b3tve297b3tve297b3tve297b1pre297b3tvWmt7b3tve29aa3tve297b3tve297b3tve297b3tve297b3tve297b3tve297b3tve297b3tve29aa3tvWmt7b1pre29aa3tvWmt7b3tve29aa3tve297b1pre29aa3tvWmt7b1prWmtaa3tvWmtaa1pre29aa1prWmtaa1prWmtaa3tvWmt7b1pre29aa3tvWmt7b3tve29aa3tvWmt7b1pre29aa3tvWmt7b1pre29aa3tvWmt7b1pre29aa3tvWmt7b1pre29aa3tve297b1pre29aa1prWmtaa1prWmtaa3tvWmt7b1prWmtaa1prWmtaa1prWmtaa1prWmt7b1pre29aa1prWmtaa1prWmtaa3tvWmt7b1prWmtaa1prWmt7b1prWmtaa1prWmtaa1prWmtaa1prWmtaa1prWmtaa3tvWmt7b1prWmtaa1prWmtaa1pre29aa3tvWmtaa1prWmtaa3tvWmtaa1prWms5Z1prOWdaazlnWms5Z1prOWdaa1prWmtaa1prWmtaa1prWmtaa1prWmtaa1prWmtaa1prWmtaazlnWmtaa1prOWdaazlnWms5Z1prAABaa3tvWmt7b3tve297b3tve297b1pre29aa3tvWmt7b1pre297b3tve297b1pre297b3tvWmt7b1pre29aa3tvWmt7b1pre29aa3tve297b1pre297b3tvWmt7b3tve29aa3tvWmt7b1pre29aa3tvWmt7b1pre29aa1prWmt7b1pre29aa3tvWmt7b1pre29aa3tvWmt7b1pre29aa1prWmtaa1prWmtaa1prWmtaa1prWmtaa1prWmtaa1prWmtaa1prWmt7b1pre29aa1prWmtaa1prWmtaa1prWmtaa1prWmtaa1prWmtaa1pre29aa3tvWmt7b1pre29aa3tvWmt7b1prWmtaa1prWmtaa1prWmtaa1prWmtaa1prWmtaa1prWmtaa1prWmtaa1prWmtaa1prWmtaa1prWmtaa1prWmtaa1prWmtaa1prWmtaa1prWmt7b1prWmtaa1prOWdaa1prWmtaa1prWmtaazlnWmtaa1prWmtaa1prWms5Z1prWmtaazlnWmtaa3tvWmtaa1prWmtaa1prWmtaa1prWms5Z1prOWdaazlnWms5Z1prOWdaazlnWmtaa1prOWdaa1prWms5Z1prWmtaazlnWms5Z1prOWdaazlnWms5Z1prOWdaazlnWms5Z1prOWcAAHtvWmt7b3tve297b3tve297b3tve29aa3tvWmt7b3tve297b3tve297b3tve297b3tve297b3tve297b3tvWmt7b1pre297b3tve297b3tve297b5xze297b1pre297b3tve297b3tve29aa3tve297b1pre29aa3tvWmt7b1pre297b3tve297b1pre29aa3tve297b3tve297b3tvWmtaa1pre29aa1prWmt7b1prWmtaa1prWmtaa1pre29aa1prWmt7b1pre29aa3tvWmt7b1pre29aa3tvWmt7b1prWmtaa1prWmtaa1pre297b3tvWmt7b1pre29aa3tve297b1pre29aa1prWmtaa1prWmtaa3tvWmtaa1pre29aa1prWmtaa1prWmtaa1prWmtaa1pre29aa3tvWmt7b1prWmtaa3tvWmtaa1pre29aa1prWmt7b1pre29aa3tvWmtaa1prWmtaa1prWmt7b1prWmtaa3tvWmt7b1pre29aa1prWmt7b1prWmtaa3tve29aa1pre29aa1prWmt7b1prWmtaa1prWmtaazlnWmtaa1prOWdaa1prWmtaa1prWmtaa1prWmtaa1prWmtaa1prWmtaa1prWmtaazlnWms5Z1prOWdaazlnWms5Z1prOWdaawAAWmt7b1pre297b3tvWmt7b3tve29aa3tvWmt7b1pre29aa3tve297b3tve29aa3tve297b1pre297b3tvWmt7b1pre29aa3tve297b1pre29aa3tve297b1pre29aa3tvWmt7b1pre29aa3tvWmt7b1pre29aa3tvWmt7b1prWmt7b3tvWmt7b1prWmtaa1prWmt7b1pre297b3tvWmtaa1pre29aa1prWmt7b1prWmtaa1prWmtaa1prWmtaa1prWmtaa1prWmtaa1prWmtaa1prWmtaa1prWmtaa1prWmtaa1prWmtaa1pre29aa3tvWmt7b1prWmtaa3tvWmt7b1pre29aa1prWmtaazlnWmtaa1prWmtaa1prWmtaa1prWmtaa1prWmtaa1prOWdaa1prWmtaa1prWmtaa1prWmtaa1prWmtaa1prWmtaa1prWmtaa1pre29aa3tvWmtaazlnWmtaa1prWmtaa1prWmtaa1prWmtaa1prWmtaa1prWmt7b1prWms5Z1prWmt7b1prWmtaa1prWmtaazlnWmtaa1prOWdaazlnWms5Z1prOWdaazlnWms5Z1prOWdaa1prWms5Z1prWmtaazlnWmtaa1prOWdaazlnWms5Z1prOWdaazlnWms5Z1prOWc5ZzlnAAB7b3tve297b5xze297b3tvnHN7b3tve297b3tve297b3tve297b3tvnHN7b3tve2+cc3tve297b3tve297b1pre297b3tve297b3tve297b3tve2+cc3tve29aa3tve297b3tve29aa3tve297b3tve297b3tve297b1pre29aa3tve297b1pre29aa1prWmt7b1pre297b3tvWmtaa1prWmt7b3tvWmtaa1pre285Z1prWmtaa1prWmtaa1prWmtaa1pre29aa3tvWmtaa1pre29aa1prWmt7b1prWmtaa1prWmtaa1pre29aa3tvWmt7b1pre29aa3tvWmt7b3tve297b3tvWmtaa1prWmtaa1prWmtaa1pre29aa3tvWmtaa1prWmtaa1prWmtaazlnWmtaa3tvWmt7b1prWmtaa1prWmtaa1pre29aa3tvWmtaa1pre29aa3tvWmtaa1prWmtaa1prWmt7b1prWmtaa1prWmtaa1pre29aa3tvWmtaa1pre29aa1prOWdaa1prWmtaa1prWmtaa1prWms5Z1prWmtaazlnWms5Z1prOWdaazlnWms5Z1prWmtaa1prWmtaa1prWmtaa1prWmtaa1prWmtaa1prWmtaa1prOWdaa1prWms5Z1prOWdaazlnWmsAAEYAAAAUAAAACAAAAEdESUMDAAAAIgAAAAwAAAD/////IgAAAAwAAAD/////JQAAAAwAAAANAACAKAAAAAwAAAAEAAAAIgAAAAwAAAD/////IgAAAAwAAAD+////JwAAABgAAAAEAAAAAAAAAP///wAAAAAAJQAAAAwAAAAEAAAATAAAAGQAAAAAAAAAfAAAAKgBAADMAAAAAAAAAHwAAACpAQAAUQAAACEA8AAAAAAAAAAAAAAAgD8AAAAAAAAAAAAAgD8AAAAAAAAAAAAAAAAAAAAAAAAAAAAAAAAAAAAAAAAAACUAAAAMAAAAAAAAgCgAAAAMAAAABAAAACcAAAAYAAAABAAAAAAAAAD///8AAAAAACUAAAAMAAAABAAAAEwAAABkAAAADgAAAHwAAAA/AQAAkgAAAA4AAAB8AAAAMgEAABcAAAAhAPAAAAAAAAAAAAAAAIA/AAAAAAAAAAAAAIA/AAAAAAAAAAAAAAAAAAAAAAAAAAAAAAAAAAAAAAAAAAAlAAAADAAAAAAAAIAoAAAADAAAAAQAAAAlAAAADAAAAAEAAAAYAAAADAAAAAAAAAASAAAADAAAAAEAAAAeAAAAGAAAAA4AAAB8AAAAQAEAAJMAAAAlAAAADAAAAAEAAABUAAAAqAAAAA8AAAB8AAAAnAAAAJIAAAABAAAAVVWPQSa0j0EPAAAAfAAAAA8AAABMAAAAAAAAAAAAAAAAAAAA//////////9sAAAASAB1AG0AYgBlAHIAdABvACAAQwBvAGwAbQBhAG4AAAAMAAAACgAAAA8AAAAKAAAACQAAAAYAAAAGAAAACgAAAAUAAAALAAAACgAAAAQAAAAPAAAACQAAAAoAAABLAAAAQAAAADAAAAAFAAAAIAAAAAEAAAABAAAAEAAAAAAAAAAAAAAAqQEAANEAAAAAAAAAAAAAAKkBAADRAAAAJQAAAAwAAAACAAAAJwAAABgAAAAEAAAAAAAAAP///wAAAAAAJQAAAAwAAAAEAAAATAAAAGQAAAAOAAAAmQAAAD8BAACvAAAADgAAAJkAAAAyAQAAFwAAACEA8AAAAAAAAAAAAAAAgD8AAAAAAAAAAAAAgD8AAAAAAAAAAAAAAAAAAAAAAAAAAAAAAAAAAAAAAAAAACUAAAAMAAAAAAAAgCgAAAAMAAAABAAAACUAAAAMAAAAAQAAABgAAAAMAAAAAAAAABIAAAAMAAAAAQAAAB4AAAAYAAAADgAAAJkAAABAAQAAsAAAACUAAAAMAAAAAQAAAFQAAACgAAAADwAAAJkAAAB+AAAArwAAAAEAAABVVY9BJrSPQQ8AAACZAAAADgAAAEwAAAAAAAAAAAAAAAAAAAD//////////2gAAABWAGkAYwBlAHAAcgBlAHMAaQBkAGUAbgB0AGUACwAAAAQAAAAIAAAACQAAAAoAAAAGAAAACQAAAAcAAAAEAAAACgAAAAkAAAAKAAAABgAAAAkAAABLAAAAQAAAADAAAAAFAAAAIAAAAAEAAAABAAAAEAAAAAAAAAAAAAAAqQEAANEAAAAAAAAAAAAAAKkBAADRAAAAJQAAAAwAAAACAAAAJwAAABgAAAAEAAAAAAAAAP///wAAAAAAJQAAAAwAAAAEAAAATAAAAGQAAAAOAAAAtgAAAJoBAADMAAAADgAAALYAAACNAQAAFwAAACEA8AAAAAAAAAAAAAAAgD8AAAAAAAAAAAAAgD8AAAAAAAAAAAAAAAAAAAAAAAAAAAAAAAAAAAAAAAAAACUAAAAMAAAAAAAAgCgAAAAMAAAABAAAACUAAAAMAAAAAQAAABgAAAAMAAAAAAAAABIAAAAMAAAAAQAAABYAAAAMAAAAAAAAAFQAAABQAQAADwAAALYAAACZAQAAzAAAAAEAAABVVY9BJrSPQQ8AAAC2AAAAKwAAAEwAAAAEAAAADgAAALYAAACbAQAAzQAAAKQAAABGAGkAcgBtAGEAZABvACAAcABvAHIAOgAgAEgAVQBNAEIARQBSAFQATwAgAEEAUgBJAEUATAAgAEMATwBMAE0AQQBOACAAQwBBAFMAVABJAEwATABPAAAACAAAAAQAAAAGAAAADwAAAAkAAAAKAAAACgAAAAUAAAAKAAAACgAAAAYAAAAEAAAABQAAAAwAAAAMAAAADwAAAAoAAAAJAAAACgAAAAkAAAANAAAABQAAAAsAAAAKAAAABQAAAAkAAAAIAAAABQAAAAsAAAANAAAACAAAAA8AAAALAAAADQAAAAUAAAALAAAACwAAAAkAAAAJAAAABQAAAAgAAAAIAAAADQAAABYAAAAMAAAAAAAAACUAAAAMAAAAAgAAAA4AAAAUAAAAAAAAABAAAAAUAAAA</Object>
  <Object Id="idInvalidSigLnImg">AQAAAGwAAAAAAAAAAAAAAKgBAADQAAAAAAAAAAAAAAC/HQAAqw4AACBFTUYAAAEArCEBANI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A4AAAAEAAAAJwAAAB0AAAAOAAAABAAAABoAAAAaAAAAIQDwAAAAAAAAAAAAAACAPwAAAAAAAAAAAACAPwAAAAAAAAAAAAAAAAAAAAAAAAAAAAAAAAAAAAAAAAAAJQAAAAwAAAAAAACAKAAAAAwAAAABAAAAFQAAAAwAAAADAAAAcgAAAKAJAAAPAAAABAAAACYAAAAbAAAADwAAAAQAAAAYAAAAGAAAAAAA/wEAAAAAAAAAAAAAgD8AAAAAAAAAAAAAgD8AAAAAAAAAAP///wAAAAAAbAAAADQAAACgAAAAAAkAABgAAAAYAAAAKAAAABgAAAAYAAAAAQAgAAMAAAAACQAAAAAAAAAAAAAAAAAAAAAAAAAA/wAA/wAA/wAAAAAAAAAAAAAAAAAAAAAAAAAAAAAAAAAAAAAAAAAAAAAAAAAAAAAAAAAAAAAAAAAAACkrprMeH3eAAAAAAAAAAAAAAAAAAAAAAAAAAAAAAAAAAAAAAAAAAAAeH3eAKSumswAAAAAAAAAAAAAAAAAAAAAAAAAAAAAAAAAAAAAYGRluAAAAAAAAAAAAAAAAAAAAAB4fd4A7Pe3/Hh93gAAAAAAAAAAAAAAAAAAAAAAAAAAAAAAAAB4fd4A7Pe3/Hh93gAAAAAAAAAAAAAAAAAAAAAAAAAAAAAAAAAAAAAA5OjrRODo63gsLCzEAAAAAAAAAAAAAAAAeH3eAOz3t/x4fd4AAAAAAAAAAAAAAAAAAAAAAHh93gDs97f8eH3eAAAAAAAAAAAAAAAAAAAAAAAAAAAAAAAAAAAAAAAAAAABERUXdQ0VF/jw+PvgVFhZgAAAAAAAAAAAAAAAAHh93gDs97f8eH3eAAAAAAAAAAAAeH3eAOz3t/x4fd4AAAAAAAAAAAAAAAAAAAAAAAAAAAAAAAAAAAAAAAAAAAAAAAABERUXdkZKS/5ucnP84Ojr/ISIilyEiIpc6OztvAAAAAB4fd4A7Pe3/Hh93gB4fd4A7Pe3/Hh93gAAAAAAAAAAAAAAAAAAAAAAAAAAAAAAAAAAAAAAAAAAAAAAAAAAAAABERUXdkZKS//r6+v/HyMj/S01N/EtNTfzAwcH4VFRUVgAAAAAeH3eAOz3t/zs97f8eH3eAAAAAAAAAAAAAAAAAAAAAAAAAAAAAAAAAAAAAAAAAAAAAAAAAAAAAAAAAAABERUXdkZKS//r6+v/6+vr/5eXl/+Xl5f/w8PD1VFRUVgAAAAAeH3eAOz3t/zs97f8eH3eAAAAAAAAAAAAAAAAAAAAAAAAAAAAAAAAAAAAAAAAAAAAAAAAAAAAAAAAAAABERUXdkZKS//r6+v/6+vr/+vr6//Dw8PVUVFRWAAAAAB4fd4A7Pe3/Hh93gB4fd4A7Pe3/Hh93gAAAAAAAAAAAAAAAAAAAAAAAAAAAAAAAAAAAAAAAAAAAAAAAAAAAAABERUXdkZKS//r6+v/6+vr/8PDw9VRUVFYAAAAAHh93gDs97f8eH3eAAAAAAAAAAAAeH3eAOz3t/x4fd4AAAAAAAAAAAAAAAAAAAAAAAAAAAAAAAAAAAAAAAAAAAAAAAABERUXdkZKS//r6+v/w8PD1VFRUVgAAAAAeH3eAOz3t/x4fd4AAAAAAAAAAAAAAAAAAAAAAHh93gDs97f8eH3eAAAAAAAAAAAAAAAAAAAAAAAAAAAAAAAAAAAAAAAAAAABERUXdkZKS//Dw8PVUVFRWAAAAAB4fd4A7Pe3/Hh93gAAAAAAGBgYcAAAAAAAAAAAAAAAAAAAAAB4fd4A7Pe3/Hh93gAAAAAAAAAAAAAAAAAAAAAAAAAAAAAAAAAAAAABERUXde319/4OEhOYAAAAAAAAAACkrprMeH3eAAAAAAExNTYJAQUHOAAAAAAAAAAAAAAAAAAAAAAAAAAAeH3eAKSumswAAAAAAAAAAAAAAAAAAAAAAAAAAAAAAAAAAAABERUXdODo6/2ZnZ/+np6fQAAAAAAAAAAAAAAAAT09PdkNFRf5ERUXdAAAAAAAAAAAAAAAAAAAAAAAAAAAAAAAAAAAAAAAAAAAAAAAAAAAAAAAAAAAAAAAAAAAAAAYGBhw8Pj74e319//r6+v/6+vr/wcHBxQAAAABUVFRW8PDw9Xt9ff88Pj74BgYGHAAAAAAAAAAAAAAAAAAAAAAAAAAAAAAAAAAAAAAAAAAAAAAAAAAAAAAAAAAAAAAAAB4fH4phYmL6+vr6//r6+v/6+vr/+vr6/8vLy8/w8PD1+vr6//r6+v9hYmL6Hh8figAAAAAAAAAAAAAAAAAAAAAAAAAAAAAAAAAAAAAAAAAAAAAAAAAAAAAAAAAAAAAAAD5AQO6mp6f/+vr6//r6+v/6+vr/+vr6//r6+v/6+vr/+vr6//r6+v+mp6f/PkBA7gAAAAAAAAAAAAAAAAAAAAAAAAAAAAAAAAAAAAAAAAAAAAAAAAAAAAAAAAAAAAAAADg6Ov+9vb3/+vr6//r6+v/6+vr/+vr6//r6+v/6+vr/+vr6//r6+v+9vb3/ODo6/wAAAAAAAAAAAAAAAAAAAAAAAAAAAAAAAAAAAAAAAAAAAAAAAAAAAAAAAAAAAAAAADg6Ov+9vb3/+vr6//r6+v/6+vr/+vr6//r6+v/6+vr/+vr6//r6+v+9vb3/ODo6/wAAAAAAAAAAAAAAAAAAAAAAAAAAAAAAAAAAAAAAAAAAAAAAAAAAAAAAAAAAAAAAADk6OtGHiIj/+vr6//r6+v/6+vr/+vr6//r6+v/6+vr/+vr6//r6+v+RkpL/OTo60QAAAAAAAAAAAAAAAAAAAAAAAAAAAAAAAAAAAAAAAAAAAAAAAAAAAAAAAAAAAAAAABgZGW5BQ0P81dXV//r6+v/6+vr/+vr6//r6+v/6+vr/+vr6/+Xl5f9BQ0P8GBkZbgAAAAAAAAAAAAAAAAAAAAAAAAAAAAAAAAAAAAAAAAAAAAAAAAAAAAAAAAAAAAAAAAAAAAAyMzPKVFZW+tXV1f/6+vr/+vr6//r6+v/6+vr/1dXV/1RWVvoyMzPKAAAAAAAAAAAAAAAAAAAAAAAAAAAAAAAAAAAAAAAAAAAAAAAAAAAAAAAAAAAAAAAAAAAAAAAAAAAGBgYcMTIyvjg6Ov94enr8kZKS/5GSkv94enr8ODo6/zEyMr4GBgYcAAAAAAAAAAAAAAAAAAAAAAAAAAAAAAAAAAAAAAAAAAAAAAAAAAAAAAAAAAAAAAAAAAAAAAAAAAAAAAAAAAAAABISElEkJiamREVF3URFRd0kJiamEhISUQAAAAAAAAAAAAAAAAAAAAAAAAAAAAAAAAAAAAAAAAAAAAAAAAAAAAAAAAAAAAAAAAAAAAAAAAAAAAAAAAAAAAAAAAAAAAAAAAAAAAAAAAAAAAAAAAAAAAAAAAAAAAAAAAAAAAAAAAAAAAAAAAAAAAAAAAAAAAAAAAAAAAAAAAAAAAAAACcAAAAYAAAAAQAAAAAAAAD///8AAAAAACUAAAAMAAAAAQAAAEwAAABkAAAANgAAAAUAAACrAAAAGwAAADYAAAAFAAAAdgAAABcAAAAhAPAAAAAAAAAAAAAAAIA/AAAAAAAAAAAAAIA/AAAAAAAAAAAAAAAAAAAAAAAAAAAAAAAAAAAAAAAAAAAlAAAADAAAAAAAAIAoAAAADAAAAAEAAABSAAAAcAEAAAEAAADv////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NgAAAAUAAACsAAAAHAAAACUAAAAMAAAAAQAAAFQAAACoAAAANwAAAAUAAACqAAAAGwAAAAEAAABVVY9BJrSPQTcAAAAFAAAADwAAAEwAAAAAAAAAAAAAAAAAAAD//////////2wAAABGAGkAcgBtAGEAIABuAG8AIAB2AOEAbABpAGQAYQAAAAgAAAAEAAAABgAAAA8AAAAJAAAABQAAAAoAAAAKAAAABQAAAAgAAAAJAAAABAAAAAQAAAAKAAAACQAAAEsAAABAAAAAMAAAAAUAAAAgAAAAAQAAAAEAAAAQAAAAAAAAAAAAAACpAQAA0QAAAAAAAAAAAAAAqQEAANE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kAAAAAAAAAFAAAAAhAPAAAAAAAAAAAAAAAIA/AAAAAAAAAAAAAIA/AAAAAAAAAAAAAAAAAAAAAAAAAAAAAAAAAAAAAAAAAAAlAAAADAAAAAAAAIAoAAAADAAAAAMAAAAnAAAAGAAAAAMAAAAAAAAAAAAAAAAAAAAlAAAADAAAAAMAAABMAAAAZAAAAAAAAAAAAAAA//////////8AAAAAJAAAAEABAAAAAAAAIQDwAAAAAAAAAAAAAACAPwAAAAAAAAAAAACAPwAAAAAAAAAAAAAAAAAAAAAAAAAAAAAAAAAAAAAAAAAAJQAAAAwAAAAAAACAKAAAAAwAAAADAAAAJwAAABgAAAADAAAAAAAAAAAAAAAAAAAAJQAAAAwAAAADAAAATAAAAGQAAAAAAAAAAAAAAP//////////QAEAACQAAAAAAAAAUAAAACEA8AAAAAAAAAAAAAAAgD8AAAAAAAAAAAAAgD8AAAAAAAAAAAAAAAAAAAAAAAAAAAAAAAAAAAAAAAAAACUAAAAMAAAAAAAAgCgAAAAMAAAAAwAAACcAAAAYAAAAAwAAAAAAAAAAAAAAAAAAACUAAAAMAAAAAwAAAEwAAABkAAAAAAAAAHQAAAA/AQAAdQAAAAAAAAB0AAAAQAEAAAIAAAAhAPAAAAAAAAAAAAAAAIA/AAAAAAAAAAAAAIA/AAAAAAAAAAAAAAAAAAAAAAAAAAAAAAAAAAAAAAAAAAAlAAAADAAAAAAAAIAoAAAADAAAAAMAAAAnAAAAGAAAAAMAAAAAAAAA////AAAAAAAlAAAADAAAAAMAAABMAAAAZAAAAAAAAAAkAAAAPwEAAHMAAAAAAAAAJAAAAEABAABQAAAAIQDwAAAAAAAAAAAAAACAPwAAAAAAAAAAAACAPwAAAAAAAAAAAAAAAAAAAAAAAAAAAAAAAAAAAAAAAAAAJQAAAAwAAAAAAACAKAAAAAwAAAADAAAAJwAAABgAAAADAAAAAAAAAP///wAAAAAAJQAAAAwAAAADAAAATAAAAGQAAAALAAAARQAAACcAAABzAAAACwAAAEUAAAAdAAAALwAAACEA8AAAAAAAAAAAAAAAgD8AAAAAAAAAAAAAgD8AAAAAAAAAAAAAAAAAAAAAAAAAAAAAAAAAAAAAAAAAACUAAAAMAAAAAAAAgCgAAAAMAAAAAwAAAFIAAABwAQAAAwAAANb///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RQAAACYAAABzAAAAAQAAAFVVj0EmtI9BDAAAAHQAAAABAAAATAAAAAQAAAALAAAARQAAACgAAAB0AAAAUAAAAFgAAAAbAAAAFgAAAAwAAAAAAAAAJQAAAAwAAAACAAAAJwAAABgAAAAEAAAAAAAAAP///wAAAAAAJQAAAAwAAAAEAAAATAAAAGQAAAA2AAAAKAAAADQBAABzAAAANgAAACgAAAD/AAAATAAAACEA8AAAAAAAAAAAAAAAgD8AAAAAAAAAAAAAgD8AAAAAAAAAAAAAAAAAAAAAAAAAAAAAAAAAAAAAAAAAACUAAAAMAAAAAAAAgCgAAAAMAAAABAAAACcAAAAYAAAABAAAAAAAAAD///8AAAAAACUAAAAMAAAABAAAAEwAAABkAAAANgAAACgAAAA0AQAAbwAAADYAAAAoAAAA/wAAAEg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IQAAAAgAAABiAAAADAAAAAEAAABLAAAAEAAAAAAAAAAFAAAAIQAAAAgAAAAeAAAAGAAAAAAAAAAAAAAAqQEAANE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IJ20/AAAAAAAAAAB+P2w/AABYQgAAIEIkAAAAJAAAAAgnbT8AAAAAAAAAAH4/bD8AAFhCAAAgQgQAAABzAAAADAAAAAAAAAANAAAAEAAAADYAAAAo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lQAAAE0AAAAAAAAAIQAAAAgAAABiAAAADAAAAAEAAAAVAAAADAAAAAQAAAAVAAAADAAAAAQAAABRAAAAePoAADYAAAAoAAAAvwAAAG4AAAAAAAAAAAAAAAAAAAAAAAAA+QAAAIAAAABQAAAAKAAAAHgAAAAA+gAAAAAAACAAzACVAAAATQAAACgAAAD5AAAAgAAAAAEAEAAAAAAAAAAAAAAAAAAAAAAAAAAAAAAAAAA5Z1prWmt7b1prWmtaa3tvWmtaa1pre29aa3tvWmt7b3tve29aa3tvWmtaa1prWmtaa3tvWmt7b1prWmtaa1prWmtaa1pre29aa3tvWmt7b1prWmtaa1prOWdaa1prWmtaa1prWmtaa1pre29aa3tvWmtaa1prWmtaa1prWmtaa1prWms5Z1prOWdaa1prWms5Z1prWmt7b1prWmtaa1prWmt7b1prWms5Z1prOWdaa1prWmtaa1prWmtaa1prWms5Z1prOWdaazlnWmtaa1prWmtaa1pre29aa1prWmtaazlnWmtaa1prWmtaa1prWms5Z1prWmtaazlnWms5Z1prWmtaazlnWms5Z1prOWdaazlnWms5Z1prOWdaazlnWms5Z1prWmtaa1prWms5Z1prOWc5ZzlnWms5Z1prOWdaa1prWmtaa1prWmtaa1prWms5Z1prOWdaazlnWms5Z1prOWdaazlnWms5Z1prOWdaazlnWms5Z1prOWdaa1prWms5Z1prWmtaazlnWms5Z1prWmtaazlnWms5ZzlnOWdaazlnOWc5ZzlnOWc5ZzlnWmtaazlnOWd7b3tve285Z1prOWc5ZzlnOWc5ZzlnOWc5ZzlnWmtaa1prOWc5Zzlne285Z1prOWc5ZzlnOWc5Z1prGGMAAHtvWmt7b3tve29aa3tve297b1pre297b3tvWmt7b1pre297b3tvWmtaa1pre29aa3tvWmt7b1pre29aa3tvWmtaa1pre29aa3tvWmt7b1pre29aa1prWmtaa1prWmtaa3tvWmt7b1pre29aa3tve297b1pre29aa1prWmt7b1prWmtaa1prWmtaa1prWmtaa1prWmt7b1pre29aa3tvWmt7b3tve29aa1prOWdaa1prWmtaa3tvWmt7b1pre29aa1prOWdaa1prWmtaa1prWmtaa1pre29aa3tvWmt7b1prWmtaa3tvWmt7b1pre29aa1prWmt7b1prWmtaa1prWmtaa1prWmtaa1prWmtaa1prWms5Z1prWmtaa1prWmtaa1prWmtaa1prWmtaa1prWmtaazlnWms5Z1prWmtaazlnWmtaa1prWmtaa1prWmtaa1prWmtaa1prWmtaa1prWmtaa1prWmtaa1prWmtaa1prWmtaa1prWmtaa1prWmtaa1prWmtaa1prWms5Z1prWmtaazlnWmtaa1prOWdaa1prWms5Z1prOWc5ZzlnWmtaa1prOWdaa3tve29aa1prOWdaazlnOWc5ZzlnOWdaazlnWmtaa3tvWmtaazlnWmtaa1prOWdaazlnWms5Z1prOWdaawAAWmt7b3tve29aa3tvWmt7b1pre29aa3tvWmt7b1prWmtaa3tvWmtaa1prWmtaa1prWmt7b1prWmtaa1prWmtaa1prWmtaa1prWmtaa1prWmtaa1prWmtaa1prWmtaa1prWmt7b1prWmtaa3tvWmt7b1pre29aa1prWmtaa1prWmtaa1prWmtaa1prWmtaa1prWmt7b1prWmtaa1prWmtaa1pre29aa1prOWdaazlnWms5Z1prWmtaa1prWms5Z1prWmtaazlnWmtaa1prWmtaa1prWmtaa1prWmtaa1prWmtaa1prWmtaa1pre29aa3tvWmtaa1prWmtaa1prOWdaa1prWmtaa1prWmtaa1prWms5Z1prWmtaa1prWmtaa1prWmtaazlnWms5Z1prOWdaazlnWms5Z1prOWdaazlnWmtaa1prOWdaa1prWms5Z1prOWdaazlnWms5Z1prOWdaazlnWms5Z1prOWdaazlnWmtaa1prWmtaazlnWms5Z1prOWdaazlnWms5Z1prOWdaa1prWms5Z1prOWc5ZzlnWms5Z1prOWc5ZzlnWms5Z1prOWdaa1pre29aa1prOWdaazlnOWc5ZzlnOWc5ZzlnOWc5Z1prOWdaazlnOWc5Z1prOWdaazlnOWc5ZzlnOWc5ZzlnAAB7b1pre297b3tvWmt7b1pre29aa3tvWmt7b1pre29aa1prWmtaa1pre29aa3tvWmt7b1pre29aa3tvWmt7b1prWmtaa1prWmtaa1prWmtaa3tvWmtaa1prWmtaa1prWmt7b1prWmtaa3tve297b1pre29aa3tvWmt7b1pre29aa3tvWmt7b1pre29aa3tvWmt7b1prWmtaa1prWmtaa1pre29aa3tvWmtaa1prWmtaa1prWmtaa1pre29aa1prOWd7b1prWmtaa3tvWmt7b1prWmtaa1prWmtaa1prWmtaa3tvWmt7b1pre29aa3tvWmtaa1pre29aa1prWmtaa1pre29aa1prWmtaa1prWmtaa1prWmtaa1pre29aa1prWmtaa1prWms5Z1prOWdaa1prWmtaa1prOWdaa1prWms5Z1prWmtaa1prWmtaa1prWmtaa1prWmtaa1prWmtaa1prWmtaa1prWmtaa1prWmtaa1prWmtaa1prWmtaa1prOWdaazlnWms5Z1prWmtaa1prWmtaa1prWmtaazlnWms5Z1prWmtaazlnWmtaa1prWms5ZzlnWmtaa1prOWdaazlnWms5ZzlnOWdaazlnWms5Z1prWmtaazlnWms5Z1prWmtaazlnWms5Z1prOWdaazlnWmsAAFpre297b3tvWmtaa1pre29aa1prWmt7b1pre29aa3tvOWdaa1prWmtaa1prWmt7b1prWmtaa1prWmtaa1pre29aa1prWmtaazlnWmtaa1prWmtaa1prWms5Z1prWmtaa1prWmtaa3tvWmt7b1pre29aa1prWmtaa1prWmtaa3tvWmtaa1prWmtaa1prWmt7b1prWmtaa1prOWdaazlnWmtaa1prWmt7b1prWmtaa1prWmtaa1prWmtaa1prOWdaa1prWmtaa1prWmtaa1prWms5Z1prOWdaa1prWmtaa1prWmtaa1prWmtaa1prWmtaazlnWmtaa1prOWdaazlnWms5Z1prOWdaazlnWmtaa1prOWdaazlnWms5Z1prOWdaazlnWms5ZzlnOWdaa1prWmtaa1prOWdaazlnWms5Z1prOWdaa1prWms5Z1prWmtaazlnWms5Z1prOWdaazlnWms5Z1prOWdaazlnWms5Z1prOWdaazlnWms5Z1prWmtaazlnWms5Z1prOWdaa1prWms5Z1prWmtaazlnOWc5Z1prOWdaazlnWms5Z1prOWdaaxhjWmtaa1prOWc5ZzlnWms5ZzlnOWc5ZzlnOWc5Z1prOWdaazlnWms5ZzlnOWdaazlnWms5ZzlnOWc5ZzlnWms5ZwAAe297b5xze297b1pre297b3tvWmt7b3tve29aa3tvWmtaa1pre29aa3tvWmt7b1pre29aa3tvWmt7b1pre29aa1prWmt7b1prWmtaa1prWmtaa1prWmtaa1prWmt7b1pre29aa3tvWmt7b3tve29aa3tvWmt7b1pre29aa3tve297b1pre29aa3tvWmt7b1prWmtaa1prWmtaa1prWmtaa1prWmt7b1prWmtaa1prWmt7b1pre29aa1prWmtaa1pre29aa3tvWmtaa1prWmtaa1prOWdaa1prWmtaa1prWmtaa1prWmtaa1prWmtaa1prWmtaa1prWmtaazlnWmtaa1prOWdaazlnWms5Z1prWmtaa1prWmtaa1prOWdaazlnWmtaa1prWmtaa1pre29aa1prWmtaa1prWmtaa1prOWdaa1prWmtaa1prWmtaa1prWmtaa1prWmtaa1prWmtaa1prWmtaa1prWmtaa1prWmtaazlnWms5Z1prWmtaa1prWms5Z1prWmtaa1prWmtaa1prWmt7b1prWms5Z1prOWdaa1prWmtaa1prOWdaazlnOWdaa1prOWc5ZzlnWms5Z1prOWdaazlnOWc5Z1prOWdaazlnWms5ZzlnOWc5ZzlnWms5Z1prOWdaazlnWms5Z1prAAB7b3tve297b3tve29aa3tvWmt7b1pre29aa3tvWmtaa1prWmtaa3tvWmt7b1prWmtaa1prWmtaa1pre29aa3tvWmtaa1prWmtaa1prWmtaa1prWms5Z1prWmtaa1prWmtaa1prWmt7b3tve29aa1prWmt7b1prWmtaa3tvWmt7b1prWmtaa1prWmtaa1prWmtaa1prWmtaa1prWmtaa1prWmtaa1pre29aa1prOWdaa3tve29aa1prWmtaa1prWmtaa1prWmtaa1prWms5Z1prOWdaazlnWmtaa1prWmtaa1prWmtaa1prWmtaa1prWms5Z1prWmtaa1prWms5Z1prOWdaazlnWms5Z1prWmtaa1prWmtaa1prWmtaazlnWms5Z1prOWdaa1prWmtaa1prWmtaazlnWmtaa1prOWdaazlnWms5Z1prOWdaazlnWms5Z1prOWdaazlnWms5Z1prOWdaazlnWms5Z1prOWdaazlnWms5Z1prOWdaazlnWms5Z1prOWdaazlnWms5Z1prOWd7b1prWms5Z1prOWc5ZzlnWms5Z1prOWdaazlnOWc5Z1prOWc5ZzlnWms5ZzlnOWdaazlnOWc5ZzlnOWdaazlnWms5ZzlnOWc5ZxhjOWc5Z1prOWc5ZzlnOWc5ZzlnOWcAAHtve297b3tve29aa3tvWmt7b1pre29aa3tvWmt7b1pre29aa3tve297b3tve29aa3tvWmt7b1pre29aa3tvWmt7b1pre29aa3tvWmtaa1prWmtaa1prWmtaa1pre29aa3tvWmt7b1pre297b3tvWmt7b1pre29aa3tvWmt7b3tve29aa1prWmtaa1prWmtaa1prWmt7b3tve297b3tvWmtaa1pre29aa3tvWmtaa1prnHN7b3tvWmtaa1pre29aa3tvWmtaa1prWmtaa1prWmtaa1prWmtaa3tvWmt7b1pre29aa3tvWmt7b1prWmtaa1prWmtaa1prWmtaa1prWmtaa1prWmtaa1prWmt7b1pre29aa1prWmt7b1prWms5Z1prWmtaa1pre29aa3tvWmt7b1prWmtaa1prWmtaazlnWmtaa1prWmtaa1prWmtaa1prWmtaa1prWmtaa1prWmtaa1prWmtaa1prWmtaa1prWmtaa1prOWdaazlnWms5Z1prWmtaa1prWms5Z1prOWdaa1pre285Z1prOWdaazlnWms5Z1prOWdaazlnOWc5Z1prWmtaazlnWmtaa1prOWdaazlnWms5Z1prOWdaazlnWms5ZzlnOWc5ZzlnOWc5Z1prOWdaazlnWms5Z1prOWc5ZwAAWmtaa1pre29aa3tvWmt7b1pre29aa3tvWmtaa1prWmtaa1prWmt7b1prWmtaa1prWmtaa1prWmtaa1prWmt7b1prWmtaa1prWmtaa1prWmtaa1prWmtaa1prWmtaa1prWmtaa1pre29aa1prWmtaa1prWmtaa1prWmtaa1prWmtaa1prWmt7b1prWmtaa3tvWmtaa1prWmtaa1prWmt7b1prWmtaa1prWmtaa1prWmtaa1prWmtaa1prWmtaa1prWmtaa1prWms5Z1prOWdaa3tve29aa1prOWdaa1prWms5Z1prWmtaa1prWmtaa1prWmtaa1prWmtaa1prWmtaazlnWmtaa1prWmtaazlnWms5Z1prOWdaazlnWmtaa1prOWdaa1prWmtaa1prWmtaazlnWms5Z1prOWdaa1prWms5Z1prOWdaazlnWmtaa1prOWdaazlnWmtaa1prWmtaazlnWms5Z1prOWdaazlnWmtaa1prWmtaazlnOWc5ZzlnOWc5ZzlnWms5Z1prOWdaa1prWms5Z1prOWdaazlnWmtaa1prOWc5ZzlnWms5Z1prOWc5ZzlnOWc5ZzlnOWc5ZzlnOWc5ZzlnOWdaazlnWms5ZzlnOWc5ZzlnOWc5ZzlnOWc5ZzlnOWc5ZzlnOWc5ZxhjAAB7b1pre297b3tvWmt7b1pre29aa3tve297b1pre29aa3tvWmt7b1pre29aa3tvWmtaa1pre29aa3tvWmt7b1prWmtaa3tvWmtaa1pre29aa1prWmt7b1prWmtaa3tvWmtaa1pre29aa1prWmtaa1prWmtaa1prWmtaa1pre29aa3tvWmt7b1pre29aa3tvWmt7b1pre29aa3tvWmt7b1pre29aa3tvWmt7b1pre29aa1prWmt7b1prWmtaa3tvWmtaa1prWmtaa1prWmtaa1pre29aa1prWmtaa1pre29aa1prWmtaa1prWmtaa3tvWmtaa1pre29aa1prWmt7b1prWmtaa1prWmtaa1prWmtaa1prOWdaazlnWmtaa1prWmtaazlnWmtaa3tvWmt7b1prWmtaa1prWmtaa1prWmtaa1prOWdaa1prWmtaa1prWmtaazlnWmtaa1prWmtaa1prWms5Z1prWmtaa1prWmtaa1prWmtaa1prWms5Z1prOWc5ZzlnWms5Z1prWmtaa1pre29aa1prOWdaazlnWmtaa1prOWdaazlnWmtaa1prOWdaazlnWms5Z1prOWdaazlnWms5Z1prOWdaa1prWms5Z1prOWdaazlnWms5Z1prOWdaazlnWms5Z1prOWdaazlnOWcAAFpre29aa3tvWmt7b1prWmtaa3tvWmt7b1pre29aa3tvWmt7b1pre29aa1prWmtaa1prWmtaa1prWmt7b1prWmtaa1prWmtaa1prWmtaa1prWmtaa1prWmtaa1prWmtaa1prWmtaa1prWmtaazlnWmtaa1prWmtaa1prWmtaa1prWmt7b1prWmtaa3tvWmtaa1pre29aa3tvWmt7b1pre29aa3tvWmt7b1pre29aa1prWmtaa1prWmtaa1prWmtaazlnWms5Z1prOWdaazlnWms5Z1prWmtaa1prWmtaa1prWmtaazlnWmtaa1prWmtaa1prWmtaa1prWmtaa1prWms5Z1prWmtaa1prWms5Z1prOWdaazlnWms5Z1prOWdaazlnWms5Z1prWmtaa1prWmtaa1prWmtaa1prWms5Z1prOWdaazlnWms5Z1prOWdaazlnWms5Z1prWmtaa1prWms5Z1prOWdaa1prWms5Z1prOWdaazlnWms5Z1prOWc5ZzlnOWc5Z1prOWdaa1prWmtaa3tvWmtaazlnWms5Z1prOWdaazlnWmtaa1prOWdaazlnWms5ZzlnOWdaazlnOWc5Z1prOWc5ZzlnWms5Z1prWmtaazlnOWc5Z1prOWc5ZzlnOWc5ZzlnOWc5ZzlnOWc5ZwAAe29aa3tvWmt7b1pre29aa3tvWmt7b1pre297b3tvWmt7b1pre29aa3tvWmtaa1pre29aa3tvWmt7b1pre29aa3tvWmtaa1pre29aa1prWmtaa1prWmtaa3tvWmt7b1prWmtaa1prWmtaa1prWms5Z1prWmtaa1prWmtaa1prWmt7b1pre29aa3tvWmt7b1pre297b3tve297b1pre29aa3tvWmt7b1pre29aa3tvWmt7b1prWmtaa3tvWmtaa1prWms5Z1prOWdaa1prWmtaa1prWmt7b1pre29aa1prWmtaa1prWmtaa1prWmtaa1prWmtaa1prWmtaa1prWmtaa1prWmtaa1pre29aa1prWmtaa1prWms5Z1prWmtaa1prWmtaa1prWmt7b1prWmtaa3tvWmtaa1prWmtaa1prWmtaa1prWmtaa1prOWdaazlnWmtaa1prWmt7b1prWms5Z1prOWdaa1prWmtaa1prWmtaa1prWmtaa1prWmtaazlnWms5Z1prOWdaa1prWmtaa3tvWmtaazlnWms5Z1prOWdaazlnWmtaa3tvWmtaa1prWms5ZzlnOWdaazlnWms5Z1prOWdaazlnWmtaa1prOWd7b1prWms5Z1prOWdaazlnWms5Z1prOWdaazlnWms5Z1prAABaa1prWmt7b1pre29aa3tvWmtaa1pre29aa3tvWmt7b1pre29aa1prWmtaa1prWmtaa1prWmt7b1prWmtaa1prWmtaa1prWmtaa1prWmtaa1prWmtaa1prWmtaa1prWmtaa1prWmtaa1prWmtaa1prOWdaa1prWmtaa1prWmtaa1prWmtaa3tvWmtaa1pre29aa3tvWmt7b1pre29aa3tvWmtaa1pre29aa1prWmtaa1prWmtaa1prWmtaa1prWms5Z1prOWdaazlnWmtaa1prWmt7b3tve29aa1prWmtaa1prWmtaa1prWmtaa1prWmtaa1prWmtaa1prWmtaa1prOWdaa1prWmtaa1prWmtaa1prWmtaa1prOWdaa1prWms5Z1prWmtaa1prWmtaa1prOWdaa1prWmtaa1prWmtaa1prWmtaa1prOWdaazlnOWc5Z1prOWdaa1prWms5Z1prOWdaazlnWms5Z1prOWdaazlnWms5Z1prOWdaazlnWms5ZzlnOWdaazlnWmtaa1prWmtaa1prWms5Z1prOWdaazlnWmtaa1prWmtaa1prWms5ZzlnOWc5ZzlnWms5Z1prOWdaazlnWms5ZzlnOWdaa1prWms5Z1prOWc5ZzlnOWc5ZzlnOWc5ZzlnOWc5ZzlnOWcAAHtvWmt7b3tve29aa3tvWmt7b1pre297b3tvWmt7b1pre29aa3tvWmtaa1pre29aa3tvWmt7b1pre29aa3tvWmtaa1pre29aa1prWmt7b1prWmtaa3tvWmtaa1pre29aa3tvWmt7b1pre29aa1prWmtaa1prWmtaa1prWmtaa1pre29aa3tvWmt7b1pre29aa3tvWmt7b1pre29aa3tvWmtaa1pre29aa3tvWmt7b1prWmtaa3tvWmtaa1pre29aa1prWmtaa1prWmtaa1prWmtaa3tvnHN7b3tvWmtaa1prWmtaa3tvWmtaa1prWmtaa1prWmtaa1prWmtaa1prWmtaa1pre29aa3tvWmtaa1prWmtaa1prWmtaa1prWmtaa1prWmtaa1prWmtaa1prWmtaazlnWmtaa1prWmt7b1prWmtaa1prWmtaazlnWms5Z1prWmtaa1pre29aa1prOWdaazlnWmtaa1prWmtaa1prWms5Z1prWmtaa1prWmtaa1prOWdaa1prWmtaa1prWmt7b1prWmtaa1prOWdaa1prWmtaa1prWmtaazlnWmtaa1prOWdaazlnWmtaa1prOWdaazlnWmtaa1prOWdaa1prWmtaa1prOWdaazlnWms5Z1prOWdaazlnWms5Z1prOWdaawAAWmt7b1pre29aa3tvWmtaa1pre29aa3tvWmt7b1prWmtaa3tvWmtaa1prWmtaa1prWmt7b1prWmtaa1prWmtaa1prWmtaa1prWmtaa1prWmtaa1prWmtaa1prWmtaa1prWmtaa1prWmtaa1prOWdaazlnWms5Z1prWmtaa1prWmtaa3tvWmtaa1pre29aa1prWmt7b1prWmtaa3tvWmt7b1prWmtaa1prWmt7b1prWmtaa1prWmtaa1prWmtaa1prWmtaa1prWmtaa1prWmtaazlnWmtaa3tvWmtaazlnWmtaa1prWmtaa1prWms5Z1prWmtaazlnWmtaa1prOWdaa1prWmtaa1prWmtaa1prWmtaa1prWmtaa1prWms5Z1prWmtaa1prWmtaa1prOWdaazlnWms5Z1prOWdaazlnWmtaa1prOWdaazlnWms5Z1prOWdaazlnWmtaa1prOWc5ZzlnWms5Z1prWmtaazlnWms5Z1prOWdaazlnWms5Z1prOWdaazlnWmtaa1prOWdaa1prWms5Z1prOWdaazlnWms5Z1prWmtaazlnOWc5Z1prOWdaazlnOWc5Z1prOWdaazlnWms5Z1prOWc5ZzlnWmtaa1prOWc5ZzlnWms5ZzlnOWc5ZzlnOWc5ZzlnOWc5ZzlnAAB7b1pre29aa3tvWmt7b1pre297b3tvWmt7b1pre29aa3tvW2t7b1prW2taa3tvWmt7b1pre29aa3tvWmtaa1pre29aa1prWmt7b1prWmtaa1prWmtaa1pre29aa3tvWmtaa1prWmtaa1trWmtaazlnWmtaa1prWmtba1prW2tba3xvW2t7b1pre29aa3pvWmtaa1prW2taa3tvW2t7b1pre29aa3tvWmt7b1pre29aa3tvWmtaa1pre29aa1prWmt7b1pre29aa3tvWmtaa1prWWtZa3pvWmtaazlnWmtaa3tvWmtaa1prWmtaa1prWmtaa1prWmtaa1prWmtaa1prWmtaa3tvWmt7b1prWmtaa3tvWmtaa1prWmtaa1prWmtaa1prWmtaa3tvWmtaa1prWmtaa1prOWdaazlnWms5Z1prWmtaa1prWmtaa1prOWdaa1prWmtaa3tvWmtaazlnWms5Z1prWmtaa1prWmtaa1prWmtaa1prWmtaa1prOWdaa1prWmtaa1prWmtaa1prWmtaa1prWmtaa1prWmtaa1prWmtaazlnOWc5ZzlnOWdaazlnOWc5Z1prWmtaazlnWmtaa1prWmtaazlnWms5Z1prOWc5ZzlnWms5Z1prOWdaazlnWms5Z1prOWdaazlnWmsAAFlrWmtaa3pvWmt6b1pre29aa3tvWmt6b1prWmtaa1prW2tbb1tre29aa1trWmtba1pre29aa1prem97bzlnWms5Z1prWmtaa1pre29aazlnWWtaa1prWmtZa1prWWtaa1prWmtaa1trOmdaazlnWms5Z3pve29aaztrO2ddb9leNErZXp1zW2taa1lnem96b1pre29ba3tvW2tbb1pre29aa3tvWmtaa1prWmtaa3tvWmtaa1prWmtaa1prWmtaa1lrWms5Z1prOWdaa1lrem9ZZ1lrWWtaa1lrWmtaa1prWmtaa1prWmtaa1prWmtaazlnWmtaa1prOWdaa1prWmtaa1prWmtaa1prWmtaa1prWmtaa1prWmtaa1prWmtaa1prWmtaa1prWmtaa1prWmtaa1prWmtaa1prWmtaa1prOWdaazlnWms5Z1prOWdaazlnWms5Z1prWmtaa1prWms5Z1prWmtaa1prWmtaa1prOWdaazlnWms5Z1prOWdaazlnOWc5Z1prOWdaazlnWms5Z1prWmtaa1prWms5Z1prOWdaazlnWms5Z1prOWdaazlnWms5Z1prOWdaazlnOWc5ZzlnOWdaazlnWms5Z1prOWc5ZzlnOWc5ZzlnOWdaazlnOWc5Z1prOWc5ZzlnWms5ZwAAWmtaa3pvWmt7b1pre297b3tvem97b1prem9aa3pvWmt7b1tre29ba1tvW2t7b1prOWdaa3tvWmt7b1prWmt6b3tvWmt7b1prWmtaa3tvWmt6b1prem9aa1prWWtaa1lremtaa1trWmtbazpnW2s5Z1prOWdaazlnfG8bZ9pebzEtJbE1XGt8b5xzem96b1lre29ba3xvW2t7b1tre29aa3tvWmt7b1pre29aa3tvWmtaa1pre29aa3tvWmt7b1prWmtZa1prWWtaa1lrem9aa1prWWtaa1lrWmtaa3pvWmtaa1pre29aa3tvWmtaa1prWmtaa1prWmtaa1prWmtaa1prWmt7b1prWmtaa3tvWmtaa1pre29aa1prWmtaa1prWmtaa1prWmtaa1prWmtaa1prWmtaa1prWmtaa1prWmtaazlnWms5Z1prOWdaa1prWmtaa1prWmtaa1prWms5Z1prWmtaa1prWmtaa3tvWmtaazlnWmtaa1prWmtaa1prWms5Z1prWmtaa1prWms5Z1prOWdaa1prWmtaa1prOWdaazlnWms5Z1prOWdaa1prWms5Z1prWmtaazlnWms5ZzlnOWdaa1prWmtaa1prWms5ZzlnWms5ZzlnOWdaa1prWms5Z1prOWdaazlnWms5Z1prAABaa1prWmt6b1pre29aa3tvWmt7b1prem9aa3pvWmtaa1prW29aa1trWmtba1prW2s6Z3tvW2tba1trW2s5Z3tvWmtaa1pre29aa1prWmt7b1prem9aa1prWWtaazlnWWtZa1prWmtaazpnW2s6Z1prWWtZazlnOWdcbztrdlKpFOsgLSkaY1xrWmt7b1lrem9aa3tvW2tba1trW29aa1prWmt7b1pre29aa3tvWmtaa1prWmtaa1prWmtaa1prWmtZa1prOWdaa1lrWmtZa1prWWtaa1lnWmtZa1prWWtaa1prWmtaa1prWmtaazlnWmtaa1prOWdaa1prWms5Z1prWmtaa1prWmtaa1prWmtaa1prWmtaa1prWmtaazlnWmtaa1prWmtaa1prWmtaa1prWmtaazlnWms5Z1prOWdaazlnWms5Z1prOWdaazlnWmtaa1prOWdaa1prWms5Z1prOWdaazlnWmtaa1prWmtaazlnWms5Z1prOWdaazlnWmtaa1prOWdaa1prWms5Z1prOWdaazlnWmtaa1prOWdaazlnWms5Z1prWmtaazlnWms5Z1prOWdaazlnWms5ZzlnOWdaazlnWms5Z1prOWdaazlnWms5ZzlnOWc5ZzlnWms5Z1prOWc5ZzlnWms5ZzlnOWcAAHtvWmt7b1pre296b3tvem97b3pve29aa3tvWmt6b1pre29ba3tvW2t7b1trW29ba5xzW2sZY/heW2tbb1trWmtbazpnW2t7b5xzWmt7b3tve29aa3pvWmtaa1lrWmtZa3prWWtaa1prW2taa1prOWdaa1lre285Z1trO2e4WsoYbzEtKVxrW2s5Z3pvem+bc3tvW2t7b1tre29ba3tvWmt7b1pre29aa3tvWmtaa1prWmtaa3tvWmt7b1prWmtaa1prWWtaa1lrWmtZa1prWWtaa1lrWmtZa1prWmtaa1pre29aa3tvWmt7b1prWms5Z1prWmtaa1prWmtaa1prWmtaa1prWmtaa1prWmtaa1prWmtaa1prWmtaa1prWmtaa1prWmtaa1prWmtaa1prWmtaa1prWms5Z1prWmtaazlnWmtaa1prOWdaa1prWmtaa1prWmtaa1pre29aa1prOWdaa1prWmtaa1prWmtaa1prWmtaa1prWmtaa1prWms5Z3tvWmtaa1pre29aa1prOWdaa1prWmtaa1prWmtaazlnWms5Z1prWmt7b1prWms5Z1prOWdaazlnWms5Z1prOWdaazlnWms5Z1prOWdaazlnWms5Z1prOWdaazlnWms5Z1prOWdaazlnWms5Z1prOWdaawAAWmt6b1pre29aa3tvWmt7b1prem9aa3pvWmtaa1prem9aa1trWmtba1prW2tba1tvfG/4XhFCEUa3WltrXGtcb1trW2s6a3tvW297b1prWmtaa3tvWmtaa1lrWmtZa1lrWWtZa1lrWms6Z1prOmdaazhnOGdaazlnGWM7Z9ha6hwtJQwlPGudc1pre29ZZ3pvWmtba1trW2taa1trWmtaa1prWmtaa3tvWmtaa1prWmtaa1prWmtaa1prWmtaa1prOWdZazlnWms5Z1prWWtaazlnWmtZa1prWWtaa1lrWmtaa1prWmt7b1prWms5Z1prOWdaa1prWms5Z1prWmtaa1prWmtaa1prWmtaa1prWmtaa1prWmtaa1prWmtaa1prWmtaa1prWmtaa1prWmtaazlnWms5Z1prOWdaazlnWms5Z1prOWdaazlnWmtaa1prOWdaazlnWmtaa1prWmtaazlnWmtaa1prOWdaazlnWms5Z1prOWdaazlnWms5Z1prOWdaazlnWmtaa1prOWdaazlnWms5Z1prOWdaazlnWms5ZzlnOWdaa1prWms5Z1prOWc5ZzlnWms5ZzlnOWc5ZzlnWms5Z1prOWdaazlnWms5Z1prOWdaazlnOWc5Z1prOWc5ZzlnWms5ZzlnOWdaazlnAAB7b1pre296b3tvem97b3pve29aa3tvWmt7b1pre29aa3tvWmt7b1pre29ba3tvW2tba5VSrzmOMXROGmNcb3xvfW98b3xvWmtba1trfG9aa3tvWmt7b1prem9Za3pvWWtZa1lrWmtaa1trWmtba1prem84Z1prOWdba1tr2F6HFAwlTSlca31ze296b1prWmt6b1pre29ba1tvW2t7b1pre29aa3tvWmt7b1prWmtaa1prWmt7b1pre29aa3tvWmtaa1lnWmtaa1prWWtaa1lrWmtZa1prWmtaa1prem9aa3tvWmt7b1pre29aa1prWmtaa1prWmtaa1prWmtaa1prWmtaa1prWmtaa1prWmtaa1prWmtaa1prWmtaa3tvWmtaa1prWmtaa1prWmtaa1prWms5Z1prWmtaa1prWmtaa1prWmtaa1prWmtaa1prWmtaa1prWmtaa1prWmtaazlnWmtaa1prWmtaa1prWms5Z1prOWdaa1prWmtaa1prWmtaazlnWmtaa1prWmtaa1prWms5Z1prWmtaazlnWmtaa1prOWdaa1prWmtaa1prWmtaazlnWms5Z1prOWdaazlnWms5Z1prWmtaazlnWms5Z1prWmtaazlnOWc5Z1prOWdaazlnWms5Z1prOWdaazlnWmsAAFpre29aa3tvWmt7b1pre29aa3pvWmt6b1prem9aa3pvWmtaa1prWmtaa1tvW2tbbzpn+F4zShJCVEqWUpZSuFr4XltrfG9bazpnW29bb1trWmtaa1prWmtZa3pvWWt6a1hrWWtZZ1prOmtbazpnWmt7bzhnWWt6b1prW2u3WocULCXSOTtnXGtaa1lrWWt6b1prW2taa1trWmtba1prWmtaa3tvWmtaa1prWmtaa1prWmtaa1prWmtaa1prWmtaazlnWWs5Z1prWmtaazlnWmtaa1prOWdaa1lrWmtZa1prWmtaa1prWmtaa1prWmtaa1prWms5Z1prWmtaazlnWmtaa1prOWdaa1prWms5Z1prWmtaazlnWmtaa1prWmtaa1prWmtaa1prWmtaa1prWms5Z1prOWdaa1prWmtaa1prOWdaazlnWms5Z1prWmtaa1prWms5Z1prWmtaazlnWms5Z1prOWdaazlnWms5ZzlnOWdaazlnWms5Z1prOWdaazlnWms5Z1prWmt7b1prWms5Z1prOWdaazlnWms5Z1prOWdaazlnWmtaa1prWmtaazlnWms5ZzlnOWc5ZzlnOWc5ZzlnOWdaazlnWms5Z1prOWdaazlnWms5ZzlnOWdaazlnWms5ZzlnOWdaazlnOWc5ZwAAe297b3tvem97b3pve296b3tvWmt6b1pre29aa3tvWmt6b1pre29aa3tvW2t7b1trW2tbaztnt1p1UvJBsDmwOVRK+WKdc1xvW2t8b3xvOmtba1prW2taa3tvWmt7b3prWWtZa1prWmtba1prW2taa3pvF2N6b3pvWmsZY9heyBjrIPI9PGtca5xzWWt6b1lnem9aa1trW2tbb1trW2taa3tvWmtaa1prWmtaa1prWmtaa1pre29aa3tvWmtaa1prWWtZZ1prWWtaa1prWms6Z1trWmtaa1prWmtaa3prWWtaa1prWmtaa3tvWmtaa1prWmtaa1prWmtaa1prWmtaa1prWmtaa1prWmtaa1prWmtaa1prWmtaa1prWmtaa1prWmtaa1prWmtaa1prWmtaa1prWmtaa1pre29aa3tvWmtaa1prWms5Z1prWmtaa1prWmtaa1prWmt7b1prWms5Z1prWmtaa1prWmtaa1prOWdaa1prWmtaa1prWmtaazlnWmtaa1prWmt7b3tve29aa1prWmtaazlnWms5Z1prOWdaa1prWms5Z1prWmtaa1prWms5Z1prOWdaazlnOWc5ZzlnOWdaazlnWmtaa1prWmtaa1prWms5Z1prOWdaazlnWms5Z1prOWdaazlnWms5ZzlnAABaa3pvWmt7b1prem9aa3tvWmt6b1pre29aa1prWmtaa1lnWmtaa3pvWmtba1trfG86a1trO2c7Z9haVE6PNSslbS3QOVROGWM7a1trOmtbazprW2tbb3tvWmtaa1prWmtZa3lrWWtaa1prW2s6ZzprOWdaazhnem8YYzln11rJHAwlsTlca3xvWmt6b3premtaa3tvW2tbb1tre29ba1prWmtaa1pre29aa1prWmtaa1prWmtaa1prOWdaa1prem85Z1lnOWdaazpnW2taa1trOWdbazpnWmtaa1prWWebc1lrWmtaa1prWmtaa1prWms5Z1prWmtaazlnWmtaa1prOWdaa1prWmtaa1prOWdaazlnWmtaa1prWmtaa1prWms5Z1prOWdaazlnWms5Z1prOWc5ZzlnWmtaa1prOWdaazlnWms5Z1prWmtaa1prWmtaa1prWmtaazlnWmtaa1prOWc5ZzlnWms5Z1prOWdaazlnWmtaa3tvWmtaazlnOWc5Z1prWmtaa1prWmtaa1prOWdaazlnWms5Z1prOWdaazlnWms5Z1prOWdaazlnWmsYYzlnOWc5ZzlnOWc5Z1prOWc5ZzlnWms5Z1prOWdaazlnWms5Z1prOWc5ZzlnOWc5Z1prOWc5ZzlnOWc5Z1prGGMAAHtvWmt7b3pve29aa3tvem97b1pre296b3tvWmt6b1prWmtaa3tvWmt7b1pre29bb3xvXGt8b1xrO2vYXnVSEkIrJUwtrjXPOXROGWN8bzpnOmd7b3xvOmdba513nXM5Z3pvemtaa1prfG87ZzpnfG9aa1prWWt6bzlnOmf4XukcLCWQNX1vfG97b1prem9aa3tvWmt7b1tre29bb3tvWmtaa1pre29aa3tvWmt7b1pre29aa3tvWmtaa1pre29aa1prWWtaa1prWmtaa1trW2tba1trW2taa3tvWmtaa1lrWmtaa1prWmtaa1pre29aa1prWmtaa1prWmtaa1prWmtaa1prWmtaa1prWmtaa1prWmtaa1prWmt7b1prWmtaa1prWmtaa1prWms5Z1prWmtaazlnWmtaa1prWmtaa1prWmtaa1prWmtaa1prWmtaa1prWmtaa1prWmtaa3tvWmtaa1prWmtaa1prWmtaa1prWms5Z1prWmt7b1prWms5Z1prWmtaa1prWmtaa1prWmtaa1prWmtaa1prWmtaa1prWmtaa1prWmtaa1prWmtaa1prOWdaa1prWms5Z1prOWdaazlnWmtaa1prOWdaazlnWms5Z1prOWdaazlnWms5Z1prOWdaazlnWms5Z1prOWc5ZwAAWmt6b1prem9aa3pvWmt6b1prem9aa3pvWmt6b1prWmtZa3prWmt6a1prWmtaa3tvW2tbazprW2tba1tr+WL4XlNKrjUqJUwtjTHQPVROGmN9bzpnGWN8b3xvOmc6Z3xvOGd6bzlnW2t8b/lelVIaYzprfG85Z3tvOWdaa/heCiHrIJA1XGt8b1prem9Za3prWmtbazprW2tba1tvWmtaa1prWmtaa1prWmt7b1prWmtaa3tvWmtaa1prWmtaa1prWWtaa1lrWms6Z1prOmdba1trW2s6ZzprWmt6b1lrWWs5Z1prOWdaa1prWmtaa1prOWdaa1prWmtaa1prOWdaazlnWmtaa1prWmtaazlnWms5Z1prOWdaa1prWmtaa1prWmtaazlnWms5Z1prOWdaazlnWms5Z1prOWdaazlnWmtaa1prWmtaa1prWms5Z1prOWdaazlnWmtaa1prWmtaa1prWmtaa1prWmtaa1prWms5Z1prOWdaa1prWms5Z1prWmtaa1prWmtaa1prWmtaa1prWms5Z1prWmtaazlnWms5Z1prOWdaazlnWms5Z1prWmtaa1prWms5ZzlnOWc5ZzlnWms5Z1prOWdaazlnOWc5Z1prOWc5ZzlnOWc5ZzlnOWdaazlnOWc5Z1prOWdaazlnAAB7b1pre29aa3tvWmt7b1pre29aa3tvWmt7b1prem9aa3pvWmt6b1prem9aa3tvW2t7b1prOms6Z1trWmtaazpnGWMZY7ZWjTUrKW0x0DmvNXROGmN9bzpnO2d9b51zOmd7b5xze29baztrEkJMKdA5W2t8b3tve29ba1pr+F4rJesgbzFca3xve29Za3prWmt7b1prW2tba3tvW2t7b1prWmtaa1prWmt7b3tve29aa3tvWmt7b1prWmtaa1prWWtaa1lremtaa1trOmdca1trfG9ba1trWmtaa1pre29Za1prWmtaa1prWmtaa1prWmtaa1prWmtaa3tvWmtaazlnWmtaa1prWmtaa1prWmtaa1prWmtaa1prWmtaa1prWmtaa1prWmtaa1prWmtaazlnWmtaa1prWmtaa1prWms5Z1prWmtaa1prWmtaa1prOWdaa1prWmtaa3tvWmtaa1pre29aa3tvWmt7b1prWmtaa1prWmtaa1prWmtaa1prWmtaa1prWmtaa3tvWmtaa1pre29aa1prWmtaa1prWmtaa1prWmtaa1prWmtaa1prWmtaa1prWmtaa1prOWdaazlne29aa1prWmtaazlnWms5Z1prOWdaazlnWms5Z1prOWdaazlnWms5Z1prOWdaazlnWmsAAFprem9aa3pvWmt6b1prem9aa1prWmt7b1prem9aa3pvWWt6a1prem9Za1prWmt7b1prWms5Z1prWmtaa1prWms6Zxhj+GI5Z5VSrjUrKY0xbS2ONTNGO2d9bztnO2e+dzlne286Zztn+V6wNckYbS35XpxzWmt7b1prWmv4Xm0xyhxOLRpjfG9aa1prWWt6b1prWms6Z1tvW2tba1pre285Z1prWmt7b1pre29aa3tvWmt7b1prWmtaa1prWmtaazhnWWtZa1prOmdbaztrXGv4XvliW2ucc1prWWtaa1lrWmtaa1prWms5Z1prOWdaazlnWmtaa1prWmtaazlnWmtaa1prWmtaa1prWmtaa1prOWdaazlnWms5Z1prWmtaa1prWmtaa1prOWdaazlnWmtaa1prOWdaazlnWms5Z1prWmtaa1prWms5Z1prOWdaazlnWmtaa1prWmtaa1prWmtaa1prWmtaa1prWms5Z1prOWdaazlnWms5Z1prWmtaazlnWmtaa1prWmtaa1prWmtaa1prWmtaa1prWmtaa1prOWdaazlnWms5Z1prOWdaazlnWms5Z1prOWc5ZzlnWmtaa3tvWmtaa1prWms5Z1prOWdaazlnWms5ZzlnOWc5ZzlnOWc5ZzlnOWc5ZzlnWms5ZwAAem9aa3tvWmt6b1pre29aa3pvWmt7b3pve29aa3tvWmt6b1pre296a1prWmt6b1pre29aa3pvWmt6b1prem9aaxhjWmt8bxlnGWP4XpVS0DlLKW0tjjWPNTNG2Vo8Z/leWmtba1trO2v6YtE5LCVuMddafG98b1tvW2s6ZxpjsDnrHC0pGmNba3tvWmt6b1pre29aa1trfG98c1trW2t7b1prWmt7b1pre29aa3tvWmt7b1pre29aa3tvWmtaa1lrWWs5Z1prWmtbb1trW2s7Z9A50D3XWnxze29Za3pvWWt6b1pre29aa1prWmtaa1prWmtaa1prWmtaa1prWmtaa3tvWmtaa1prWmtaa3tvWmtaa1prWmtaa1prOWdaa1prWmtaa1prWmtaa1prWmtaa1prWmtaa1prWms5Z1prWmtaa1prWmtaa1prWmtaa1prWmtaa1prWmtaa1prWmtaa1prWmtaa1prWms5Z1prOWdaazlnWmtaa1prWmt7b1prWmtaa1prWmtaa1prWmtaa3tvWmt7b1prWmtaa1prWmtaa1prWmtaa1prWmtaa1prOWc5Z1prOWdaazlnWmtaa3tvWmt7b1prWmtaa1prOWdaazlnWms5Z1prOWdaazlnWms5Z1prOWdaazlnWmtaa1prAABaa3pvWmtaa1prem9aa1prWmtaa1prem9aa3tvWmt6b1prem9aa3pvWWtaa1lremtZa1prWWtaa1lrem9Za1lre286ZxhjW2tbazpn+F4ZY3VS8T1tLW4xbjGPMdE9dU4ZYzpnO2dca9le0j0LIQslVU5ca1tre29ba1trOmcTRsocLSXYWjpnWmt6b1lrWmt6b1prWmt8c3xve29aa3tvWmtaa1prWmtaa3tvWmtaa1prWmtaa1prWmtaa1prWmtZa1lrOGdaa1trXGsaY/li6iAKIRJGW2t7b1lrWmtaa1lrWmtaa1prWmtaa1prWmtaa1prOWdaazlnWmtaa1prWmtaa1prWmtaa1prWmtaa1prWms5Z1prOWdaazlnWmtaa1prWmtaa1prWms5Z1prOWdaazlnWms5Z1prOWdaazlnWms5Z1prWmtaazlnWmtaa1prWmtaa1prWms5Z1prWmtaa1prWms5Z1prOWc5ZzlnWms5Z1prWmtaa1prWmtaa1prWmtaa1prWmtaa1prWmtaa1prWms5Z1prOWdaazlnWms5Z1prOWdaazlnWms5Z1prOWdaazlnWms5Z1prWmtaa1prWmtaa1prOWc5ZzlnWms5ZzlnOWc5ZzlnOWc5ZzlnOWc5ZzlnWms5Z1prOWcAAHtvWmt6b1pre29aa3pvWmt6b1prem9aa3tvem97b1pre29aa3tvWmt6b1lremtZa3tvem96b1prem9aa3pvWWtZa1pre29aazprOmc6ZxljGWP4XrdWEkKOMSslbS2ONa418D2WUvpi+l4URpAxTS1USjtrXG9ba3xvW2tbb1RO6yAMJdhaGmN7b3pvem9Za3tvWmt7b5xznXd7b1trW2t7b1pre29aa3tvWmt7b1prWmtaa3tvWmt7b1prW2taa3pvWWtZa1prfG9baxpn2FpNLQohEkZba3xvOWd6a1lrWmtaa1prWmt7b1pre29aa3tvWmtaazlnWmtaa1trWmt7b1prWmtaa1prWmt7b1pre29aa1prOWdaazlnWms5Z3tvWmtaa1prWmtaa1prWmtaa1prWms5Z1prWmtaa1prWmtaa1prWmtaa1prWmtaa3tvWmtaa1prWmtaa1prWmt7b1prWmtaa1prWmtaazlnWms5Z1prWmtaa1prWmtaa1prWmtaa1pre29aa1prWmtaa1prWmtaa1prOWdaazlnWmtaa1prWmtaa1prWmtaa3tvWmt7b1prWms5Z1prOWdaa1prWms5Z1prOWdaazlnWms5Z1prOWdaazlnWms5Z1prOWc5ZzlnWms5Z1prWmtaawAAWmt6b1prem9aa3pvWmt6b1lrWmtaa1prWmtaa1prem9aa3pvWmtaa1prWmtaa3pvWmt6b1premtZa1prWWt6a1pre29aa1prWmtaa1prWms5ZzpnGGP4XpRSEUKMMSslCyVNKU4pkDXTPdI9Ti0tJbA1O2caY3xvfG9Za3prlFLqIC0pE0J9c1tre29Za5tvWWt6a1prem9aa3trW2t7b1prWmtaa1prWmtaa1prWmtaa1prW2t7b1prW2s6a1prWWtZazlnWms6a1trGmf6Xm8x6yBuLV1vOmtZa3lrWWs5Z1prWmt7b1tre297b3tvWmtba1prW2s6Z1prOmdaa1prWmtaa1prWmtaa1prWms5Z1prWmtaazlnWmtaa1prOWdaa1prWms5Z1prWmtaazlnWmtaa1prWmtaazlnWmtaa1prOWdaazlnWmtaa1prWmtaa1prWms5Z1prOWdaazlnWms5Z1prOWdaazlnWms5Z1prWmtaazlnWmtaa1prWmtaa1prWms5Z1prOWdaa1prWmtaa1prOWdaazlnWms5Z1prOWdaazlnOWc5Z1prOWdaazlnWms5Z1prOWdaazlnWms5Z1prOWdaazlnWms5Z1prOWdaazlnWms5Z1prGGM5ZzlnOWcYYzlnOWdaa1prAAB7b1pre29aa3tvWmt7b1prWmtaa3pvWmt6b1pre29aa3tvWmt7b1prem9aa3tvem97b1pre29aa1prWmt6b1pre29aa3tvWmtaa1prWmtaa1prWmt7b1prWmv3XtZalVIzRhNCsTktKQwhyhzrHOwgTil2TthaXGudczhjWmu2VskcLSkzRlxrOmd7b1prOGd6b1lrem9aa3tvWmt7b1trW2taa3tvWmt7b1pre29aa1trW2t7b1tre29aa1trWmtaa1lrWms5Z1trW2s7Z/lekDHKHE4tPGdcazlneWtYa1prWmt7b1tre29ba3tvWmt7b1prW29ba1trWmtbazprW2taa1prWmtaa1prWmtaa1prWmtaa1prWmtaa1prWmtaa1prWmtaa1prWmtaa1prWmtaa1prWmtaa1prWmtaa1prWmtaa1prWmtaa1prWmtaa1prWmtaa1prWmtaa1prWmtaa1prWmtaa1prWmtaa1prWmtaa1prWmtaa1prWmtaa1prWmtaa1prWmtaa1pre29aa1prWmtaazlnWmtaa1prWmtaazlnWms5Z1prOWdaa1prWmtaa1prOWdaazlnWmtaa1prWmtaa1prWmtaa1prOWdaazlnWms5Z1prOWc5ZzlnWms5ZzlnOWdaa1prWmsAAFprem9aa3pvWmt6b1prem9aa1prWmtaa1prem9aa3pvWmt6b1prWmtaa3pvWmt6b1prem9aa1prWmtaa1prWmtaa1prWmtaa1prWmtaa1prOWc5ZzlnOWc5ZzlnGGMYY/he+V6WUvI9bi0MJcoYyRjrHNE5NEYbZ11rGmM6Zxlj6yBOKdE5XWsZY51zOmdaa1lremtZa3prWmt7a1trW2taa3tvWmt7b1pre29aa1prWmtba1prW2taa1trWmtaa1prWms5Z1prWmtbaxpn+l6QNesgDCX6XltrOWc4Z1lrWWtba1prWmtaa1prWmtaa1prWmtaa1prWmtbazpnWmtaa1prWmtaa1prWmtaa1prWmtaazlnWmtaa1prOWdaazlnWms5Z1prOWdaazlnWms5Z1prOWdaa1prWms5Z1prOWdaa1prWmtaa1prWmtaa1prWms5Z1prWmtaazlnWms5Z1prOWdaazlnWms5Z1prWmtaazlnWmtaa1prOWdaa1prWms5Z1prWmtaazlnWmtaa1prOWdaazlnWms5Z1prOWdaazlnWms5Z1prOWdaazlnWms5Z1prOWdaazlnWms5Z1prOWdaazlnWms5Z1prOWdaazlnOWc5ZzlnOWc5ZzlnOWc5ZzlnOWc5ZzlnWms5ZwAAe296b3tvWmt7b3pve29aa3tvWmt6b1pre29aa3tvWmt7b1pre29aa3tvWmt7b1pre29aa3pvWmt6b1prem9aa3tvWmtaa1pre29aa3tvWmt7b1prWms5Z1prOWc5ZxhjWms5Zzpn+F7YWlVKkDWpFFZKsTUtKZE1mFIbYzxnuFaQNS0pkDVdb1xrfG86Z3tvem9aa3prWmt7b1pre2tba3tvWmt7b1pre29aa3tvWmt7b1pre29aa3tvWmtba1prWmtaa1prOWdba1trO2f6YvI9DCUMJZdWfW86Z1lrWWt6b1prWmtaa3tvWmtaa1pre29aa1prWmtba1prWmtaa1prWmtaa1prWmtaa1prWmtaa1prWmtaa1prWmtaa1prWmtaa1prOWdaa1prWms5Z1prWmtaa1prWmtaa1prWmtaa1pre29aa3tvWmtaa1prWmtaa1prWmtaa1prWmtaa1prWmtaa1prWmtaa1prWmtaa1prWmtaa1prWmtaa1prWmtaa1prWmtaa1prWmtaa1prWmtaazlnWms5Z1prOWdaa1prWms5Z1prOWdaazlnWmtaa1prOWdaazlnWms5Z1prWmtaa1prWmtaa1prWmtaazlnOWc5ZzlnOWc5ZzlnWms5Z1prOWdaazlnWms5Z1prAABaa3pvWmt7b1prem9aa3tvWmt6b1prem9aa3pvWmt6b1prem9aa3pvWmt6b1prem9aa3pvWmtaa1lrWmtaa1prWmtaa1prWmtaa1prWmtaa1prWmtaa1prWmtaa1prWmtYZzdnOGM5Zxlj+V4TQusgby3TPVdK1D0NJXAt0z02SpExDSFOKTxnPGd9bxljW2taa1prWmtaa1prWmtaa1trWmt7b1pre29aa3tvWmt7b1prWmtaa1prWmtaa1prWms5Z1prWWtaazpnW2s6ZxtjE0JOKeocNEZca1prWWd6b1lrWmtaa1prWmtaazlnWmtaa1prWmtaa1prWmtaa1prWmtaa1prWmtaa1prWmtaazlnWmtaa1prOWdaa1prWms5Z1prOWdaazlnWms5Z1prOWdaa1prWmtaa1prOWdaazlnWmtaa3tvWmt7b1prWmtaa1prWmtaazlnWms5Z1prOWdaazlnWms5Z1prOWdaazlnWmtaa1prOWdaa1prWms5Z1prWmtaazlnWmtaa1prOWdaazlnWms5Z1prOWdaazlnWms5Z1prOWc5ZzlnWms5Z1prOWdaazlnOWc5Z1prOWdaazlnWms5Z1prOWdaazlnOWc5ZzlnOWc5ZzlnOWc5ZzlnOWc5ZzlnOWc5ZzlnOWcAAHtvem97b3pve296b3tvem97b1pre296b3tvWmt7b1prem9aa3tvem97b1pre29aa3tvWmt7b1prWmtaa3pvWmt7b1pre29aa1prWmt7b1prOWc5Z1prWmtaazlnWmtZZ1hrN2d5b1lrGWP4XlVKDCENJZI1ulb1QQ8lUC1QLQ4lDiXLHE8td1L6Yn1vnXNba1trWmtba1prW2taa1trWmt7b1pre29aa3tvWmt7b1pre29aa3pvWmtaa1prem9aa1prWmtaa1lrWmtaa1trGmNVTo8x6hyPNTtrOmtaa1lremtaa3pvWmtaa1prWmtaa1prWmtaa1prWmtZa3prWmtaa1prWmtaa1prWmtaa1prWmtaa1prWmtaa1prWmtaa1prWmtaa1prWmtaa1prWmtaa1prWmtaa1prWmtaa1prWmtaa1prWmt7b1pre29aa1prWmtaa1prWmtaa1prWmtaa1prWmtaa1prWmtaa1prWmtaa1prWmtaa1prWmtaa1prWmtaa1prWmtaa1prWmtaazlnWms5Z1prOWdaa1prWmtaa1prOWdaazlnWms5Z1prOWdaazlnWms5Z1prOWdaa1prWmtaa1prWmtaa1prWms5Z1prOWc5ZzlnOWc5Z1prOWc5ZzlnWms5Z1prOWdaawAAWmt7b1pre29aa3tvWmt7b1pre29aa3pvWmt6b1prWmtaa3pvWmt6b1prem9aa1prWmt6b1prWmtaa1prWmtaa1pre29aa1prWmtaa1prWmtaa3tvWmt7b1prWms5Z1prWGdYa5pvm28ZYxpjVUoMIQ0lszncXvVBihQOJS8pszkvKcwcDSWxNTVG2Fpca1trOmdbazpnWmtaZ1trOmdaa1prW2taa1trWmtaa1prWmtaa3pvWWtaa1lrWmtZa1prOWdaa1lrWWs5Z1trOmcbZ5dS0j3JGCwpGWNba1prWWtZa1prWmtaa1prWmtaa1prWmtaa1lrWmtZa1prWWtaa1lrWmtaa1prWmtaa1prWmtaa1prOWdaa1prWms5Z1prWmtaa1prWmtaa1prWmtaazlnWms5Z1prWmtaazlnWms5Z1prOWdaa1prWmtaa1prWmtaazlnWmtaa1prOWdaazlnWms5Z1prOWdaazlnWmtaa1prOWdaa1prWms5Z1prOWdaazlnWmtaa1prWmtaazlnWms5ZzlnOWdaazlnWms5Z1prOWdaazlnWms5Z1prOWdaazlnOWc5Z1prOWc5ZzlnWms5Z1prOWdaazlnWms5ZzlnOWc5ZzlnOWc5ZzlnOWdaazlnOWc5Z1prOWc5ZzlnAAB7b3pve296b3tvem97b3pve296b3tvWmt7b1pre29aa3pvWmt7b3pve296b3pvWmt7b1prem9aa3pvWmt6b1pre29aa3tvWmt7b1prWmtaa1prWmtaa1prWmtaa3tvem+abzhneWtZazpnO2eXUgshDSWRMR5nV04uJS8pDiUuKRZGDiUNJQwlkDGPMZdS+V5ca1trW2taa1trWmtba1prW2tba1trWmt7b1prW2taa3tvWmtaa1lrWmtZa3prWmtaa1prWmtZZ1prWmtbaxpn2VoTQuogCiEaY1tve29Za3prWmt6b1pre29aa1trWmtba1prWmtZa3prWWtZa1lrWmtaa1prWmtaa1prWmtaa1prWmtaa1prWmtaa1prWmt7b1prWmtaa3tvWmtaa1prWmtaa1prWmtaa1prWmtaa1prWmtaazlnWmtaa1prWmtaa1prWmtaa1prWmtaa1prWmtaa1prWmtaa1prWmtaa1prWmtaa1prWmtaa1prWmtaa1prWmtaa1prWmtaa1prWms5Z1prOWdaazlnWmtaa1prWmtaazlnWms5Z1prOWdaazlnWms5Z1prOWdaazlnWmtaa1prWmtaa1prWmtaa1prOWdaazlnWms5ZzlnOWdaazlnOWc5Z1prOWc5ZzlnWmsAAFprem9aa3pvWmt6b1pre296b3tvem97b1pre29aa3tvem96b1pre297b3tvWmtaa1lrWmtaa1prWWtaa1prWmt7b3tvWmtaa1prWmtaa1prWmtaa1prWmtaa1prWmtaazlnems5Z1pnGmM7Z7hWTSkMIU4pulr7XvM9sTmQMW8tyxzLHOwgsTUUQk0pjjFMLdA5llIZYzpnGWNba3trfG8ZY1pre298b1trWmtaa3tvWmtaa1prWms5Z1lrWWtaazlnWmtZa1prOWdaazpnO2sbZ/JByhwLJXVOW2s5Z3tvGGOccxhje29baxhjfG86azprOWdaa3pvOGdZa1lremtZa1prWmtaa1prWmtaa1prWmtaazlnWms5Z1prWmtaa1prWmtaa1prOWdaa1prWms5Z1prWmtaa1prWms5ZzlnOWdaazlnWms5Z1prWmtaa1prWmtaa1prOWdaazlnWms5Z1prOWdaazlnWms5Z1prWmtaazlnWms5Z1prWmtaazlnWmtaa1prOWdaa1pre285Z1prOWdaazlnWms5Z1prOWdaazlnWms5Z1prOWdaazlnWms5Z1prOWc5ZzlnOWc5ZzlnOWdaazlnOWc5Z1prOWdaazlnWms5ZzlnOWc5ZzlnOWc5Z1prOWc5ZzlnOWc5ZwAAe29aa3tvWmt7b1pre297b3tve297b3tve296b3tvem97b3pve296b5tze297b1prWmtaa3pvWmtaa1prem9aa3tve297b1prWmtaa1prWmtaa1pre29aa3tvWmtaa1prWmtba1trO2c7Zztn2VpOLQwlTSnaXjxrt1aWUpZSVErrHA0l6xzrHLhW+l5VSvE9jjFtLa41Mkb4XjlnOmcZY55zW2s6ZxljW2tba3xvW2tba1pre29aa1prOWc5ZzhnWmtZa1prWWtaazlnW2s7ZztnNEYLIeocM0Zba1tvWmt7b3tvGGNaa1prOmtba3xve29aa5xzem9Za1lreW9Za1prWmtaa1prWmtaa1prWmtaa1prWmtaa1prWmtaa1pre29aa1prWmtaa1prWmtaa1prOWdaazlnOWc5Z3tve29aazlnWmtaa1prWmtaa1prWmtaa1prWmtaa1prWmtaa1prWmtaa1prWmtaa1prWmtaa1prWmtaa1prWmtaa1prWmtaa1prWmtaa1pre29aa1prWmtaa1prWmtaa1prWmtaazlnWms5Z1prOWdaa1prWms5Z1prOWdaazlnWms5Z1prOWdaazlnWms5Z1prOWdaa1prWmtaa1prOWdaazlnWms5Z1prWmtaazlnWms5Z1prAABaa3pvWmt6b1pre29aa3tvem97b3pve296b3tvWmt7b3tve29aa3pve297b1prWmtaa1prWmtaa1prWmtaa1prWmt7b1prWmtaa1prWmtaa1prWmtaa1prWmtaa1prWms6Z1trOmc7axtjPGfZWo8x6yBNLbdWfW8ZYxlj+F7XWm4t6xzKGAwhuFZ+b9laGmOWUvE9TClsLY0xrjURQrZW2F4aYztnXG9ba1trOmc6Z3tve286ZzlnGWM5Z1prnHM5Z1prWWdZa1lrWms6ZztrGmOXUuocyRiPNVxrW2s6Z3tvW2s5Z1tvOmf4XvFBdE46Z3tvW2taa1lreWtZa1lrWWtaa1prWmtaa1prWmtaa1prWms5Z1prOWdaazlnWmtaa1prOWdaazlnWmtaa1prWmtaa1prWms5ZzlnOWd7bzlnWms5Z1prOWdaazlnWmtaa1prOWdaa1prWms5Z1prOWdaazlnWms5Z1prOWdaa1prWms5Z1prOWdaazlnWmtaa1prOWdaazlnWms5Z1prOWdaazlnWms5Z1prOWdaazlnWms5ZzlnOWdaazlnWms5Z1prOWdaazlnWms5ZzlnOWdaazlnWms5Z1prOWdaa1prWms5Z1prOWdaazlnWms5Z1prOWdaazlnWms5ZzlnOWcAAHtvWmt7b1pre296b3tvem97b3tve296b3tvem97b1pre296b3tvWmt7b3tve29aa3pvWmt6b1prem9aa3pvWmt7b1pre29aa3tvWmt7b1pre29aa3tvWmt7b1prWmtaa1trW2s7ZztnO2c7Z/pe0TnqIEwpdU58b1trWms5Z/dedlLqHOocbi0TQtlafW9+b1xr+V63VnVO8T1MKWwtrjWvNRJCt1YaYztrO2tcb3xvOmc6a3tve298b1prWms5Z1prWWtaa1lrWmtZa1prO2c7Z5dW6yDJHE0tGmN8bzpnW29aa3tvfG9ba/A9CSEKIfliW2tbazlnemtZa3pvWWt6a1prWmtaa1prWmtaa1prWmtaa1prWmtaa1prWmtaa1prWmtaazlnWmtaa1prWmtaa1prWms5Z1prWmtaa1prWmtaa1prWmtaa1prWmtaa1prWmtaa1prWmtaa1prWmtaa1prWmtaa1prWmtaa1prWmtaa1prWmtaa1prWmtaa3tvWmtaa1prWmtaa1prWmtaa1prWmtaa1prWmtaa1prWmtaa1prOWdaazlnWms5Z1prWmtaazlnWms5Z1prOWdaazlnWms5Z1prOWdaazlnWmtaa1prOWdaazlnWms5Z1prOWdaazlnWms5Z1prOWdaawAAWmt6b1prem9aa3pvWmt7b1pre296b3tvWmt6b1pre29aa3tvWmt6b1prem9aa3pvWmtaa1prem9aa1prWmt6b1prWmtaa1prWmtaa1pre29aa1prWmtaa1prWmtaa1prOmdaazpnW2saYztn+mITRqgUKyXxPXxve2ucc1prWmv5XtE9yRwLJU0pdU5+b1xrGmM6ZztnW2sZY7ZWEkLPOW0tbi1uLdA5NErYWhpnXG9ba1xvW2tbbzpnOmc5Z1prOWdaa1lrWmtZa1prWmtbaxpnl1bqHAshCyW3VltrW2taa3tvO2s7Z9he6RzqIAohllJcazpnWmtaa1lrem9Za1lrWmtaa1prWmtaa1prWms5Z1prWmtaazlnWmtaa1prOWdaazlnWms5Z1prOWdaazlnOWcYYzlnOWdaa1prWms5Z1prOWdaazlnWms5Z1prOWdaa1prWms5Z1prWmtaazlnWms5Z1prOWdaazlnWmtaa1prOWdaazlnWmtaa1prWmtaa1prWms5Z1prOWdaazlnWmtaa1prOWdaa1prWms5Z1prOWdaazlnOWc5Z1prOWdaazlnWms5Z1prOWdaazlnOWc5Z1prOWdaazlnWms5Z1prOWdaazlnOWc5Z1prOWc5ZzlnOWc5ZzlnOWdaazlnAAB7b1pre29aa3tvWmt7b3tve296b3tvem97b1pre29aa3tvem97b1prem9aa3tvWmt6b1pre29aa3pvWmt7b1pre29aa3tvWmt7b1pre29aa1prWmt7b1pre29aa1prWmt6a1lnWmtbazpnGmM7Z1RKyBgrJc85W2t8b5xve29bazpn11orJekgbS2vNbdWfW99b1xvXGsaYztnW2s7Z7dadlI0RtE9bjFuMa81EkIzSvle+V46ZzpnW2tba3xvfG9aa1lrWmtZa3prWWtaa1trPGuXViwlDCUrJTRKXGtbb1trW2tcazpndU5mDCwpTCl1Tn1vXG9ba3tvOWeab1lrWmtaa1prWmtaa1prWmtaa1prWmtaa1prWmtaa1prWmtaazlnWmtaa1prOWdaazlnnHN7b1prOWdaa1prWmtaa1prWmtaa1prWms5Z1prOWdaa1prWmtaa1prWmtaa1prWmtaa1prWmtaa1prWmtaa1prWmtaa1prWmtaa1prWmtaa1prWmtaa1prOWdaa1prWmtaa1prWmtaa1prWmtaa1prWmtaazlnWms5Z1prOWdaa1prWmtaa1prOWdaazlnWms5Z1prWmtaa1prWmtaa1prOWdaazlnWms5Z1prOWdaazlnWms5ZzlnOWdaazlnWmsAAFprem9aa3pvWmt7b1pre29aa3tvWmt6b1pre29aa3pvWmt7b1prWmtaa1prWmt6b1prem9aa3pvWmt6b1prem9aa3tvWmtaa1prWmtaa1prWmtaa1prWmtaa1prWmtZa1lrWWs4Z3prGWMZYxpjlVLIGEwpjTFba1trfG85Z1trOmcZY40xKyVLKW0trzUZYztnfW+dc3xvO2dbazpnGmMbZzxn+l53UtE9jjFNLW4xbTHxPXRO+WI6Z1trOmc5ZzpnWmtZZ1lrWWtaa1prW2s8a9haTSkLIeoc8T1ba1xvO2tba1trXGuwNYcQ6hxNLfJBfW9ba1tre285Z1lrWWtZa1prWmtaa1prWmtaa1prOWdaazlnWmtaa1prOWdaazlnWms5Z1prOWc5ZzlnOWf3XjlnOWdaazlnOWc5Z1prOWdaazlnWms5Z1prOWc5ZzlnWms5Z1prWmtaa1prWms5Z1prOWdaazlnWms5Z1prWmtaazlnWms5Z1prOWdaazlnWms5Z1prOWdaazlnWmtaa1prWmtaa1prWmtaa1prWmtaazlnWms5ZzlnOWc5ZzlnWms5Z1prOWdaazlnWms5Z1prOWdaazlnWmtaa1prOWdaazlnWms5Z1prOWdaazlnWms5ZzlnOWc5ZzlnWms5ZwAAe29aa3tvWmt7b3pve296b3tvem97b1pre29aa3tvWmt7b3pve29aa3pvWmt6b3pve29aa3tvWmt7b1pre29aa3tvWmt7b1pre29aa3tvWmt7b1pre29aa3tvWmtaa1lrem9Ya1lrems5ZxljOmeWUsgYTCmOMTtnfG98b3trnHN8b/da8T3pHOkcEkKwNW4tGmM7Z31vXGt9b1xvfW9ca11rPGtdazxnG2OXVjNG0DlNLUwtbTGONRJCdVIaY1xrW2taa1prWmt6b1prW2tba31v+V6PNeoc6RyvNX1vW2udczpnXGtcayslyRjqILA10Dlca1trOmt7bzhne29Za1prWmtba1prW29aa1trWmtaa1prW2taa1tvWmtaazprWmtaa1prOWtaazpnOmcZY/A9VEr5XjpnW2s6Z1prWmtaa1lrWmtZZ1prOWdaazlnWmtaa1prWmtaa1prWmtaa1prWmtaa1prWmtaa1prWmtaa1prWmtaa1prWmtaa1prWms5Z1prOWdaa1prWmtaa1prWmtaa1prWmtaa1prWmtaa1prWms5Z1prOWdaazlnWmtaa1prWmtaa1prWms5Z1prOWdaazlnWmtaa1prWmtaa1prWms5Z1prWmtaa1prWmtaa1prOWdaazlnWmtaa1prAABaa3tvWmt7b1pre29aa3tvWmt7b1pre29aa3tvWmt7b1prWmtaa1prWmtaa1prem9aa1prWmt7b1prem9aa1prWmtaa1lrem96b3tvWmtaa1prem9aa1prWWtaa1lrWmtZa1lrOGdZa1lrOWf4YvheTSkKIY8xt1Z9c1pre296b1lrOWdUTgoh6hzzQZA1TiluLVVO2FoaY1xrfm9da35zfW99b1trO2c6ZztnGWPXWnVOVErxPY8xLSlOLbE1FEL5XhljGmM6ZxpjOmc7Z1xrO2caY9E96RwKISslW2tba3xvW2s7Z9hahxALIQshsDXQOVtrW2s6Z1prW2t7b1trOmtaazprW2s6a1prOmtaazprWms6a1trOmtaazprWms5a1lvOWs6aztrXG8aY7hWDCXqHNE5G1/6XjtjXGcZX1pnWWc5Z1prOWdaZzpnW2s6Z1trOmtaazlnWmtZa1prOWdaa1prWms5Z1prWmtaazlnWms5Z1prOWdaazlnWmtaa1prWmtaa1prWmtaa1prOWdaa1prWmtaa1prOWdaa1prWms5Z1prOWdaazlnWms5Z1prOWdaazlnWms5Z1prWmtaazlnOWc5Z1prWmtaazlnWms5Z1prOWdaazlnWms5ZzlnOWc5ZzlnOWc5ZzlnOWcAAHtvWmt7b1pre29aa3tvWmt7b1pre297b3tvWmt7b3tve29aa3tvWmt6b1pre29aa3pvWmt7b3tve296b3tvWmt7b1prWmtaa3tve297b1pre29aa3pvWmtaa1lrWmtaa1lrWWtZa1lrWWs5Zxlj+V6wOeocjzV2Tp5zW2ubc3pvem8YY7ZW6RwsJbE5VkqyOfNBbjFNLfE9+V48Z11vnnM6Z3tvvXd8b1trOmdbazpnW2saZ/lel1I0RrE1cDEtKSwprjV0TvleXGtca1xrO2dcaxpjEkKnFOkcKyUaY1xre286Z1xrdU5mEMkYsTm3VlRKfG98b1pnfG9aa3xvW2tbazprW29aa1tvOmtbazprW2s6a1tvOmtbazprW286azlrOWtabzprW2tcbzxn2lpwMU8p7BxOKblWfmtdZztjOWNZa5tvWWc5Zzpne2tba1trWmtba1prWmtaa1prWmtaa1prWmtaa1prWmtaa1prWmtaa1prWmtaazlnWmtaa1prWmtaa1prWmtaa1prWmtaa1prWmtaa1prWmtaa1prWmtaa1prWmtaazlnWmtaa1prWmtaa1prWms5Z1prOWdaazlnOWc5Z1prWmtaa1prWms5Z1prOWdaazlnWms5ZzlnOWdaazlnOWc5Z1prOWdaawAAWmt7b1pre29aa3tvWmt7b1pre29aa3tvWmt7b1pre29aa3tvWmtaa1prWmtaa1prWmt7b1pre296b3tvWmt6b1prWmtZa1prem97b1prWmtaa3pvWmtaa1lrWmtZa1prOGdZa1lrWWs5Zzln+GIZYxNCyRxuLRNGfW98b3pvm3N6bzln11oKIS0lbzHbXndODCWPMbA1bjFMKfI92Vp9b1trnG97b3tve2+bb3prWmsZYzpnGmM7Zxtj2VpVShNCjjGOMUwpTS2OMRNGl1YbYxtjPGd2UskcqBgLIVVOXGtba1trXGszRocQyRjyPflet1Z9b1trWmt7a1trOmdbazprWms6a1prOmtaazprOms6a1prOmtaazprW2s6a1prOGdZazlrOms6a1xvO2cbY3ZO8jkMIesYjy2YUjxjfWs6Y1pnOWdaZzljWmc6Z1trWmdaazpnWmtaa1prOWtaa1prWms5Z1prWmtaazlnWmtaa1prOWdaazlnWms5Z1prWmtaa1prWmtaa1prWmtaa1prWms5Z1prOWdaazlnWmtaa1prOWdaazlnWms5Z1prWmtaazlnWms5Z1prOWdaazlnWms5ZzlnOWdaa1prWms5Z1prOWdaazlnWms5Z1prOWdaazlnOWc5Z1prOWc5ZzlnAAB7b3tve29aa3tve297b1pre297b3tvWmt7b3tve29aa3tvem97b1prem9aa3pvWmt7b3pve29aa3tvem97b1pre29aa1prWmt7b3pve29aa3tvWmt6b1prWmtaa1prWmtZa1lremtZa1lrOWc5ZxljllLJGG4t0Dl8b3xvem96b3pvOWcZY00tLSkuKV5r214URk0tTS2vNa81jjHyQVVOW2taa3tve2ubb3tve29ZZ3trWmdaazpnfG87axpn+V63WlRK8T1tLUwpTSmvNdE5NUpWTlZO6hzKHMoc0jkcZ1trOmc7a44xyRgMIbhWG2MaY1trW2s6Z3xvW2tba1trW2taa1tvWmtbb1prWms5a1pvOmtaazprWm86a1prOmtZa1lrWm86a1trW2tcaztnPGd2TtE5TSXrHE4pd05dZ55vOmMZY1pnfG86ZzlnWmdaa1prWmtZa1prWmtaa1prWmtaa1prWmtaa1prWmtaa1prWmtaa1prWmtaa1prOWd7b1prWmtaa1prWmtaa1pre29aa1prOWdaa1prWmtaa1prWmtaazlnWms5Z1prOWdaa1prWmtaa1prWmtaazlnWms5Z1prOWdaa1prWmtaa1prOWdaazlnWms5Z1prOWdaazlnWms5Z1prOWdaazlnWmsAAFpre29aa3tvWmt7b1pre29aa3tvWmt7b1pre29aa3tvWmt7b1prem9aa1prWmt6b1prWmtaa1prWmtaa1prem9aa3pvWmt6b1prem9aa3pvWmt6b1prWmtZa1prWWtaa1lrWWs5Z1lrWWtaaxljGWOXVuocLCWPNRpjfHNaa3pvOWdaa/he8UEMJU4p+2I9axxnEkJMKW0trzUTRvI9bS3wPZVSOWecc3pvWmtZa5tvm2+bb1prWms5ZzpnOmc6ZxpjGmP5XthadU4TQo81bi0tJQwlLSWIFKoYyxwuKbpafW99cztnCyGIEAwl+2JcaztnO2c6Z1prWmtbazpnfG86a1prWmtaazlrWms5Z1prOWdaazlrWms5Z1prOWtaazlrWm9aa1prOWdaazpnW2saYxtj8j0tJU4pLSEuJXdKG2M7ZztnW2s6Z1pnOWdZZ1lnWWtZa1prOWdaazprWms5Z1prWmtaazlnWmtaa1prWmtaa1prWms5Z1prOWdaa1prWmtaa1prWmtaa1prWmtaa1prOWdaazlnWmtaa1prWmtaazlnWms5Z1prOWdaazlnWms5Z1prOWdaazlnWms5Z1prOWdaazlnWmtaa1prOWdaazlnWms5Z1prOWdaazlnWms5Z1prOWdaazlnWms5ZwAAe297b3tve297b3tve297b3tvWmt7b3tve29aa3tve297b1pre29aa3tvWmt7b3pvem9aa3pvWmtaa1prem9aa3tvWmt7b1prem9aa3tvWmt7b1prem9aa1prWWtaa1prem9Za1lrWWt6b1prOmsZY9leLCksJY4x2Fp8b3tvWWtZa1prGWd1Uk0pTimYUj1r+l5ca9haTCnHGI4xM0avNSoljTF0TjljnHOcc5xzem9Za1lre297b3tvemt7b3tvW2tba1trOmcaY9hat1Z2ThNCTi0NJakU7BzsHA0h0z36XjtnG2cMJcocDCEcZ1xrfW87Z3xvWmtba3trW2tba1prWWtab1prWmtZa1prWWtaa1lrWmtZa1prWWtaa1lrWm9aa1pvWmtaazlnWms6ZzpjW2fYWvI9kDFPKS4lDSEUQhtfv3NcZxljWmucb1lnWWtZa1lrWWtaa1prW2taa1prWmtaa1prWmtaa1prWmtaa1prWmtaa1prWmtaa1pre29aa3tvWmtaa1prWmtaa1prWmtaa1prWmtaa1prWmtaa1prWmtaa1prOWdaa1prWmtaa1prWmtaazlnWms5Z1prWmtaa1prWms5Z1prWmtaazlnWms5Z1prOWdaazlnWms5Z1prOWdaazlnWms5Z1prAABaa3tvWmt7b1pre29aa3tvWmt7b1pre29aa3tvWmt7b1prem9aa1prWmt7b1pre29aa3pvWmtaa1prWmtaa3pvWmt7b1prWmtaa1prWmt6b1prem9aa1prWWtaa1lrWmtaa1prOWdZa1lrWms5Zzpn+V7QOekcjjF0Tnxve29aa1lrWms6Z7dajzFuLfNBXm9db1xr+V50To0xCiFtMZZWrjVsLWwtMkb4Xpxve29aa1prem97b5tzem96a1lnWms5ZzpnOmdbaztnO2caY/peG2O4VhRCcDENIe0g7RxPLY8x8T3yPQshLSVOKRxjn3Ncazpne29aazpnfG86Z1trWmtaa1lrWmtZa1prOWdZa1lnWWs5Z1lrWWdZazlnWWtaa1prOWdZa1lrWWs5Z1lnWmc6Z1xr+l7SNbI1kjHMGAwhNUYbYzxnGmNba3prWWdYZ1lrWGdZa1lrWms6a1prWmtaazlnWmtaa1prOWdaa1prWmtaa1prWmtaazlnWmtaa1prWmtaa1prWms5Z1prOWdaazlnWmtaa1prOWdaa1prWms5Z1prOWdaazlnWmtaa1prOWdaazlnWms5Z1prOWdaa1prWms5Z1prOWdaazlnWms5Z1prOWdaazlnWms5Z1prOWc5ZzlnWms5ZzlnOWcAAHtve297b3tve297b3tve297b3tve29aa3tve297b1prem9aa3pvWmt7b3tve297b3tvem96b1prem9aa3tvem97b3pve29aa3pvWmt6b1pre29aa3pvWmtaa1prWmtaa1prWmt6b1lrWms5Z1prOmcaYxJC6hxuMVNKW2+9d1pre285Z3xv2FrSPU4t0jleb11vO2s7a1tr11quNc852Fq3VvE9TClMKRJCtlY6Z3xvfG9ba3prWmt6b3prm297b3tvemt6a1pre29ba1trO2caYzxn+2IURi4l7BxQKXAtsTluLSwliBANJewgmFYbY1xrGWN8bzpnOmd8bztnOmdba1prWmtaa1prWWtaazlnWmtZa1prWWtaa1lrWWtZa1trOWc5Z1lnem9Za1lrOGdZazljOmMaX/paVkrTOXEtqhQuJVZKPGeec1tnOWdZZ3lrWGtZa1lrWmtaa1trWmtba1prWmtaa1prWmtaa1pre29aa1prWmtaa1prWmtaa3tvWmt7b1prWmtaa1prOWdaa1prWmtaa3tvWmtaazlnWmtaa1prOWdaazlnWms5Z1prWmtaa1prWmtaa1prOWdaa1pre29aa1prOWdaa1prWms5Z1prOWdaazlnWms5Z1prOWdaazlnWms5Z1prOWdaawAAe297b3tve29aa3tvWmt7b1pre29aa3tvWmt7b1pre29aa3pvWmt6b1prem9aa3tvWmt7b1prem9aa3pvWmt7b1pre296b3tvWmt7b1prem9aa1prWWtaazlnWmtZa1prOWdaa1lrWmtZa1lrOWc6a/lil1aoGG4trjVcb1prnHNaa3tvW2s7Z1VKLSVvMRxnfW9ca1trW2sZYxljGWM6ZxpjuFozRq81KyVtLTNGO2dca3xvW2t7b1pre2taa1prWWd6b3prem+bb3tvOWdaaztnfW/6XvteyxzLHO0gLymYUjVK0TnKGOwg7CCQMW4xM0a2VjpnfG+VUlRKXGt8bzpnOmdbb51zWms5Zzlne29aa1prOWc5ZzhnWWtZa1prOmdaazlnWWs4Z1lrWWt5a1lnWmc5YzpjG2McY3hO0zlwLaoU6xw0RvpeOmdaa1lnN2NZa1lremtZZ1prOmdaazpnWmtaa1prOWdaazlnWms5Z1prWmtaazlnWmtaa3tvWmtaa1prWmtaa1prWmtaazlnWmtaa1prWmtaa1prWms5Z1prWmtaazlnWmtaa1prWmtaazlnWms5Z1prOWdaa1prWms5Z1prOWdaazlnWms5Z1prOWdaazlnOWc5Z1prOWdaazlnWms5ZzlnOWc5ZzlnAAB7b3tve297b3tvWmt7b3tve29aa3tve297b1pre297b3tvWmt7b1pre29aa3tvem97b3pve29aa3pvWmt7b3tve296b3tve297b1pre29aa3pvWmt6b1prWmtaa1prWmtaa1prem9aa3prWWtaazpnOmeXVukcTSmvNTtrfG97b3tvWmtbaztnl1JOLW8xl1aec1xvfG97bzprOmdba1trO2cbY/piVUqvNSwljjHxPRpjGmNba1trfG9ba3xve2+bb3pveWtZZ3pvemt7b3trfG9ba11r2l7rHMsczBwNJfti+2KYUg0lDSXsIBRG8T1MKW0trjWuNY0xTCkzRhpjXG86ZzpnOmdbb1trW2s6a1prOWdaa1pre29aa1prOWdaazpnWmtZa1lrWGd5a1lrWWdZZ1trOmdcZzxn+l53TrI1sTWqFAshVUp9bzpnOWd7bzlnOWdZZ1prWWtbb1tvWmtaa1prWmtaa1prWmtaa1prWmtaa1prWmtaa1prWmt7b1pre29aa1prWmtaa1prWmtaa1prWmtaa1prWmtaa1prWmtaa1prWmtaa1prWmtaa1prWmtaa1prOWdaa1prWmtaa1prOWdaazlnWmtaa1prOWdaa1prWms5Z1prOWdaazlnWms5Z1prOWdaazlnWmsAAHtve29aa3tvWmt7b1pre29aa3tvWmt7b1pre29aa3tvWmt7b1prem9aa3tvWmt7b1pre29aa3pvWmt7b1pre29aa3pvWmt6b1pre29aa3pvWmt6b1prWmtaa1prWWtaa1prW2taa3prWWtaazlnWms6Z7da6iArJY41GmNba3xvem97bzpnW2u4WrA1LSkTQn1vnXN8b3tvWmt7b1trfG9ba1xrG2f5XpZSM0aOMSsljjESQpZSGmNba3xvO2daZ1lrem9Za1lrWWubb3tve297axpjfm88Z04pLiXNHE8puFZ+c9peTinrHAwhuVqXVtA90DlsLSolKyUKISwll1IaY1xrO2c7ZztnW2saYzpnGWNba3tve285ZxljGWNaazlnWms5Z1lrOWdZa1lnWWs4Z1prWms6ZzpnXGsbY/pemFJvLS0lyhhMKRJCXGs6ZzlnOmdaa3tvWms5Zzlnem9aa1prWmtaa1prWms5Z1prOWdaazlnWms5Z1prOWdaa1pre29aa1prWmtaa1prWmtaa1prWmtaa1prWmtaa1prWmtaazlnWmtaa1prOWdaazlnWms5Z1prOWdaazlnWms5Z1prOWc5ZzlnWms5ZzlnOWdaazlnWms5Z1prOWc5ZzlnWms5Z1prOWc5ZzlnOWc5ZwAAe297b3tvWmt7b3tve297b3tvWmt7b1pre297b3tve297b3pve29aa3tvem97b3pve296b3tvWmt7b3pve29aa1prWmt6b1pre29aa3tvWmt7b1pre29aa3tvWmtaa1prW29ba3tvWmt6b1prWmtaa1tr2FpNLeogrzXXWnxve2+bc3tvW2tba/pi0j1NKY81XGt8c5xzWmt7b3tve297b3xvXGs7ZxpnXGsaY3ZS0DmvNY4xbi1tLdA5VEoZY3xvemt7b5xzem9aa3pre286Z3ROEkLZXjxn0z3tIO4gLykURn5zG2MtKcocDCFeaxpjGmfXWpVSjjFMKSwl6yBOLSwl0T2WUtleXWt9b1xrOmedcztnGWMZY1trfG98b1pnWmtaa1prWWtaa1lrWms5Z1prWmt7bzpnOmc6Z1tnOmP6WndOTSksIagUTSnyPVxrW2tba3xvWmtaa1lrWWs5a1prWmtaa1prWmtaa1prOWdaa1prWmtaa1prOWdaa1pre29aa3tvWmt7b1pre29aa1prWmtaa1pre29aa1prWmtaa1prWmtaa1prWmtaa1prWms5Z1prOWdaa1prWmtaa1prOWdaazlnWms5Z1prOWdaa1prWms5Z1prOWdaazlnWmtaa1prOWdaazlnWms5Z1prAABaa3tvWmt7b1pre29aa3tvWmt7b1pre29aa3tvWmt7b1prem9aa3pvWmt6b1pre29aa3pvWmt7b1prem9aa3tvOWdaa1prem9aa1prWmt6b1prWmtaa3pvWmtaa1prWmtaa1trWmt6b1lrWWtZa1prO2v4Xq816RyOMXVSfG98b1pre29ba1xr+mIURk0tjjH5XnxvnHN6b1pre29aa3tvOWd7b3trWmsaYzpn+V7YWhNC8T2OMUwpKyVsLa81EUL4XlprnG98bzlnW2s6Z9daKyVNKdI9HWdYTs0c7yAOJbE5nnMcZ04tyRgsJV5vPGdcaxpjGmfyQeockDVPLYkUDCVNKSwlDCFuLTRG2FY8ZxtjXGtca3xvO2c7ZzpnWmdaZ3prWmt6a1pnWmc5Z1pnWmtba1pnWmc5Z1lrOGc5Zzpj2VpURuocCyGoFG4tE0I8a31vO2cZYzlnm3N6bzhnOWdaa1prWms5Z1prOWdaazlnWms5Z1prOWdaazlnWmtaa3tvWmt7b1prWmtaa1prOWdaa1prWmtaa1prWmtaazlnWmtaa1prOWdaa1prWms5Z1prOWdaazlnWmtaa1prOWdaazlnOWc5ZzlnOWdaazlnWms5Z1prOWdaazlnWms5Z1prOWdaazlnOWc5ZzlnOWcAAHtvWmt7b1pre29aa3tve297b1pre297b3tvWmt7b3tve29aa3tvWmt7b1pre296b3tvWmt7b3pve29aa3tvWmtaa1prem9aa3tvWmt7b1prWmtaa3tvWmt7b1prWmtaa1trW2t7b1prem9Za1prWmtba/leE0bIGI4xMkadc3xvem97b3tvO2s8Z1VOsDVuMZZWW2u9d3pvm3N7b3pve296a3lrem9ZZ1prWmdbaxpjW2v5XnVO0DmOMUwpTClMKfA9U0oaY31vfW+dc1trU0rJGAwlcDG6Vt1ezhwxKe4gkDE7Zzxrbi3rHC0pXm88a31vGmOec1RK6hyyOVdO7CANIW8tNUYUQm8tLCVuLU0p8j11ThtjXGtcZxpjXGt8b1prWWd6a1pre2taZ1trOmdba1pnWmtZZ3prWWt5a1hnnG/4WrdWt1YLIcoY6xwMITVK2Vp9b1xrWmtaa3pvWGtaa1prWmtaa1prWmtaa1prWms5Z1prWmtaazlnWmtaa3tvWmt7b1pre29aa3tvWmtaa1prWmtaa1prWmtaa1prWmtaa1prWmtaa1prWmtaa1prOWdaazlnWmtaa1prWmtaazlnWms5Z1prOWdaazlnWms5Z1prOWdaazlnWmtaa1prWmtaa1prWms5Z1prOWdaawAAWmt7b1prWmtaa3tvWmt7b3tve29aa3tvWmt7b1prWmtaa3tvWmt6b1pre29aa3tvWmt6b1pre296b3tvWmtaa1prem9aa3pvWmt6b1prWmtZa1prWmt6b1prWms5Z1prOmtba1prWmtZa1lrOWdaazpnGWNUSqgYbTHxPXxvfG9aa5xzWms7azxruFawNW0tEkI6Z5xzem+bc5tzWmubc5pveGs3Z3lre2+bb1prOmf5XjpnOmc7Z/hedE6vNUwpLCVuLRNG2FoaY55zO2fyQYgULSUuJdQ5m1bwJM8crRgtKdhaG2NuLcocTikcZ35vXGs7Z1xrllLKGE8tmlLUPQ4lcDF4UvxiNUbSObE1TiktJSwlTSnyPbhWXGs8ZzpjOGNYZzhnWmdaZ1trOmdbZztnWms5Z1lrWWt5a1hreWs5Y1tnOmPYVrhWLSWIEC0l7CDyPdlefW9bazlnN2dZa1lrWmtaa1prWmtaazlnWms5Z1prWmtaa1prWmtaa1prWmtaa1prWmtaa1prWmtaa1prWmtaa1prWmtaa1prWmtaa1prOWdaa1prWms5Z1prWmtaazlnWms5Z1prOWdaa1prWms5Z1prOWdaazlnWms5Z1prOWdaazlnWms5Z1prWmtaazlnWms5Z1prOWc5ZzlnAAB7b1pre29aa3tvWmt7b3tvnHN7b3tve297b1pre29aa3tvem97b1pre296b3tvem97b1pre296b3tvem97b1pre296b3tvWmt7b1prem9aa1prWmt6b1pre29aa1prOWdaa1prWmtZa3prWWtaazlnW2sZY5ZSpxSOMc85fXN8b3tvm3NbazpnfXPZXvE9TCnQORljnXNaa5xzm29aa5pzmnN5b5pvmm96bzhnOWdba5xvW2s6ZxljOmf4XtdallLRPW0tbi2vNTRKG2c8ZxNCDCFwLZIxUSmcVnMxESXOHE8tl1Zda28x6yAtKfpifW99b1trfG/YWiwlDSXcWrtakjENIRRCPWdeaz1nuVZOLbE1sTWxNU4pLSVNKdI5VEoZYxhjOmc6Z1trW2tca1tnXGs6Z1trWWdZa1hneWt5b1prOmM6Zztn2VqXUrA1hxAMJQshsDm3VnxvW2tZa1lrWmtaa1prWmtaa1lrWms5Z1prWmtaa1prW2taa1trWmt7b1prW2taa1trWmtaa1prWmtaa1prWmt7b1prWmtaa1prWmtaa1prWmtaa1prWmtaa1prWms5Z1prOWdaazlnWmtaa1prOWdaa1prWms5Z1prOWdaazlnWmtaa1prWmtaa1prWmtaa1prOWdaazlnWmsAAFprWmtaa3tvWmt7b3tve297b3tve297b1pre297b3tvWmt6b1prem9aa3pvWmt6b1prem9aa3pvWmt6b1prem9aa1prWmtaazlnWmtaa1prWWt6b1prem9Za1prWmt7b1lnWWtZa1prWWtaa1prW2sZYztndVLpHG0t8D0aZ3xvW2t7b1pre29bazpndlJNLbA5VU6fd1trfG+bc1hnu3d6b5tzem97b1prWmtaa1prW2t7b1prW2s6ZzlnGWM5Z/hedU6OMU0pbS3yPXdONUYNIQ8l1TmUMa4UfE6uFBAh7Bw1Rj1nsTnqHE0pOmedc3trWms5ZxljKyUtKXhSHmezNZIxcC1eaxtjdk4LIesc7BztHA4hcS2RMXAtLSUMJQshbjHyPXZS2V5ca1xrPGv5YlxrfG98b1pnWmtaa3tvOmdaZ1prW2s6ZzlnlVLPOYUQSykrJUwpdE5caztnW2s6Z1prOWc5Zzlnem96b1prOWdaa1prW2taa1trWmtbazpnW2s6a1trOmtba1prW2taa1prWmtaa1prWmtaa1prOWdaa1prWmtaa1prWmtaa1prWms5Z1prOWdaazlnWms5Z1prWmtaazlnWms5Z1prOWdaazlnOWc5ZzlnOWdaa1prWmtaa1prOWdaazlnOWc5ZwAAe29aa3tve297b3tvnHN7b3tve297b3tve297b3tve297b1pre29aa3tvWmt7b1pre29aa3tvWmt7b1pre29aa3pvWmt6b1prWmtaa1prWmtaa1pre29aa1prWWtaa1prWmtZa3pvWmtaa1prW29bazprO2u3VgkhbS3QORpnfG98b3tvWmtaa3tvOWe3Vo4xkDU0Rp93PGt8c5tveWuac5tze2+cc3tve29aa3tvWmt7b1pre29aa1prOWdaazlnGGMZY/haVEqvNS0ljy0uJcwYcS05RrU1Uym2NfAcECHtINM5XmuxOesgTClba5xzm296a1prGWNtMSwlV0odY5lSbyk1QrhWfWvxOcoYTilPKQ4hzRzNHC8lkjE2SplWNUpvLQwhLSmPMY8xE0KWUlxrO2c7ZzpnW2tba3xve297b1prW2s5ZzlnWmdaa/delVJkDOgcrzkKIbA1f29db51zOWc6Z3tvnHM5ZzhnWWtZa1lrWmtaa3tvW2tbb1trW2taa1trW2tba1prW29ba1trWmtba1prWmtaa1prWmt7b1pre29aa1prWmtaazlnWmtaa1prWmtaazlnWmtaa1prWmtaa1prWms5Z1prWmtaazlnWms5Z1prOWdaa1prWmtaa3tvWmtaa1prWms5Z1prAABaa3tvWmt7b3tve297b3tve297b3tve29aa3tvWmt7b1prem9aa3pvWmt6b1prem9aa3pvWmt6b1prem9aa3pvWmtaa1prWmtaa1prWWtaa1lrWmtaa1prWWtaa1lrWmtZa3prWWtaa1prW2taa1trOmdba7daTClLKa852Fqdc3tvnHNZa3tvWms6a9da0DksKRNCXWtca1trm3NYa5pzem97b3tve29aa3tvWmt7b1pre29aa1prWmtaazlnWms5Z3tvOmcZY1RK0DVNKakUqhRxLThG9j1zLXMtrhQQIcwYLyn8YrI1qhhNKRpnfG97b5tzOWc5Z9A5LCXTPR1j/F6xNfM5l05/b28tyhgUQtpaeE6SNQ4lqxjsIHAt9EG5VvtemFLSPS0pTSksKSwlbi2vNRJCtlb5XjpnOmdbaxpjW2tca3xvW2tbazpnOmf4XrdWLCWoGE4tLSUNIXdS+mJba3tvWms5Z3tvem96b1lnWWtZa1prWWtaa1lrWms6a1trOmdba1prW2taa1prWmtaa1prWmtaa1prWmtaa1pre29aa1prWmtaazlnWmtaa1prOWdaazlnWms5Z1prOWdaazlnWms5Z1prOWdaazlnWms5ZzlnOWdaazlnWms5Z1prOWdaazlnWms5ZzlnOWcAAHtve297b3tve297b5xze2+cc3tve297b3tve297b1pre296b3tvWmt7b3pve29aa3tvWmt7b1pre29aa3tvWmt7b1pre296b3tvWmt6b1prem9aa3tvWmt7b1pre296a3pvWmt6b1pre29aa3tvW2tba1tr+V6uNSsljjGXVn1znHOcc3pvem97b1prGWMTRgsl0TkcZ1xrfG+bc3pvem97b3tve297b3tve297b3tve297b3tvWmt7b1prWmtaa3tvWmsZYzpnO2fYWlVKLSUNIS4lFkJZSlIptTWuGO8g7iDMHP1esznKGC0pPGd8b3tvm3NaazlnVEoLIZE1HGMcY5hSbym5Vl5nTikNIXdOfmscY7lWFEKQNQ0lDSHsILI5FEK5Whxn+l40RtE50TluLU0tbS1tLY4xrjURQnROGmc7Z1xrXGt8bztnO2dcazxr+l7ZWtI5yxzsHFAt7CATQtlefW87Zzpne2+cc1prWmtZa1lrWWt6a1lrWmtZa1prWmtaa1prWmtaa1trWmtba1prWmtaa1prWmtaa1prWmtaa1prWmtaa1prWmtaa1prWmtaazlnWms5Z1prOWdaa1prWms5Z1prOWdaa1prWms5Z1prOWdaazlnWms5ZzlnOWdaazlnWmtaa1prOWdaawAAWmt7b3tve297b3tve297b3tve297b3tvWmt7b1pre29aa3pvWmt7b1prem9aa3tvWmt6b1prem9aa3pvWmt6b1pre296b3tvem97b1prem9aa1prWmt6b1pre29aa3pvWWt6b1prem9aa1prWmtbazprOmv5YhFC6RxtLTRKnXN7b5xzWmt7b1prW2saZ3ZS6yCPNbhWfW9ba5tzem+ab1pre29aa3tvWmt7b3tve29aa3tvWmt7b1pre29aa3tvWmt7bzpne287Zxpj2Vo1Ri0lDSXTNR5jtDW0NXItzhwPJc0celL1QaoYTik8Z31vWmucczlnOmeWUiwlTi37XlxrPGdvLXdOmVJxLewcd04bYztnO2caY7hWVUrSOZExDCUMIU4tNUraXhtj+mIbY3ZSVUrxPa81TCkrJSolTCkKIY4x8T12UtlauFqXUvtiHGNea39z3F5QLcwc7iAOJS0lsTV2TjxrXW9baxljOWdZa1lrWWtZa1hrWWtYa1lrWWdaa1lrWmtZa1prWmtaa1prWmtaa1prWmtaa1prWms5Z1prWmtaa1prWmtaa1prOWdaazlnWms5ZzlnOWdaazlnWms5Z1prOWc5ZzlnWms5Z1prOWc5ZzlnOWc5Z1prGGNaazlnWms5Z1prWmtaazlnAAB7b3tve297b3tve297b3tve297b3tve297b1pre297b3tvem97b3pve296b3tvem97b1pre29aa3tvWmt7b1pre297b3tve297b3pve296b1prWmtaa1prem9aa3tvWmt6b1prem9aa1prWmtaa1prW2s5ZzpnVErpHEwtEkJ9b3xznHN7b3tve29ba1xrt1ZNKW4tVU5db3xve2+bc3pvem9aa3tve297b3tve297b3tve297b3tve29aa3tvWmtaa3pve297b1trGmM7Z7dSTSktJbI1P2e7Vi8lOEaLEDEpzhz2QfZBqxguKTxnXGt7b3tvWms6Z/leLCVOKbhWnnP4WnZKsjU3RtQ57Rx3Tn1vfG+cc3prW2v6XrlWV04URvI9bzEMJZA1l1I8ZzxnPGcbY/pe2FrYWnVOEkKPMW0tbS1uLY8xsDULIakYDCU2SplSHmc/a7ta1T0xKasU7SDsIHAxFEb6XjxrfW9ba3tvWmt6a1lrWWtYa3lrWWtaa1lrWmtZa1prWmt6b1prWmtaa1prWmtaa1prW2taa3tvWmt7b1prWmtaa1prOWdaazlnWms5Z1prOWdaazlnWms5Z1prWmtaazlnWmtaa1prOWdaazlnOWc5Z1prOWc5ZzlnWms5Z1prWmtaazlnWmsAAFpre29aa3tvWmt7b1pre29aa3tvWmt7b1pre29aa3tvWmt7b1pre29aa3tvWmt7b1prem9aa3pvWmt6b1prem96b3tvWmt6b1prem9aa3pvWmtaazlnWmtaa3tvWmtaa1prem9aa1prWWtaazlnWmtbazpnGmeWVugcbS3QOX1ve2+cc3pvnHN6b1trW2vYXo4xTSnROVxrW2t7b3pvem9aa3tvWmt7b1pre29aa3tvWmt7b1pre29aa3tvWmtaa1lrems4Z1prWmdba1tr2FqPMSwhby37Xh1jszXTOawYECUQJTEp90FqEC4l+l5ca3trm29ZZ1prGWNMKS0lVUp8a/ha+l6xNfZB9kHtHFZKfG97b1lrWGs5Z1trHGccZ/tiVUqwNY8xTSlNKdE92Vpdb55zXWs7ZxtjPGf6YthadU40So4xbS1uLQslLSU1SuwccC2zOTdKu1q8WrU5zhzuIO4kzRwNJbE1mFY7Z31vW2tba1prWWtZZ1lrWWdZa1lrWWtZZ1lrWWtaa1lrWmtZa1prWmtaa1prWmtaa1prWmt7b1prWmtaa1prOWdaazlnWms5ZzlnOWc5ZzlnOWc5Z1prOWdaazlnOWc5Z1prOWdaazlnOWc5ZzlnOWdaazlnWmtaa1prOWdaa1prWms5ZwAAe29aa3tvWmt7b3tve297b3tvWmt7b1pre297b3tve297b3pve296b3tvem97b3pve29aa3tvWmt7b1pre29aa3tvem96b1prem9aa3pvWmt7b1prWmtaa3tve297b3pve29aa1prWmtaa1lrWms5Z3tvGWdba7da6SBtLdE5XW98b5tze2+bc3tvWmt8b/he0DksJY81PGt8b3tvem9Za3tve297b3tve297b3tve297b3tve29aa3tvWmt7b1prWmt6b3pvWmtaazpnfG/5YlVKCyFuLXdOHWP7Xi4lLyVSLTIt8CAYRqsYLykcZ31vnXN7b3prWmc6Z0wpLSkTQntre2s8Z1ZKOErVPQ4h0jl8b3pvmW94a1lrW2tdaxxnfm8bZ5dW0T2OMU0tbi1uLVRK+l5+c11rPGtca11vO2c7Zzpn+V7YWrhW0TlvMTVGsTkNJQ4lLykwKXExtDlyMVIt7iDOIA8lLylPKRRG+mJ9b1xrW2taa1prWWtaa1lrWmtZa1prWWt6a1premtZa1prWmtaa1prW2taa1trWmtaa1prWmtaa1prWmtaa1prWms5Z1prOWdaazlnWms5Z1prOWdaazlnWms5Z1prOWdaazlnOWc5ZzlnOWdaazlnWmtaa1prWmtaa1prWms5Z1prAABaa3tvWmt7b1pre29aa3tvWmt7b1pre29aa3tve297b1pre29aa3tvWmt6b1prWmtaa3pvWmt6b1prWmtaa3tvWmt6b1prem9aa1prWmtaa1prWmtZa1prWmt7b3pve29aa3tvWmtaazlnWWc5Z1lrOmdaaxlj2F7pIEwp0Tk7Z3xve297b5tze297bzpnGmdVTgohbjF1Tjtn3ntZa3pvWmt7b1pre29aa3tvWmt7b1pre29aa3tvWmt7b1prem9Za3pvWWt6b1prW2s6Zzpn11pMKSwlsDU9ZxxjVkrLGBAlMilTMfdBahBQLRxjfW98b1prnHNbaxlj0TlNKbA1Wmd6aztjHGM4SpMxcS0tJRhfem+6c1dnmnNaaztnXWv6XjtnO2cbY5dSEkJuLSslTSmPNTNG+l5da11rPGdcaztnW2s6ZxpjGmP6XhNCLCWQMdM9sTWyOQ0lDSWrGO0gECXPHGwUlDWzOZI1LilOKVVK2V47a1trOmdba1tvfG84Z1prem+bb1lrWWs5Z1prWmtaa1prWms5Z1prWmt7bzlnWmtaa1prOWdaa1prWmtaa1prWmtaazlnWms5Z1prOWdaa1prWms5Z1prOWdaazlnOWc5Z1prOWc5ZzlnOWc5Z1prOWdaazlnWms5Z1prOWcAAHtve297b3tve297b3tve297b1pre297b3tve297b3tve29aa3tve297b3pve296b3tvWmt7b1prem9aa3tvem97b1pre29aa3pvWmt6b1prem9aa3pvWmt7b3pve296b3tvWmt7b1prWmtZa1prWWtaa1prOmf4XkwtCyHRPflefHN7b3tve2+bc3pvW2s6Z7dW6iCPNRJCfG+cc3tvem97b3tve297b3tve297b3tve297b3tve297b1pre29aa3pvWWt6b1pve29aa1trOmf5XvE9CyHQNfpePGe5Vi4pzhx0MTIpdDXuIA4lPGd9b51zWmu9d1trGmPyQSwljjF7a1lnnW89Z7pW9T1QLS0plVJ6b3hveG96bzlrfW88a553O2f5XhpjXGsaY3VOrzWOMSwlLCmvNVVO2Vpda55zW2t7b51zW2tbaxpjl1LRPZAxsTW5WlZKNUZvLZAxihTvJDIpECXvJO4gUC3TPdI5qRiPNdhaXGt9bztnO2c6Z51zWms4ZxhjOWdaa3tve297b1prWmtaa1prWmt7b1prWmtaa1prWmtaa1prWmtaa1prWmtaa1prWms5Z1prOWdaa1prWmtaa1prOWdaazlnWms5Z1prWmtaazlnWms5Z1prOWdaa1prWmtaa1prWmtaawAAWmt7b1pre29aa3tvWmt7b1pre29aa3tvWmt7b1pre29aa3pvWmt7b3pve296b3tvWmt6b1prem9aa3pvWmt6b1prem9aa1prWmtaa1prWmtaa1prWmt6b3pve29aa1prWmtba1prem9aa3pvWWtaa1pre28ZYxljrzXJHLA5t1Zba3tvemt6b3pve29aazpn2FoLJW4tsDVcb1tve296b1pre29aa3tve297b1pre297b3tve297b3tve29aa3pvWWtZb1lrWm9aa3tvOmc6axlj11rpHNA1dk5da/pe8z1rEJU17yAQJS8pDSEbY35vfG97b5xze2saY3ZO6xxuLRhfWWeecz1n/GJ4Ui4pTSnPOXpvN2eaczhnWWuccztrfG9baxljOmdca1xr+F62VvE9rzVMKQslCiFuMVVKO2d8b5xvW2tca3xvfW/6XpZSDCUtKTVGPWvaWtlad06yOe4g7yCtHA8lcTFQLU8tDSWwNS0pCiHQOdlannN9bztrGWM6a1trfG9aa1prOmdba1prW2s5Z1prOWdaa1lrWmtaa1prOWdaa1prWms5Z1prWmtaazlnWms5Z1prOWc5Z1prWmtaa1prOWdaazlnOWc5ZzlnOWc5ZzlnOWc5ZzlnOWc5ZzlnWmtaa1prWmtaazlnAAB7b3tve297b3tve297b3tve297b3tve297b3tve297b3tvem97b3tvm3N7b3tve297b3pve29aa3tvem97b1pre296b3tvWmt7b1prem9aa3pvWmt6b3pve297b3tvWmtba1tre296b3tvemt6b1lrem9aazlnGWMzSqcUsDVUSnxve2+bc3pve296b3tvOmcaY0wpTCluMTtrW2ucc1pre297b3tve297b3tve29aa5xze297b3tve29aa3tvWmt6b1lrWmtZa3tvWmtbazprOmcZY20tbS0zRl1rPGeYUs0cMi0RJc4cMCkNIRxnfW98b3trnHNba1tr+V4sJW4tlVJaZ51zO2deb9pesTkLJW0t+F56b5tzOGdaa513Oms6Z1trnHN7azpnGWM6ZztnW2uWUtA5TS1tLU0tbi1tLZVS+F6dc51zfW87ZzxnG2fyPSwlTSn6XjxnXWvZWrlWeE6SNewgyxyxNW8xsTlNKU0tTS1uMU0tTSmPMZZSfW99b1trO2s6Z1trW2tbazprW29aa1prWmtaa1prWmtaa1prWmtaa1prWmtaa1prWmtaa1prWmtaa1prWmtaazlnWmtaa1prWmtaazlnWms5Z1prOWdaazlnWms5ZzlnOWdaazlnWmtaa1prWmtaa1prWmsAAFpre29aa3tvWmt7b1pre29aa3tvWmt7b1pre29aa3tvem97b3tve296b3tvWmt7b1prem9aa3tvWmt7b1prem9aa3pvWmt6b1prWmtaa3pvWWtaa1pre296b3tvWmtaa1prW2tba3tvWmtaa1lrWWtZa1prGWMaZ3VOqBhuLfI9Omd7b5tvm29Za3pvWmtba/herzXqHI8xt1Z9c1tre297b3tve297b3tve29aa3tvWmt7b1pre29aa1prWmtaa1lrWW9Za1pvWmtab1prW2s6ZxljEkIrKdA5PGsaY/tiUS3OHFEt7iDtIC4pG2Ncb1tre297b3tvO2cbZ04tTSnwPZxvW2s7Z31vG2dVTgohTClUSp13e285a3tzem9aa1pre297b3tvWmtaazpnOmf4XjpnGmO3VvE9bS0rJU0tTC3POVNK+V5ca55zXWs8Z9lakDXrII8xXWtdaztnPGf7YvtiVk6PMdA5M0a3WnVO8T2vNUwpLCkLIQslTS2wOZZS+V5ca31vO2s6ZzpnW29aa1trWmtaazlnWmtZa1prOWdaa1prWms5Z1prWmtaazlnWms5Z1prOWdaazlnWms5Z1prWmtaazlnWms5ZzlnOWc5ZzlnOWc5ZzlnOWc5ZzlnWms5Z1prOWdaazlnWms5ZwAAe297b3tve297b3tve297b3tve297b3tve297b3tve297b3tvm3N7b3tvem97b1pre29aa3tve297b3pve29aa3tvWmt7b3pve29aa3tvWmt6b1pre296b3tvem97b1pre29ba3tvem96b1lrWWtZa3pvWWs6Zxpjt1oLIU0pjzU6Z3tvnHN7b3pvem97b1pr+WIzRuocjjFUSp1zW2t8b3tve2+cc3tve297b3tve297b1pre29aa3tvWmt7b1prem9Za1pvWWt6b1prW29aa1tr+F7XWislrzX5XjtjPGc3SowUcjEPJcwcTy08Z1xrnG97b3tvWmtcaxtj8z0sJc81nXNba1trfW87ZxpjTClNLa81nnM7a3xvm3N5b1lre296a3tvemt7b1trW2s6Z1trGmMaYxpjGmO3VhNGjjFMKQohCyGPNZdSHGNebz1rHGOYVm8tDCG5Wp9zfnNdaxpjW2tbaxljGWP4Xlpr+F74XpZWVE7xPY4xKyULIeogLCXRObhaO2ddbztrXGtba1trWmtba1prWmtZa3prWWtaa1prWmtaa1prWmtaa1prWmtaa1prWmtaazlnWmtaa1prWmtaa1prWms5Z1prOWdaazlnWms5Z1prOWdaazlnWmtaa1prWmtaazlnWms5Z1prAABaa3tvWmt7b1pre29aa3tve297b1pre29aa3tvWmt7b1pre29aa3tvem97b1prem9aa3tvWmt7b3tve29aa1prWmt7b1prem9aa3pvWmt6b1prem9aa1prWmt7b1prWmtba3tvWmt6b1prem9Za3pvWmtaaxlnGme3Wm4xCyFuMfheWmt7b3pvWWt6b1prW2sZY5dW6hxtLfE9fW86a3xve297b3tve297b3tvWmt7b1pre29aa1prWmt7b1prem9ab3pvWWtaa1prWm86a1prOmc6Z/hejTFtLZZSO2c9a5pW7iDuIC8p7BxPLTtnfG+cc5xzWmt7a1xrG2N3Ti0pjjE6Z1tre2taZ1prO2cSQgslTi24Wl1vW2+cc1hreW9Ya3premt6b1lnWms6Z1trGWNba1xrXGsaY/let1a3VrA1kDVuLU4pLSmRNVZKHWO6Wj5r9EFvMZAxHGcbYztne29Za9Zaem96b1lrWWd6axdjGWP4YthedVISQk0t6hxuLS0pCyGPMVVOG2dba1trOmtbazprWmtaa1prWWtZa1lrWms5Z1prWmtaazlnWms5Z1prOWdaazlnWms5Z1prOWdaazlnWmtaa1prOWdaa1prWms5ZzlnOWdaazlnWms5Z1prOWdaa1prWms5Z1prOWcAAHtve297b3tve297b3tve297b3tve297b3tve297b1prem9aa3tvWmt7b3pve296b3tvem97b3tvm3N7b3tvWmt7b3pve29aa3tvWmt7b1pre29aa3pvWmt7b3pve29aa3xvW2t7b1pre296b5tvem+bb1lrWmsaY9he0DkLIW4t2Fo5Z3tvem96b3pve29aazpn2FosJSwl0Dlba1trfG+cc3tvnHN7b5xze297b1pre29aa3tvWmt7b3tve296b3tzem9ab1prWm9aa1prOWtaa1trGF/POWwtU0p8b1xr21owKcwYLiUuJS4pPGt8b713nHN7b3tvnXMaYxxnTi1uLZdWfW97bzlnWmd7b7dW6iAtKRRGfm98b3tveW95b5tzemtaa1lrem96a3tvWmucb1trOmcaY1trW2s7Z/liGmNVSrA1Ti2PMW8tTy0uKdI5NUZWTi0pbi00Rn5vfXN6b5tzOGd5b1lrm3ObbzhnWmtaa1trGWc6Zxljt1YzRiwlTS1uMU0pTSmPNZZSXGtca1trW2tba1tvWmtaa1prWmtaa1prWmtaa1prWmtaa1prWmtaazpnWmtaa1prWmtaazlnWmtaa1prWmtaa1pre29aa1prOWdaazlnWmtaa1prOWdaa1prWmtaa1prWmtaawAAWmt7b1pre29aa3tvWmt7b1prem9aa3tvWmt6b1pre297b3tvWmt7b1pre296b3tvWmt7b3pve29aa3tvWmt6b1pre29aa3pvWmtaa1prem9aa3pvWmt7b1prem9aa1prW2tba1pre29aa3pvem96bzlnem86Zzpn2V7yQYcQjzV1UrdanHOcc1lnm3NZa3tvW2v4Xo4x6RyvNRlffGt8b1tre297b3tvWmt7b1pre29aa3tvWmt7b3tve29aa3tvWmtaa1prWmtZa1prWWtaa1lrOWc5ZzFGjDGuNfhefG/6XlZOiRTsIOwgLikbY55zfG98b3tve286Zzpn2F5VSk8tNkpdb51zGGO8d/deOmduMesckTU9axpnnHOac1lrWWtaazlnWWs5Z1prWmt7b1prWms6Z1prOmdaazlnOmcaZxpn2Fp1TtA5bjFMKU0pLCksJQshDCULIW8xVk5db5xzWWt6b5xzWWdaa3trW2tba1trWmdaZzljOWcYYzln+F4zRm0xTCkLJQslbS3yQbhaO2dcaztrO2d8b1trOmc5Z1prWmt7bzlnOWc6Z3tvWmtaazlnOmc6Z1prWmtbazlnWms5Z1prOWdaa1prWms5Z1prOWdaazlnOWc5ZzlnOWdaa1prWmtaa1prOWc5ZzlnAAB7b3pve296b3tvem97b3pve29aa3tvem97b1pre296b3tvWmt6b1pre296b3tvWmt7b3pve297b3tvem97b1pre29aa3tvWmt6b1pre29aa3pvWmt7b3pve29aa3pvWmt8b1tre29ba3tvem97b3pvWWtaa1trOmcaYxNGqRiPMVRK2F6dd3xvem96b3prWmt7a/le8T3pHK8xllJ8a3xvfG97b3tve297b3tve297b3tve297b3tvnHN7b3tvWmtba1prWmtaa1prWWt6a1lrWms4Z1lrUkoIIWwtUkpbaztnl1YLIcoYDCEMJfpeXW99c3xvnHN7b1trWmsZY3ZSkTHUPV5rXGtaa5tvWWc6ZxNC6xyQMdpefW9ba5tzWWt6b1prWms5Z1prWmt7b1pre29aa1prWmtaa1prWms6Z1prGWc6ZxljGWO3VjNGrzmOMSwpCyULIeog6yDROZZSfG9aa5tze297b3xvnG9aZ3tvW2tba1prWms5Z1lrOWdaa/hi2F6VUvE9LCkLJSwlTS00RhtnXW9caztrXGtba1tvWmtba1prWms5Z1prOmdbazpnWms6Z1prWmtba1prWms5Z1prWmtaa1prWmtaa1prWmtaa1prWms5Z1prOWdaazlnWmtaa1prWmtaazlnWmsAAHpve29aa3tvem97b1pre29aa3tvWmt7b1pre29aa3tvWmtaa1lrWmtaa3tvWmtaa1pre29aa3tvem97b1prem9aa3tvWmtaa1prem9aa3pvWmt7b1pre29aa3pvWmtaa1tre29aa1prWmt7b1prem9ZZ3pvOmc7axpjVU7JHI810D0aY3xve296b3pvWmtaa1trGmM0RuocbSkSQjpjnXN7b3tve297b3tve29aa3tve297b3tve297b3tvWmtaa1prW2taa1prWWtaa1lrWWs5ZzhnOWeUUoUUKilsLVtrPGv6Ym4tiBTrIAwluFpca3xvfG97b3tvWmt7bzpnuFqzOZI1+2Jca3tvem9aa1pnl1ItKS0pVUp9b1preWt5a3prWms5Z1prWmt7b1pre29aa1prWmtaa1pre29aa1prOmdba1trfG9bazpn+F7YWnVSM0bxPdE9bjEsKSwpjzUZY3xvfG9ba3trnXN7a1prWmtba1prWmtaa1prWmtaa1prW2s6a1tr+V51Tq81TSkLISwlbi0zRvlefXNcbztrW2taazpnWms6a3tve297b1prWms5ZzpnOmdaazprWms5Z1prOWdaazlnWms5Z1prOWdaazlnWms5Z1prOWc5ZzlnWms5Z1prWmtaazlnOWc5ZwAAe297b3tvem97b3tve296b3tvem97b3pve296b3tvem96b1prWmtaa3tve297b1prem9aa3tvem97b3tve296b3tvWmt7b1pre29aa3tvWmt7b3pve29aa3tvWmt7b1prfG9ba3tvWmt7b3pvem9Za3pvWmtbazpnO2eXViwpjzWPNRpne29aa5tzWWt7b1prfG8aY7dSCiFMKa81OmOdb3xve297b3tve297b3tve2+cc3tve297b3tve297b1pre29aa1prWmt6b1prWmtZazlnOWc6Z9ZaCSHoHGwtOmddbztn80FnEAwlLSXZWl1vnXNbb3tvem97b3tvW2v5XhVGUC25VlxvnHNaa3pvOWcaY7E1LSWxNRtnW2t6b1lre29aa1prWmt7b3tve297b3tvWmt7b1pre297b3tvWmt7b1trW2s6ZzpnOmdba1xrXGs7Zxpj2V64VjNGjzUrJZZSXGuec1trfG98b3tvW2t7b1pre2taa3tvWmt7b1trW2s6ZzpnOmt9b1xr+V51TtA5bjFtLUwpjjHxPdhafXNba1tre286azprOmdba1pre29aa1prOWdaa1prWmtaa1prWmtaazlnWmtaa1prWmtaa1prWms5Z1prOWdaazlnWmtaa1prWmtaa1prWms5Z1prAAB6b3tvem97b3pve296b3tvWmt7b3pve29aa3tvem97b1prWmtaa3tvem97b3pve29aa1prWmt7b1pre29aa3tvWmt6b1prem9aa3pvWmt7b1pre29aa3tvWmt6b1pre29ba3tvW2t7b1prem9Za1prWmtaazpnOmcaY9hebi2wNY4xGmdba1prem9Za3pre297azpnuFZMKSsljjEZX51ve297b3tve297b3tve297b1pre29aa3tve297b3tve29aa1prWmtaa1lrWmtZa1prOWd7bxljGWPPOacYbjHYWjxrPGtVSogU6xwtKZdSXG98b3tvWmt7b1prW29baxtjNkZQLRNCfW97a5tvWWc6ZxpjVk4tJW4tVUp8b3premtaa1prWmtaa1pre29aa3tvWmt7b1pre29aa3tve297b3tvWmsYYzpre2+cc1prGWMaZ1xrW2s7ZxtnGmMzRk0pjzG4Wl1rfW98b3tvWmt7b1premtaa3prWmtba1prW2taa3xve29bazpnW2s7a1tr+WKWUvA9jTEqJSsprjUyRvheW2udc51zW2taazpnWmtaa1prOWdaazlnWmtZa1prOWdaazlnWms5Z1prOWdaazlnWms5Z1prOWdaazlnWms5Z1prOWdaazlnWms5Z1prOWcAAHtve297b3tve297b3tve297b3pve297b3tvem97b3tve296b3tve2+cc3tvm3N7b3pvWmt7b3pve29aa3tvWmt7b1pre29aa3pvWmt7b3pve296b3tvem97b1pre297b3xvW2t7b1pre29aa3pvWWt7b1prW2s6Zztn+V6PNW4xrzn4Xnxvem96b1lrem96a3xvOmf5Xo8xTCWOLRlffG98b3tvnHN7b3tve297b3tve29aa3tve297b3tve297b3tvWmt7b1prem9Za1prWmtaa3tvOmcZY5ZSpxSPNTRGXG87Z7hWyhzKHC0pVU4bZ51zW2t7b3pvWmtba1tvGmNXTnAtsDU7Z3tvnHN7a1trO2fZWpA1LSWwOTtnfG9aa3tvWmt7b1pre297b3tvWmt7b1pre29aa3tve297b3tve29aa1prWmt7b3tve286ZzpnW2tbaxljO2tba9da0T0tJfNB+l5+b753fG97a3tve296a3tvWmtba1prW2tba3tve297b1tre29ba1tvO2f5YjpnfG/4XhFCSylLKWwtrjUSQrZW+F5ba3xvnHNba3tvWmtaa1lrWmtZa1prWWtaa1prWmtaa1prOWdaa1prWms5Z1prOWdaazlnWms5Z1prWmtaa1prWms5Z1prWmtaawAAe297b3pve297b3tvem97b3pve29aa3tvem97b1pre296b3tvem97b3tvm3N6b3tvWmt6b1prem9aa3pvWmtaa1prem9aa1prWmt6b1pre297b3tvWmt6b1pre29aa3tve297b1prWmtaa1prWWtZa1prWmtaa1trOmcaY20tCiVtMXROOmt7b1lrem9Za3tvW2tca/pe8j0rIY4x2FZ8a3tve297b3tve297b3tve297b3tvWmt7b1pre29aa3tvWmt7b1prWmtaa1prWmtaa1tre286ZxpjuFoLIU0t8kFcaztr2FpNLagYbi0zRhpjfG97b1pre29aa3tvW2s7Z5hWkTFOLbdWfG97b1pre287ZxtjE0IsJU0pt1Z8b3tvWmtaa1prWmtaa3tvWmtaa1prWmtaa1prWmt7b1prWms5Z3pvWmtaaxhjOWdaa5xze298b1prOmc6Z1tr+F6XVm8xkTEVRjxnfm98b1pre296a3pvWmt6a1prW2tba1trWmtZazhne2+cc5xzW2s6Z1trOmcZYzpnOmf3XhFCjTEKISslSynPOZVSW2tbazpnWmtaazlnWmtZa1prWWdZa1lrWms5Z1prOWdaazlnWms5Z1prOWdaazlnWms5Z1prOWdaazlnWms5Z1prOWdaazlnAACbc3tve297b5tze297b3tve297b3tvem97b3tve296b3tve297b3tvnHN7b3tvWmt7b3pve29aa3tvWmt6b1pre29aa3pvWmt7b1pre296b5tze297b1pre296b3tve2+cc3tve29aa3tvWmtaazlne29aa3tvW2tbaxljbC3HGEwpzzk5Z1prWWubc3pre298a3xrPGc0RiwljjHYVlxrnHN7b3tve297b3tve297b5xze297b1pre297b3tvWmt7b3pve29aa3pvWmtaa1prfG86Z1xvGmPZXk4tTSnyQX1vOmcaY681yRyPMVRKGmedc1pre297b3tve298bztn+2KxNW4tVEqdc1pne297a1xrGmOXUiwlTSk0Rn1vfG97b1prWmtaa3tve297b1pre29aa1prWmt7b1pre29aa3tvWmtaa1pre297b1prOmd7b1prW2tba1trOWc6ZztnNkpwLbE5uVpda1xrfG96b3tvemt7b1pre29ba3xvXGt7b3pvm3N7b3tvOWdaa3tve29ba1prOWc6ZxlnGWP4XnVS8T1tMY4xlVJbb51zOWd7b1prWmtZa3pvWWtZazlnWmtaa1prWmtaa1prWms5Z1prOWdaazlnWmtaa1prOWdaa1prWms5Z1prWmtaa1prWmsAAFpre29aa3tvWmt7b3pve29aa3tvem97b1pre29aa3tvWmt7b3pve297b3tvem97b1pre29aa3tvWmt7b3pve285Z1prWmt7b1pre29aa3pvWmt6b1prem9aa3pvWmt7b3tvfG97b3tvWmtaa1lrWmtaa1prOmdbazpntlquNccYKiVTSlprm3NZa3pvem97b3xvfGv5XpdSLCWOLfE9nW97b3tve297b3tve297b3tve297b1prWmtaa3tvWmt7b1prem9aa1prWWtaa1pre286Z1trO2c7Z/le0TnqHPE9t1adcztnEkbpHCslllJ9c3tve296b3tvWmt7b1trXG8bY/NBCyERQp1zWmtaa3tvOmcaY9hasDkLJbA1PGuec1tre29aa3tvWmtaa1pre29aa3tvWmt7b1pre29aa3tvWWtaa1premtZa1prWmt7b1prWmtaa1prWmtbazpnO2ccY/Q9LimwNdleXGt8b1prWmtaa1pre29ba1trW2t8b1prem96b3pvWWtaazlnWmtaa3tvWmtbazpnOmc5ZzpnGWP5YvheGmM6Z1trWmtaa1prWmtZa1prWWdZa1lrWmtZa1prOWdaazlnWms5Z1prOWdaazlnWms5Z1prOWdaazlnWms5Z1prOWdaazlnWms5ZwAAe297b3tve297b3pve297b3tvem97b3tve296b3tvem97b3pve297b3tve297b3pve296b3tvem97b3pve297b3tvWmt7b3pve29aa3tvWmt7b1pre29aa3tvWmt7b3tvfG97b3xve297b1prem9aa1prWmtaa1prW2sZY7ZWMka2VjpnvXebc3lrWWt6b1prnW9caxpjl1JNKW4tEj59b5xve2+cc3tvnHN7b5xze2+cc3tve29aa3tvWmt7b1pre29aa3pvWmtaa1pre29aa3xvW2tbaztnGmPRPQsh0Dn4XnxvOmcSQiwpTS23VnxvfG97b3tvem97b1pre29cazxnVk4sKW0t+F5ba51zWmt8bztnGmPRPU0pjzH7Yn5zfG9aa3tvWmt7b1pre29aa3tvWmt7b3tve29aa3tvWmtaa1prem9aa1prWmt6b1pre29aa1prWmt7b1prWms6Z/teulqyOY8xrzUaY3xve297a3tvfG9aa3tre298b1pre296b5tvem96b1lrWmtZa3pvWmt7b1pre29aa1trOms7ZxpnOmc6Z1trW2tba1prW2taa1prWWtaa1lremtZa1prWmtaazlnWms5Z1prWmtaazlnWmtaa1prOWdaa1prWms5Z1prWmtaazlnWms5Z1prAAB7b5tze297b3pve296b3tvWmt7b1pre296b3tvWmt7b1pre29aa3tvem97b1pre296b3tvWmt6b1pre29aa3tvem97b1prem9aa1prWmtaa1prem9aa3pvWmt7b1pre29ba3tvWmt7b1pre29aa3tvWmt7b1prOmc5ZzpnGWM5Z3tvnHN7b3pvWGt5a1lre298a3xr+l64Vk0pbi3ROX1ve297b3tve297b3tve297b3tve29aa1prWmt7b1prWmtaa1prWWtaa1lrWmtZa1prWmtbazpnO2caYxJC6iCOMdZafG9ba9heVE6WUjtrnXd7b3tvWmt6b1prWmtaa1trO2e4WkwpKyVTSnxvnG9aa1trfG/5XvJBTSlOKVZKfm9ba3tvWmt7b1pre29aa1prWmtaa1pre29aa3tvWmtaa1lrWmtaa1prWWtaa1prWmtaa1prWmtaa1prWms5ZzprGmMcZ7laLCVNKfE9O2d8b1tre29ba3trW2t7b1trW2taa3tvWmt7b1lrWmtZZ1lrWWt6b1pre29ba3tvW2tbb1trW2s7Z1trOmdbazpnWmtaa1prOWdZa1lrWmtZa1prWWtaazlnWms5Z1prOWdaazlnWms5Z1prOWdaazlnWms5Z1prOWdaazlnWms5Z1prOWcAAJxze297b3tve297b3tvem97b3tve297b3tve297b3pve296b3tvem97b3tve296b3tve297b1pre296b3tvem97b3tve29aa3pvWmt7b1pre29aa3tvWmt7b3pve296b3tve297b1pre29aa3tvWmt7b3tve29aazlnGGM5ZzlnfG9aa1prWWt6b3lrem97b3xvXGs7Y9laji1uLdE5XGucc3tve297b5xze297b3tvnHN7b3tvWmt7b1pre29aa3tvWmtaa1prWmtZa1prWWtaazpnW2s6a1trVEpMLW0x11paa1trOmcaZxpjfXN7b3tvem96b1prem9aa1trO2tca9habi1sLVNKe297b1pre2t7bzpnM0awNS0l9D1/c3xve297b1pre29aa3tvWmtaa1pre29aa3tvWmtaa1prWmtaa3tvWmtaa1prWmtaa3tvWmt7b1pre29aa1prOmtcazxr2V5USm0tbjFUSlxrnXM7Z1trfG+cczpnWmt7b3tve297b1prem9aa3prWWt6b1pre29ba3xve298b1trfG9ba3xvW2tbazprW2taa1trWmtaa1lrWmtaa1prWmtaa1prWmtaa1prWmtaa1prWmtaa1prWmtaa1prWmtaa1prWmtaazlnWmtaa1prOWdaawAAem97b3pve29aa3pvWmt7b1pre296b3tvem97b3pve29aa3tvWmt7b1pre29aa3tvem97b3pve29aa3pvWmt7b1prem9aa3pvWmt6b3pve29aa3pvWmt6b1prem9aa3tve297b3tve29aa1prWmtba1prWmtaa3tvWmtaa1pre29bb1trWmt6b3lveW9Za3tvW2tcaxtj+l5uLW4tsDV9a3tve297b3tve297b3tve297b3tvWmtaa1prWmtaa1prWmtaa1prWmtZa1lrWWtZa1prWmtaa1trW2vYXhJGU0o5Z3tvOWc6ZxljGmdca1trWmt6b1lrem9Za1prOmtbaztn+V6ONUwp8D1ba1tre29aa3tvOmeWUtE5by2yOZ93XGt7b1pre29aa1prWmt7b1prWmtaa1prWmtaa1prWmtaa1prWmtaa1prWmtaa3tvWmtaa1pre29aa1prWmtaa1trOmf4XhpnEkJtLW0tdU47Z1xrfG98b1prWmtaa3pvW2t7b1pre29aa3pvWWtaa1lremtaa3tvW2tba1trXGtaa1trW2tbazpnWms6a1trOmdaazpnWms5Z1prWmtaa1prWmtaa1prOWdaazlnWms5Z1prWmtaazlnWmtaa1prOWdaazlnWms5Z1prOWdaazlnAAB7b3pve296b3tvem97b3tve297b5tze297b3tve297b3tvem97b1pre29aa3tve297b3tve296b3tvWmt7b3pve29aa3tvWmt7b3pve297b3tvWmt7b1pre29aa3tve297b3tve297b3tvWmt7b1pre29aa1prWmt7b3pre297b3xvW297b3pvem9Za3pve297a1xrXGcbY48xTSnROVxrnG97b5xze297b3tve297b3tvWmt7b1pre29aa3tvWmtba1pre29aa3pvWWtaa1lre29Za1prOWdaazpn+GI6Z3tvm3Nba1tvfG9ba51zW2t7b3pvem9Za3pvWmtba1trW2s7ZzNGCiGvNTpnnHN7b3prWmtba9daE0KRMbI1f298b1pre29aa3tvWmt7b1prWmtaa3tvWmt7b1pre29aa1trWmt7b1prW2taa3tvW2tba1pre29aa3tvWmt7b1prem8YY5xvGWMaY681jzFNKbdWXGu/d1trOWebb5tzOGN7b1tre297b3tvem96b1lrem9aa3tvW2t7b1trXGtba1trWmtba1prW2taa1trWmtaazpnWmtaa1prWmtba1prWmtaa3tvWmtaa1prWmtaa1prWmtaa1prWmtaa1prWmtaa1prWmtaa1prOWdaa1prWmsAAFpre29aa3tvem97b3pve296b3tvem97b3tve296b3tvem97b1prem9aa3tvWmt7b3tve29aa3tvWmt6b1prem9aa3tvWmt7b3pve29aa3tvWmt6b1prem9aa3tvWmt7b3pve29aa3tvW2t7b1prW2t7b1prOWdaa1prWms5Z1prWmt7b1prWWtZa3lvemt7b1trfGs8Zxtjby1NKbAxfWt8b3tve297b3tve29aa3tvWmtaa1prWmtaa3tvWmtaa1prW2taa3pvWmt6a1lrWWtZa1lnWWs5ZxhjWms5Z5xzGGNZazlnfG98b1trW2s6a3pvem9Za3pvWmtaazprW2s7Z1trt1avNVNKXGt7a3tvWmtaa1pr+V7zQbI5US0dZ1xre29aa3tvWmt7b1prWmtaa1prWmtaa1prWmtaa1prWmtba1prW2taa1trWmtba1prW2taa3tvWmtaa1prem84Z3pvGGOcb9ha2V6wNS0psTm4VjtnW2s5Z3tvem9YZ3tve29aa3tvem97b1lrWmtaa3pvWmt7b1trW2s7a1trWmtaazlnOWdaa1trOmdaazpnWms6ZzprOmdbazprW2taa1prWmtaa1prWms5Z1prOWdaazlnWms5Z1prOWdaa1prWms5Z1prOWdaazlnWmtaawAAe296b3tvem+bc3tvnHN7b3tve297b3tvm3N7b3tve297b3pve29aa3tvWmt7b3pvm3N7b3tvem97b1pre29aa3tve297b3tve296b3pvWmt7b1pre29aa3tvem97b3pve29aa3tvWmt7b3tve297b3tvWmtaa3pve29aa1prWmtbb3tvnHN6b3pvem96bzlne29ca1xrGmOPMUwpsDV8a5xze297b3tve297b3tvWmt7b1prWmtaa3tve297b1pre29ba3tvWmt7b1premtZa1lnWWecc1prWmtaazpnWmucc3tvWmtba1trOmd8b3tve296b3pvemt7b1prW2taa1trGmNba7ZWXGt8b1premucc1prfG8ZYzNG0jmQMfpefG97b3tvWmt7b1pre29aa3tvWmt7b1pre29aa3tvWmtba1tre29aa1trWmtba1prW2taa3tvW2t7b1pre29aa3prWWdaaxhjfG8aY5dSkDUtKbE5uFZcb51zOWdZa5pve29bb3tvWmt7b3tvem9Za3pvWmt7b1trfG9ba3xvW2t7b1prOWc5Z1prWmtaazlnWms6Z1prOmdba1prW2taa1trWmt7b1pre29aa1prOWdaazlnWms5Z1prOWdaazlnWmtaa1prWmtaa1prWmtaa1prAAB6b3tvem97b3pve297b3tvWmt7b3tvm3N6b3tvem97b1pre29aa3tvWmt7b3tve29aa3tve297b3tve297b3tve297b3tve297b3tve297b1prWmtaa1prWmt7b1prWmt7b3tve297b1pre297b3tvWmt7b3tve29aa1prWmt7b1pre29aa3pvWmtaa1pre29aa1trW2sZY8856ByuNTlne297b3tve297b3tvWmt7b1pre29aa3tvWmt7b1pre29aa3tvWmt7b1prWms5Z1lrOGdaa1prWms5Z3tve29aa1prWmtaa1trWmtba1prWmtaa3pvWmt7b1pre29ba3tvOmc6ZxlnWmtba3xvW2taa1prnHM5Zzpn11qOMUwp+V5aa1prWmt7b1prWmtaa1prOWdaa1pre29aa3tvWmtaa1prWmtaa3tvWmt7b1pre29aa3tve297b1prWmtaa3tvOWdaa1prWms6Zztr+V65WsscLilOLRtjXW9ba1pre29aa3tvWmt7b1prWmtaa1prWWtaa1prWmtaa1prWmtba1prWmtaa1prWmtaa1prWms5Z1prOmdaazpnWmtaa1prWmtaa1prWms5Z1prWmtaa1prWms5Z1prOWdaa1prWms5Z1prWmtaazlnWmtaa1prOWcAAHtve297b3tve297b5tze297b3tvnHN7b5tze297b3tve297b3tve297b3tve297b3tve297b3tve297b3tve297b3tve297b3tve2+cc3tve29aa3tvWmt7b3tve297b5xze297b3tve297b3tve29aa1prnHN7b5xze297b3tve29aa3tvWmt7b1pre297b3tvWmtaaxhjtVZSStZae297b3tve297b3tve297b1pre29aa3tve297b1pre297b3tvWmt7b3tve29aa1prWmtaa1pre29aa1pre2+cc1pre29aa3tvWmt7b1pre29aa3tvWmt7b1pre29aa3tvWmtaazlnWmtaa3tve297b1pre2+cc3tvWmtaa3NOc057b3tvWmt7b1pre29aa3tvWmtaa1pre297b3tvWmt7b1prWmtaa3tvWmt7b1pre29aa1prWmt7b1pre29aa1prWmtaa1prWmtaa1trW2s7Z9le0j3rILE50j1da31vfG9aa3tvWmt7b1pre29aa3tvWmtaa1pre29aa1prWmt7b1prWmtaa1prWmtaa1prWmtaa1prWmtaa1prWmtaa1prWmtaa1prWmtaa1prWmt7b1prWmtaa1prWmtaa1prWmtaa1prWmtaa1prWmtaa1prWmtaawAAem97b3pve297b3tve297b3tvm3N7b5tze297b3pve297b3tvWmt7b1pre29aa3tvWmt7b1pre297b3tve297b1pre29aa3tve297b3tve297b3tvWmt7b1pre29aa3tve297b3tve29aa3tvWmt7bzlne297b5xznHOcc1pre29aa3tvWmt7b1prWmtaa3tve297bzlnOWcYY1pre297b3tve29aa3tve297b1pre29aa3tvWmt7b1pre29aa3tvWmt7b1pre29aa1prOWdaa1pre29aa1prWmt7b3tvWmtaa1prWmtaa1prWmtaa1prWmt7b1prWmtaa1prWmtaa1prWms5Z1prWmtaa1pre285Z3tvWmtaa1prOWc5Z5xzWmt7b1prWmtaa1prWmt7b1prWmtaa3tvWmt7b1prWmtaa1prWmtaa1pre29aa1prWmtaa1prWmtaa1prOWdaazlnWmtZa1prWmt7bztnG2eYVtI9Ti1vLTRKnXNba3tvWmt7b1prWmtaa3tvWmtaa1prWmtaa1prWmtaa1prWmtaa1prWmtaa1prWmtaa1prOWdaazlnWms5Z1prOWdaa1prWms5Z1prWmtaa1prWmtaa1prOWdaazlnWms5Z1prWmtaazlnWmtaa1prOWdaa1prAAB7b3tve297b5tze2+bc3tvm3N7b5xze2+bc3tve297b3tve297b1pre297b3tve297b3tve297b3tve297b3tve297b3tve297b3tvnHN7b3tve297b1prWmtaa3tve2+cc3tve297b3tvWmt7b1prWmt7b5xznHOcc3tve29aa3tve297b1pre29aa3tve297b3tvnHNaa1prWmt7b1pre297b3tve297b3tve29aa3tve297b1pre297b3tvWmt7b3tve29aa3tvWmtaa1prWmt7b3tvWmt7b3tve29aa3tvWmt7b1pre29aa3tvWmt7b3tve29aa3tvWmtaa1pre29aa3tvWmtaa1pre297b3tvWmt7b1prWmtaa3tvWmt7b3tve29aa1prWmt7b3tve29aa3tvWmt7b1pre29aa3tvWmt7b1pre29aa3tvWmtaa1pre29aa3tvWmtaa1prWmtaa1prWWt7b1trW2s7Zxtn+l5vMW4tjzW3Vpxze297b1pre29aa3tvWmt7b1pre29aa1prWmt7b1prWmtaa3tvWmtaa1prWmtaa1prWmtaa1prWmtaa1prWmtaa1prWmtaa1prWmtaa1prWmtaa1prWmtaazlnWmtaa1prOWdaa1prWmtaa1prWmtaa1prWmsAAHpve296b3tvem97b3tve29aa3tve297b1pre29aa3tvWmt7b1pre29aa3tve297b1pre29aa3tvWmt7b3tve29aa3tvWmt7b3tve297b3tvWmt7b1pre29aa1prWmt7b3tve297b3tvWmtaa1pre297b3tve2+cc3tve29aa3tvWmt7b3tve29aa1prWmt7b1pre297b3tvWmtaa3tvnHNaa3tvWmt7b3tve29aa3tvWmt7b1pre29aa3tvWmt7b1pre29aa3tvWmtaa1prWmtaa1prWmtaa1prWmtaa1prWmtaa1pre29aa1prWmt7b3tve29aa3tvWmtaa1prWmtaa3tvWmtaazlnWmtaa3tve29aa1pre285Z1prWmtaa1pre29aa1prWmtaa1pre29aa1prWmt7b1prWmtaa1prWmtaa1pre29aa1prWmtaa1pre29aa3tvWmtaa1pre29aa1prWWtaa1lrWms6a1trG2cbZ1VKbjHRPVNKnHNZa1prWmtaa1prWmtaa1pre29aa1prWmtaa1prWmtaa1prWmtaa1prWmtaa1prWmtaazlnWms5Z1prOWdaazlnWms5Z1prOWdaazlnWmtaa1prOWdaazlnWms5Z1prOWdaazlnWmtaa1prOWdaa1prWms5ZwAAe297b3tve297b3tvm3N7b3tvem+bc3tve29aa3tvem97b3tve297b3tve297b3tve29aa3tve297b3tve297b3tve297b3tve297b3tve297b3tvnHN7b3tvWmt7b3tvnHN7b3tve297b1pre29aa5xze2+cc3tve29aa3tve297b3tve297b3tvWmt7b3tve29aa1pre2+cc3tvnHOcc3tvWmt7b3tve297b3tvWmt7b1pre297b3tvWmt7b3tve29aa3tvWmtaa1pre29aa3tvWmt7b1prWmtaa1prWmtaa1pre297b1prWmt7b3tve297b3tve297b1pre29aa3tve297b1prWmtaa3tve297b1pre297b3tvWmt7b3tve29aa3tvWmt7b1pre297b3tvWmt7b1pre29aa3tvWmt7b1pre29aa3tvWmt7b1pre29aa3tve297b1pre29aa3pvWWtaa1lremtZZ1prW2tca/piG2dUSpZSOmdZa1prWmtaa3tvWmt7b1pre29aa1prWmt7b1prWmtaa3tvWmt7b1pre29aa1prWmtaa1prWms5Z1prWmtaa1prWmtaa1prOWdaa1prWmtaa1prWmtaa1prWmtaa1prWmtaa1prWmtaa1prWmtaa1prWmtaa1prAAB6b3tvem97b3tve297b3tvWmt7b3tve296b3tvWmt7b3tve29aa3tvWmt7b1pre29aa3tvWmt7b1pre29aa3tve297b1pre29aa3tvWmt7b1pre297b5xze297b1pre297b3tvWmt7b1pre29aa3tve297b3tve29aa3tvWmt7b1pre29aa3tvWmt7b1pre297b3tvWmtaa3tvnHNaa1prWmt7b1pre297b3tvWmt7b1pre29aa3tvWmt7b1pre29aa3tvWmtaa1prWmtaa1prWmt7b1prWmtaa1prOWdaa1pre297b3tvWmtaa1pre29aa3tvWmt7b1pre29aa3tvWmt7b1pre29aa3tvWmt7bzlnWmtaa1prWmt7b1pre29aa3tvWmt7b1pre29aa3tvWmt7b1prWmtaa1prWmtaa1pre29aa3tvWmtaa1prWmtaa3tvWmt7b1prWmtaa1prWmtZa1lneW9Za1lrOWdbb1xrW2saZ1tr+F7eezhjem9Za1prWmtaa1prWmtaa1prWmtaa1prWmtaa1prWmtaa1prWmtaa1prWmtaazlnWms5Z1prOWdaazlnWms5Z1prOWdaazlnWms5Z1prOWdaa1prWmtaa1prWmtaa1prWmtaa1prOWdaa1prWms5Z1prOWcAAHtve297b3tvm3N7b5tze297b3tvnHN7b5tze297b3tve297b3tvWmt7b3tve297b3tvWmt7b1pre297b3tve2+cc3tve297b3tve297b1prWmt7b5xze297b1prWmtaa3tve297b1pre29aa3tvWmt7b3tve297b3tve297b1pre297b3tve297b1pre297b1pre2+cc3tve2+cc5xzWmt7b1pre29aa3tve297b1pre297b3tvWmt7b3tve29aa3tvWmt7b1prWmtaa3tvWmt7b3tve29aa3tvWmtaa1prWmt7b3tve297b1pre297b3tvWmt7b1pre29aa3tvWmt7b3tve297b3tve297b1prWmucc3tvOWdaa3tvWms5Z3tvWmt7b3tve297b3tvWmt7b1pre29aa3tvWmt7b1pre29aa3tvWmt7b1prWmtaa1prWmt7b1pre29aa1prWmtaa1lrWWt5b3pvWWt6a3tvW2tcbztrOmd8b/dem3NZa1prWmtaa1pre29aa3tvWmt7b1prWmtaa3tvWmtaa1pre29aa3tvWmtaa1prWms5Z1prOWdaazlnWmtaa1prOWdaa1prWms5Z1prWmtaa1prWmtaa3tvWmt7b1prWmtaa1prWmtaa1prWmtaa1prWmtaawAAe297b3tve296b3tve297b3tve297b3tvem97b3tvm3Naa3tvWmt7b1pre29aa3tve297b1pre297b3tvWmtaa1pre297b3tvWmt7b1pre29aa3tvWmt7b1pre29aa3tvWmtaa1prWmtaa3tve297b3tve297b3tve297b1pre29aa3tvWmt7b1pre29aa3tvWmt7b1pre29aa3tve297b1pre29aa3tvWmt7b1pre29aa1prWmt7b1pre29aa3tvWmt7b1pre29aa1prWmt7b1prWmtaa3tvWmtaa1prWmtaa3tve297b1prWmtaa3tvWmt7b1pre29aa3tvWmt7b1prWmtaa1prWmtaa1pre29aa1prWmtaazlnWmtaa3tvWmt7b3tve29aa3tvWmtaa1pre29aa1prWmtaa1pre29aa3tvWmt7b1prWmtaa1prWmtaa1prWmtaa1prWmtaazlnWmtZa3lrWGtZa1lrWmtaa1trO2dba1prWmtZa3pvWmt7b1prWms5Z1prWmtaa1prWmtaa1prWmtaa1prWmtaa1prWmtaazlnWms5Z1prOWc5ZzlnWms5Z1prWmtaazlnWms5ZzlnOWdaa1prWmtaa1prWmtaa1prWmtaa1prOWdaa1prWms5Z1prWmtaazlnAACbc3tvm3N7b3tve2+cc3tvm3N7b5tze297b3tvm3N7b3tve297b3tve297b3tve297b3tve29aa3tvWmt7b1pre297b3tve297b3tve29aa3tve297b3tve29aa3tvWmt7b1prWmtaa3tve297b3tve297b3tve297b3tve297b3tve297b3tve297b3tve297b1pre297b3tve297b3tve29aa3tve297b3tve29aa3tvWmt7b1pre29aa3tve297b1pre29aa3tvWmt7b1pre29aa3tvWmt7b1pre29aa3tve2+cc3tvWmtaa3tve297b1pre29aa3tvWmt7b1prWmtaa3tvWmt7b1pre29aa1prWmt7b1prWmtaa3tvWmt7b3tve29aa1prWmt7b1pre29aa3tvWmtaa1pre29aa3tvWmt7b1pre29aa3tvWmt7b1pre29aa1prWmtaa1prWmtaa3pvWWt5a1lremtZa3tvW2tba1prW2taa3pvWWt6b1pre29aa1prWmtaa1pre29aa3tvWmt7b1pre29aa1prWmtaa1prWmtaa1prWmtaazlnWmtaa1prWmtaa1prWmtaa1prOWdaazlnWmtaa1prWmtaa1prWmtaa1prWmtaa1prWmtaa1prWmtaa1prWmsAAHpve296b3tve297b3tvm3N7b3tve297b3tve297b3tvWmt7b1pre29aa3tvWmt7b3tve29aa3tvWmt7b1pre29aa3tvWmt7b3tve29aa3tve297b3tve297b3tvWmt7b1pre29aa1prWmt7b1pre297b3tve297b3tve29aa3tve297b1pre29aa3tvWmtaa1pre29aa3tve297b1pre29aa3tvWmt7b3tve29aa3tvWmt7b1pre29aa3tvWmt7b1pre29aa1prWmt7b1pre297b3tvWmtaa1prWmtaa1prWmt7b1pre29aa1prWmt7b1prWmtaa1prWmtaa1prWmtaa1prWmtaa1pre29aa1prWmtaa1prWmtaa1prWmt7b3tve29aa1prWmt7b1prWmtaa1prWmtaa1prWmtaa1prWmt7b1prWmtaa1prWmtaa1pre29aa1prWmtaa1prWmtaa1prWWtZa1lreWtYa1prWmtbazpnWmtaa3prWWtZa1lrWmtaa1prWmtaa1prWmtaa3tvWmtaa1pre29aa1prWmtaazlnWms5Z1prOWdaazlnWms5Z1prWmtaazlnWms5Z1prOWc5ZzlnWms5Z1prWmtaazlnWmtaa1prOWdaa1prWms5Z1prWmtaazlnWms5ZwAAe297b3tvem+bc3tvnHN7b5tze2+bc3tvnHN7b5tze297b3tve297b3tve297b3tvnHN7b3tve2+cc3tvnHN7b3tve297b3tve297b3tvWmt7b3tve297b3tve297b3tve297b3tvWmt7b3tve29aa3tve297b3tve297b3tvWmt7b3tve297b3tvWmt7b1pre29aa3tve297b3tve29aa3tve297b3tve297b3tve297b1pre29aa3tvWmt7b1pre29aa3tvWmt7b1pre297b5xze297b1pre29aa3tvWmtaa1pre29aa3tvWmt7b1pre29aa1prWmt7b1prWmtaa3tvWmt7b1pre29aa3tvWmtaa1prWmtaa1prWmt7b3tve297b3tvWmt7b3tve285Z1prWmtaa1pre29aa1prWmt7b1pre29aa3tvWmt7b1pre29aa3tvWmt7b1prWmtaa1trWmtaa1lreW9Za3lrWWt7b1trW2taa3tvWmtZa1lrWmtaa1prWmt7b1prWmtaa3tvWmt7b1pre29aa3tvWmt7b1prWmtaa1prWmtaa1prWmtaa1prWmtaa1prWmtaa1prWmtaazlnWmtaa1prWmtaa1prWmtaa1prWmtaa1prWmtaa1prWmtaa1prWmtaa1prAABaa3tvWmt7b3pve297b5xzem97b3tvm3N7b3tve297b1pre29aa3tvWmt7b1pre29aa3tve2+cc5xznHN7b3tvWmt7b1pre29aa3tvWmt7b3tve297b3tve297b1pre29aa3tvWmt7b1pre29aa3tvWmt7b1pre29aa3tvWmt7b1pre297b3tvWmtaa1prWmtaa1prWmt7b1pre29aa3tvWmt7b3tve29aa3tvWmt7b1pre29aa3tvWmt7b1pre29aa1prWmtaa1pre29aa3tve297b1prWmtaa1prWmtaa1prWmtaa3tvWmtaa1pre29aa1prWmtaa1prWmtaa1prWmtaa1pre29aa1prWmtaazlnWmtaa1prWmtaa1pre29aa3tvWmtaa1pre29aazlnOWdaa1prWmtaa1prWmtaa1prWmtaa1prWmtaa1pre29aa3tvWmt7b1prWmtaa1trWmtba1premtZa3lrWWtaa1prW2taa1trWmtaa1lrWWs5Z1prWmtaa1prWmtaa1prWmtaa1prWmtaa1prWmtaa1prWmtaa1prOWdaazlnWms5Z1prWmtaa1prWmtaa1prOWdaazlnWms5Z1prWmtaazlnWmtaa1prOWdaa1prWms5Z1prWmtaazlnWmtaa1prOWcAAHtvem97b3tve297b5tze297b3tvnHN7b5xze2+bc3tve297b3tve297b3tve297b3tvWmt7b3tvnHN7b3tvWmt7b1pre297b3tve297b3tve297b3tve297b3tve297b3tve297b3tve29aa3tve297b1pre297b3tve297b3tve297b3tve297b1pre29aa3tvWmt7b3tve29aa3tve297b1pre297b3tvWmt7b1pre29aa3tvWmt7b1pre29aa3tvWmt7b1pre29aa3tve297b1pre29aa1prWmt7b1pre29aa3tvWmt7b1pre29aa3tvWmt7b1pre29aa3tvWmt7b1pre29aa3tvWmt7b1prWmtaa3tvWmtaa1pre297b3tvWmt7b1pre297b1prGGNaa1pre29aa3tvWmt7b1pre29aa3tvWmt7b1pre29aa3tvWmt7b1pre29aa3tvWmtba1tre29aa3pvWWt6b1lre29aa1trW2t7b1premtZa1prWmtaa1prWmtaa1prWmtaa1pre29aa1prWmt7b1prWmtaa1prWmtaa1prWmtaa1prWmtaa1prWmtaa1prWmtaazlnWmtaa1prWmtaa1prWmtaa1prWmtaa1prWmtaa1prWmtaa1prWmtaa1prWmtaawAAem97b1pre296b3tvem97b3pve297b5tze2+bc3pve29aa3tvWmt7b1pre29aa3tvWmt7b1pre297b3tve297b1pre29aa3tve297b1pre29aa3tvWmt7b1pre29aa1prWmt7b3tve29aa3tvWmt7b1pre29aa3tvWmt7b1pre29aa3tvWmt7b1pre29aa1prWmt7b1pre29aa3tvWmt7b1pre29aa3tvWmt7b1prWmtaa3tvWmt7b1pre29aa1prWmt7b1prWmtaa3tvWmt7b1prWms5Z1prWmtaa1prWmtaa3tvWmtaa1prWmtaa1prWmt7b1prWmtaa3tvWmtaa1pre29aa1prWmtaa1prWmtaa1prWmtaa1prWmtaa3tvWmt7b1prWmtaa3tvOWcYY1prWmtaa3tve297b1pre29aa1prWmtaa1pre29aa3tvWmt7b1pre29aa3tvWmtba1trXGtaa1prWWt5b1lrWmtaa1trOmtba1prem9Za1lrOWdaazlnWms5Z1prWmtaa1prWmtaa1prWmtaa1prWmtaa1prOWdaazlnWms5Z1prWmtaa1prWmtaa1prOWdaazlnWms5Z1prOWdaazlnWms5Z1prOWdaazlnWms5Z1prWmtaazlnWmtaa1prOWdaazlnAACbc3tve296b3tve297b3tve297b5tze2+cc3tve296b3tve297b3tve297b3tve2+cc3tve29aa3tve2+cc3tve29aa3tve297b3tve297b3tve297b3tve29aa3tvWmt7b3tvnHN7b3tvWmt7b1pre29aa3tve297b3tve297b3tvWmt7b1pre297b3tvWmt7b1pre29aa3tve297b1pre29aa3tvWmt7b1pre29aa3tve297b1pre29aa3tvWmt7b3tve29aa3tvWmt7b1prWmtaa1prWmt7b1prWmtaa3tvWmt7b1pre29aa1prOWd7b1pre29aa3tvWmt7b1pre29aa3tvWmt7b1prWmtaa3tvWmt7b1prWmtaa1prWmt7b1prWms5Z3tve29aaxhjWmtaa3tve2+cc3tve29aa3tvWmt7b1pre29aa3tvWmt7b3tve29aa3tvWmt7b1prW29ba3tvWmt6b1lrem9Za1prWmtba1tre296b3pvWWtaa1prWms5Z1prWmtaa1prWmtaa1prWmtaa1prWmtaa3tvWmtaa1prWmtaa1prWmtaa1prWmtaa3tvWmtaa1prWms5Z1prWmtaa1prWmtaa1prWmtaa1prWmtaa1prWmtaa1prWmtaa1prWmtaa1prWmsAAHtve297b3tvWmt7b3tve297b3tve297b3tve297b5xzWmt7b1pre29aa3tvWmt7b1pre297b3tve297b3tve29aa3tve297b3tve297b3tvWmt7b1pre29aa1prWmtaa1pre297b3tve297b1pre297b3tvWmt7b1pre297b3tvWmtaa3tve297b3tvWmtaa1prWmtaa3tvWmt7b1pre29aa1prWmtaa1prWmtaa1prWmtaa1pre29aa3tvWmt7b1prWmtaa3tvWmt7b1pre285Z1prWmt7b1prWmtaa1prWmtaa1pre29aa1prWmtaa1prWmtaa1prWmtaa1prWmtaa1prWmt7b1prWmtaa1prWmtaa1prWmtaa1prWmt7b1prWmtaa1prWmtaa1pre29aa3tvWmt7b1prWmtaa1prWmtaa1pre29aa3tvWmt7b1pre29aa3tvWmtaa1prWmtaa1trW2t7b1prem9aa1prWmtaazlnWmtaa3tvWmtaa1prWmtaa1prWmtaa1prWmtaa1prWmtaazlnWms5Z1prWmtaa1prWmtaa1prWmtaazlnWmtaa3tvOWdaazlnWms5Z1prOWdaazlnOWc5Z1prOWdaazlnWms5Z1prOWdaa1prWmtaa1prOWdaa1prWmtaawAAe297b3tve297b3tve297b3tve2+cc3tvnHN7b5xze297b1pre29aa3tvWmt7b3tve297b3tve297b3tve297b3tve297b3tve297b3tve297b3tve297b3tvWmt7b1pre297b3tve297b3tve29aa3tve297b3tve297b3tve29aa1pre297b3tve297b1pre29aa3tve297b3tve297b3tvWmt7b1pre29aa3tvWmt7b1pre29aa3tvWmt7b3tve29aa3tve297b1pre29aa1prWmt7b1prWmtaa3tvWmt7b1pre29aa3tvWmt7b1pre29aa3tvWmtaa1prWmtaa3tvWmt7b1pre29aa3tvWmt7b1pre29aa1prWmt7b1pre29aa3tvWmtaa1pre29aa3tve297b3tve29aa3tvWmtaa1pre29aa3tvWmt7b3tve29aa3tvWmt7b1pre29aa3tvWmt7b3tve29aa3tvWmtaa1prWmtaa3tvWmt7b1prWmtaa1prWmtaa1prWmtaa1prWmtaa1prWmtaa1prWmtaa1prWmtaa1prWmtaa1prWmtaa3tvWmtaazlnWmtaa1prWmtaazlnWms5Z1prOWdaa1prWmtaa1prWmtaa1prWmtaa1prWmtaa1prWmtaa1prAABaa3tvWmt7b3tve297b3tve297b3tve297b3tve297b3tve29aa3tvWmt7b1pre29aa3tvWmt7b1pre29aa3tve297b1pre297b3tvWmt7b1pre29aa3tve297b1pre29aa3tvWmt7b1pre29aa3tve297b1pre29aa3tvWmt7b1pre29aa3tve297b1prWmtaa3tvWmt7b1pre29aa3tvWmtaa1prWmtaa1prWmtaa1pre29aa3tvWmt7b1pre29aa3tvWmt7b1pre29aa1prWmtaa1prWmtaa1prWmtaa1prWmtaa1prWmt7b1prWmtaa3tvWmtaa1prWmtaa1prWmtaa1prWmtaa3tvWmt7b1prWmtaa1prWmtaa1prWmtaa1prWmtaa1prWmtaa1prWmt7b1pre29aa3tvWmt7b1prWmtaa1prWmt7b1pre29aa3tvWmtaa1prWmtaa1prWmt7b1pre29aa3tvWmtaa1prWms5Z1prWmt7b1prWmtaa1prWmtaa1prWmtaa1prWmtaazlnWms5Z1prOWdaa1prWmtaa1prWmtaa1prWms5Z1prWmtaa1prWms5Z1prWmtaazlnWms5Z1prOWdaazlnWms5Z1prOWdaazlnWmtaa1prOWdaa1prWmtaa1prWmsAAHtve297b3tve297b5xze297b3tve297b5xze2+cc3tve297b3tvWmt7b3tve297b3tvWmt7b1pre297b3tve297b3tve297b3tve297b3tve297b3tve2+cc3tve297b3tvWmt7b1pre297b3tvWmt7b3tve297b3tve297b3tve29aa3tve297b3tve29aa3tvWmt7b1pre297b3tvWmt7b1pre29aa3tvWmt7b1pre29aa3tvWmt7b1pre29aa3tvWmt7b1pre29aa3tvWmt7b1pre29aa3tvWmtaa1pre29aa3tvWmt7b1pre29aa3tvWmt7b1pre29aa1prWmtaa1prWmtaa3tvWmt7b1pre29aa1prWmt7b1pre29aa3tvWmtaa1pre29aa3tvWmt7b1pre29aa3tve297b3tve29aa3tvWmt7b1pre29aa3tvWmt7b1pre29aa3tvWmt7b1pre29aa3tvWmtaa1pre29aa3tvWmt7b1prWmtaa1prWmtaa1prWmtaa1prWmt7b1prWmtaa1prWmtaa1prWmtaa1prWmtaa1prWmtaa1prWmtaa1prWmtaa1prWmtaa1prWms5Z1prWmtaa1prWmtaa1prWmtaa1prWmtaa1prWmtaa1prWmtaa1prWmtaawAAWmt7b1pre297b3tve2+cc1pre297b3tve297b3tve297b3tve297b1pre29aa3tvWmt7b1pre29aa3tvWmt7b3tve297b3tvWmt7b1pre29aa3tvWmt7b3tvnHN7b3tvWmtaa1pre29aa3tvWmt7b1pre29aa3tvWmt7b1pre29aa3tvWmt7b1pre29aa3tvWmtaa1pre29aa3tvWmtaa1prWmtaa1prWmtaa1prWmtaa3tvWmt7b1pre29aa3tvWmtaa1pre29aa3tvWmt7b1pre29aa3tvWmtaa1pre29aa1prWmt7b1prWmtaa1prWmt7b1pre29aa1prWmtaa1prWmtaa1prWmtaa1pre29aa1prWmtaa1prWmtaa1prWmtaa1prWmtaa1prWmt7bzlnWmtaa1prWmt7b1pre29aa1prWmtaa1prWmtaa3tvWmtaa1prWmtaa1prWmt7b1prWmtaa3tvWmtaa1prWmtaa1prWmtaa1prWmtaa1prWmtaa1prWmtaa1prWmtaa1prWmtaa1prOWdaazlnWmtaa1prWmtaa1prWmtaa1prOWdaazlnWms5Z1prWmtaazlnWms5Z1prOWdaazlnWms5Z1prOWdaazlnWms5Z1prOWdaazlnWms5Z1prWmtaazlnAAB7b3tve297b3tve2+cc3tve297b3tve297b3tvnHN7b5xze297b3tve29aa3tve297b1pre297b3tve297b3tve297b3tve297b1pre29aa3tvWmt7b3tvnHN7b5xze297b1pre29aa3tvWmt7b3tve297b3tve297b3tve297b3tvWmt7b3tve29aa3tvWmt7b1pre29aa3tvWmt7b1prWmtaa3tvWmtaa1pre29aa3tvWmt7b1pre29aa3tvWmt7b1pre297b3tvWmt7b1pre297b3tvWmtaa1pre297b3tvWmt7b1pre29aa3tvWmt7b1pre29aa3tvWmt7b1pre29aa3tvWmt7b1pre29aa3tvWmtaa1prWmtaa3tvWmtaa1prWmtaa1prWmt7b1prWmtaa1prWmt7b1pre29aa3tvWmt7b1pre29aa3tvWmt7b1pre29aa3tvWmt7b1pre29aa3tvWmtaa1pre29aa3tvWmt7b1prWmtaa1prWmtaa1prWmtaa1prWmtaa1prWmtaa1prWmtaa1prWmtaa1prWmtaa1prWmtaa1prWmtaa1prWms5Z1prWmtaa1prWmtaa1prWmtaa1prWmtaa1prWmtaa1prWmtaa1prWmtaa1prWmtaa1prWmtaa1prWmsAAHtve29aa3tve297b3tve297b3tvWmt7b3tve297b3tve297b3tve29aa3tvWmt7b1pre29aa3tve297b3tve297b3tvWmt7b1pre29aa1prWmtaa1pre297b5xze297b3tve29aa3tvWmt7b1pre29aa3tvWmt7b3tve29aa3tvWmt7b1pre29aa3tvWmt7b1pre29aa3tvWmtaa1prWmtaa1prWmtaa1prWmtaa1prWmt7b1pre29aa3tvWmtaa1pre29aa3tvWmt7b1prWmt7b3tvWmtaa1prWmtaa3tvWmtaa1prWmtaa3tvWmtaa1pre29aa3tvWmt7b1prWmtaa3tvWmtaa1prWmtaa1prWmtaa1prWmtaa1prWmtaa1prWms5Z1prWmtaa1pre29aa1prWmtaa1pre29aa3tvWmtaa1prWmtaa1prWmtaa1prWmtaa1prWmt7b1pre29aa3tvWmtaa1prWmtaa1prWmtaa1prWmtaa1prWmtaa1prWmtaa1prWmtaa1prWmtaa1prOWdaazlnWms5Z1prWmtaa1prWmtaa1prWmtaa1prWms5ZzlnWmtaa1prWms5Z1prOWdaazlnWmtaa1prOWdaazlnWms5Z1prOWdaa1prWms5Z1prOWdaazlnWms5ZwAAe297b3tve297b3tve297b3tve297b3tve297b3tve2+cc3tve297b3tve297b3tve297b3tve297b3tve297b3tve297b3tve29aa3tvWmt7b1prWmtaa5xznHOcc3tvnHN7b3tvWmt7b3tve297b3tve297b3tve297b3tvWmt7b3tve29aa3tve297b1pre29aa3tvWmt7b1prWmtaa1prWmtaa1prWmtaa1prWmt7b3tve29aa3tvWmt7b1pre29aa3tvWmt7b1pre29aa3tve297b1prWmtaa3tvWmt7b1pre29aa3tvWmt7b1pre297b3tvWmt7b1pre29aa3tve297b1pre29aa1prWmt7b1prWmtaa1prWmtaa1prWmtaa1prWmtaa1pre29aa3tvWmt7b1pre29aa3tvWmt7b1pre29aa3tvWmtaa1pre29aa3tvWmt7b1pre29aa3tvWmt7b1prWmtaa1prWmtaa1pre29aa1prWmtaa1prWmtaa1prWmtaa1prWmtaa3tvWmtaa1prWmtaa1prWmtaa1prWmtaa1prWmtaa1pre29aa1prOWdaa1pre29aa1prWmtaazlnWmtaa1prWmtaa1prWmtaa1prWmtaa1prWmtaa1prOWdaazlnWms5Z1prAABaa3tve297b3tve297b3tvWmt7b1pre29aa3tve297b3tve297b3tve297b1pre297b3tve297b3tvnHN7b3tve297b3tve29aa3tvWmt7b3tve29aa3tve2+cc3tve297b3tve297b1pre29aa3tvWmt7b3tve297b3tve297b1pre29aa3tvWmt7b3tve29aa3tvWmt7b1prWmtaa3tvWmtaazlne29aa1prWmt7b1prWmtaa1prWmtaa1pre29aa3tve297b1pre29aa3tvWmt7b1pre29aa3tvWmt7b1pre29aa3tvWmtaa1pre29aa3tvWmt7b1prWmtaa3tvWmt7b1pre29aa1prWmt7b1prWmtaa1prWmtaa1prWmtaa1prWmtaa1prWmtaa3tvWmtaa1prWmtaa1prWmtaa1prWmtaa1prWmtaa1prWmtaa1prWmtaazlnWmtaa1prWmtaazlnWms5Z1prWmt7bzlnWmtaa1prWmtaa1prWmtaa1prWmtaa1prWmtaa1prWmtaazlnWms5Z1prWmtaa1prWms5Z1prOWdaazlnWms5Z1prOWdaazlnWmtaa1prOWdaa1prWms5Z1prWmtaazlnWms5Z1prOWdaazlnWms5Z1prOWdaazlnWms5Z1prOWcAAHtve2+cc3tvnHN7b5xze297b3tve297b3tve2+cc3tve297b5xze297b3tve29aa3tve297b3tvnHN7b5xze297b3tve297b3tvWmt7b3tve297b3tve2+cc3tvnHN7b5xze2+cc3tve297b3tve297b1pre297b3tve297b3tve297b3tve297b3tve297b3tvWmt7b1prWmtaa3tvWmt7b1prWmtaa3tvWmtaa3tvWmtaa3tvWmt7b1pre29aa3tvWmt7b3tve297b3tve297b1pre29aa3tvWmt7b1pre29aa3tvWmt7b1pre29aa3tvWmt7b1pre29aa3tvWmt7b1pre29aa3tvWmt7b1prWmtaa3tvWmtaa1pre29aa1prWmtaa1prWmtaa3tvWmtaa1pre29aa3tvWmt7b1prWmtaa3tvWmtaa1pre29aa1prWmtaa1prWmtaa3tvWmtaa1prWmtaa1prWmt7b1prWmtaa3tvWmt7b1pre29aa3tvWmt7b1prWmtaa3tvWmt7b1prWmtaa1prWmt7b1prWmtaa1prWmtaazlnWmtaa1prOWdaa1prWmtaa1prWmtaa1prWmtaa1prWmtaa1prWmtaa1prWmtaazlnWms5Z1prOWdaazlnWms5Z1prOWdaawAAe297b3tve297b5xze297b3tve297b3tve297b3tvnHN7b3tve297b3tve29aa3tve297b1pre297b3tve297b3tve29aa3tvWmt7b1pre297b3tvWmt7b3tve297b3tve297b3tve297b3tvWmt7b1pre29aa3tvWmt7b1pre29aa3tvWmt7b1pre29aa3tvWmt7b1prWmtaa1prWmtaa1prWms5Z1prWmtaa1pre29aa1prWmtaa1pre29aa1prWmt7b1pre29aa3tvWmt7b1pre29aa1prWmt7b1prWmtaa3tvWmtaa1pre29aa3tvWmt7b1prWmtaa3tvWmt7b1pre29aa1prWmtaa1prWmtaa1prWmtaa1prWmtaa1prWmtaa1prWmtaa1prWmtaa1prWmtaa1prWmtaa1prWmtaa1prWmtaa1prWmtaa1prWmtaa1prWmtaa1prWmtaa1prWms5Z1prWmtaa1prWmtaa1prWmtaa1prWmtaa1prWmtaa1prWmtaa1prWmtaa1prWmtaa1prOWdaa1prWmtaa1prOWdaazlnWms5Z1prOWdaazlnWms5Z1prOWdaa1prWms5Z1prWmtaazlnWmtaa1prOWdaazlnWms5Z1prOWdaazlnWms5Z1prOWc5ZzlnAAB7b3tve297b5xze297b3tvnHN7b3tve297b3tve297b3tve297b3tve297b3tvWmt7b3tve29aa3tve297b1pre297b3tve297b3tve297b3tve297b3tve297b3tve297b3tve297b3tve297b1pre29aa3tvWmt7b1pre29aa3tve297b1pre297b3tvWmt7b1pre29aa3tvWmtaa1pre29aa1prWmt7b1prWmtaa1prWmtaa1pre29aa3tvWmt7b1pre29aa3tve297b1pre29aa3tvWmt7b1pre29aa3tvWmt7b1pre29aa3tvWmt7b1pre29aa3tvWmt7b1pre297b3tvWmt7b1prWmtaa1prWmtaa1pre29aa3tvWmtaa1prWmtaa1prWmtaa1prWmtaa3tvWmt7b1prWmtaa1prWmtaa1pre29aa3tvWmtaa1prWmtaa3tvWmtaa1prWmtaa1prWmtaa1prWmtaa1prWmtaa1pre29aa3tvWmtaa1prWmtaa1prWmt7b1pre29aa1prWmtaa1pre29aa1prWmtaazlnWms5Z1prOWdaazlnWms5Z1prWmtaa1prWmtaa1prWmtaa1prWmtaa1prWmtaa1prWmtaa1prOWdaa1prWms5Z1prOWdaazlnWmsAAFpre29aa3tve297b3tve297b3tvWmt7b1pre29aa3tvWmt7b3tve297b3tvWmt7b3tve29aa3tvWmt7b1pre29aa3tvWmt7b1pre297b3tvWmt7b3tve29aa3tve297b1pre29aa3tvWmt7b1pre29aa3tvWmt7b1prWmtaa3tvWmt7b1pre29aa3tvWmt7b1pre29aa3tvWmt7b1prWmtaa1prWmtaa1prWmtaa1prWmtaa1prWmtaa1prWmtaa1prWmtaa3tvWmt7b1prWmtaa1prWmtaa1prWmtaa1prWmtaa1prWmtaa1prWmt7b1pre29aa3tvWmt7b1pre29aa3tvWmtaa1prWmtaa1prWmtaa1prWmtaa1prWmtaa1prWmtaa1prWmtaa1prWmtaa1prWmtaa1prWmtaa1prWmtaa1prWmtaa1prWmtaa1prWmtaa3tvWmtaa1prWms5Z1prWmtaa1prWmtaa1prOWdaa1prWmtaa1prWmtaazlnWmtaa1prOWdaa1pre29aa1prWmtaa1prWmtaa1prWmtaazlnWms5Z1prOWdaazlnWms5Z1prOWdaa1prWms5Z1prWmtaazlnWmtaa1prOWdaazlnWms5Z1prOWdaazlnWms5Z1prOWdaazlnWms5ZwAAe29aa3tve297b3tve297b3tve297b1pre29aa3tve297b3tve297b3tve297b3tve297b3tve297b3tve29aa3tvWmt7b3tve297b3tve297b3tvnHN7b3tvWmt7b3tve297b3tve297b1pre297b3tvWmt7b1pre29aa3tvWmt7b3tve297b3tvWmt7b1pre297b3tve297b3tve29aa1prWmt7b1prWmtaa3tvWmtaa1prWmtaa1prWmt7b1prWmtaa3tvWmt7b1pre29aa3tvWmt7b1pre29aa3tvWmtaa1prWmtaa1prWmt7b3tve29aa3tvWmt7b1pre297b3tvWmt7b1prWmtaa1prWmtaa1pre29aa1prWmt7b1prWmtaa1prWmtaa1prWmtaa1prWmt7b1pre29aa3tvWmtaa1pre29aa1prWmt7b1prWmtaa3tvWmt7b1pre29aa1prWmtaa1prWmtaa3tvWmtaa1pre29aa3tvWmt7b1prWmtaa3tvWmtaa1pre297b1prWmt7b1prWmtaa3tvWmtaa1prWmtaa1prOWdaa1prWms5Z1prWmtaa1prWmtaa1prWmtaa1prWmtaa1prWmtaa1prWmtaa1prOWdaazlnWms5Z1prOWdaazlnWms5Z1prAABaa3tvWmt7b3tve29aa3tve297b1pre29aa3tvWmt7b1pre297b3tve297b1pre297b3tvWmt7b3tve29aa3tvWmt7b1pre297b3tvWmt7b1pre297b3tvWmt7b1pre29aa3tvWmt7b1pre29aa3tvWmt7b1pre29aa3tvWmtaa3tve29aa3tvWmtaa1prWmtaa3tvWmt7b3tve29aa1prWmt7b1prWmtaa3tvWmtaa1prWmtaa1prWmtaa1prWmtaa1prWmtaa1prWmtaa1prWmtaa1prWmtaa1prWmtaa1prWmtaa1prWmt7b1pre29aa3tvWmtaa1pre29aa3tvWmt7b1prWmtaa1prOWdaa1prWmtaa1prWmtaa1prWmtaa1prWmtaa1prWms5Z1prWmtaa1prWmtaa1prWmtaa1prWmtaa1prWmtaa1prWmtaa1prWmt7b1pre29aa1prOWdaa1prWmtaa1prWmtaa1prWmtaa1prWmtaa1prWmtaa3tvWmtaazlnWmtaa3tvWmtaa1prWmtaa1prOWdaa1prWms5Z1prOWdaazlnWms5Z1prOWdaazlnWms5Z1prWmtaazlnWmtaa1prOWdaa1prWms5Z1prOWdaazlnWms5Z1prOWdaazlnWms5ZzlnOWcAAHtve297b3tvnHN7b3tve2+cc3tve297b3tve297b3tve297b3tve2+cc3tve297b5xze297b3tve297b3tvWmt7b3tve297b3tve297b3tve297b5xze297b1pre297b3tve297b1pre297b3tve297b3tve297b3tvWmt7b1pre297b3tvWmt7b1prWmtaa3tvWmt7b3tve29aa1prWmtaa3tve29aa1prWmt7bzlnWmtaa1prWmtaa1prWmtaa1prWmt7b1pre29aa1prWmt7b1prWmtaa3tvWmtaa1prWmtaa1prWmt7b1pre29aa3tvWmt7b1pre29aa3tve297b3tve29aa1prWmtaa1prWmtaa1prWmt7b1pre29aa1prWmtaa1prWmtaa1prOWdaa1pre29aa3tvWmtaa1prWmtaa1prWmt7b1pre29aa1prWmt7b1pre29aa1prWmtaa1prWmtaa3tvWmtaa1prWmtaa1prWmt7b1pre29aa1prWmt7b1prWms5Z1prWmtaa1prWmtaa1prWmtaazlnWmtaa1prOWdaazlnWms5Z1prOWdaazlnWmtaa1prWmtaa1prWmtaa1prWmtaa1prWmtaa1prWmtaa1prWms5Z1prWmtaazlnWms5Z1prOWdaawAARgAAABQAAAAIAAAAR0RJQwMAAAAiAAAADAAAAP////8iAAAADAAAAP////8lAAAADAAAAA0AAIAoAAAADAAAAAQAAAAiAAAADAAAAP////8iAAAADAAAAP7///8nAAAAGAAAAAQAAAAAAAAA////AAAAAAAlAAAADAAAAAQAAABMAAAAZAAAAAAAAAB8AAAAqAEAAMwAAAAAAAAAfAAAAKkBAABRAAAAIQDwAAAAAAAAAAAAAACAPwAAAAAAAAAAAACAPwAAAAAAAAAAAAAAAAAAAAAAAAAAAAAAAAAAAAAAAAAAJQAAAAwAAAAAAACAKAAAAAwAAAAEAAAAJwAAABgAAAAEAAAAAAAAAP///wAAAAAAJQAAAAwAAAAEAAAATAAAAGQAAAAOAAAAfAAAAD8BAACSAAAADgAAAHwAAAAyAQAAFwAAACEA8AAAAAAAAAAAAAAAgD8AAAAAAAAAAAAAgD8AAAAAAAAAAAAAAAAAAAAAAAAAAAAAAAAAAAAAAAAAACUAAAAMAAAAAAAAgCgAAAAMAAAABAAAACUAAAAMAAAAAQAAABgAAAAMAAAAAAAAABIAAAAMAAAAAQAAAB4AAAAYAAAADgAAAHwAAABAAQAAkwAAACUAAAAMAAAAAQAAAFQAAACoAAAADwAAAHwAAACcAAAAkgAAAAEAAABVVY9BJrSPQQ8AAAB8AAAADwAAAEwAAAAAAAAAAAAAAAAAAAD//////////2wAAABIAHUAbQBiAGUAcgB0AG8AIABDAG8AbABtAGEAbgAAAAwAAAAKAAAADwAAAAoAAAAJAAAABgAAAAYAAAAKAAAABQAAAAsAAAAKAAAABAAAAA8AAAAJAAAACgAAAEsAAABAAAAAMAAAAAUAAAAgAAAAAQAAAAEAAAAQAAAAAAAAAAAAAACpAQAA0QAAAAAAAAAAAAAAqQEAANEAAAAlAAAADAAAAAIAAAAnAAAAGAAAAAQAAAAAAAAA////AAAAAAAlAAAADAAAAAQAAABMAAAAZAAAAA4AAACZAAAAPwEAAK8AAAAOAAAAmQAAADIBAAAXAAAAIQDwAAAAAAAAAAAAAACAPwAAAAAAAAAAAACAPwAAAAAAAAAAAAAAAAAAAAAAAAAAAAAAAAAAAAAAAAAAJQAAAAwAAAAAAACAKAAAAAwAAAAEAAAAJQAAAAwAAAABAAAAGAAAAAwAAAAAAAAAEgAAAAwAAAABAAAAHgAAABgAAAAOAAAAmQAAAEABAACwAAAAJQAAAAwAAAABAAAAVAAAAKAAAAAPAAAAmQAAAH4AAACvAAAAAQAAAFVVj0EmtI9BDwAAAJkAAAAOAAAATAAAAAAAAAAAAAAAAAAAAP//////////aAAAAFYAaQBjAGUAcAByAGUAcwBpAGQAZQBuAHQAZQALAAAABAAAAAgAAAAJAAAACgAAAAYAAAAJAAAABwAAAAQAAAAKAAAACQAAAAoAAAAGAAAACQAAAEsAAABAAAAAMAAAAAUAAAAgAAAAAQAAAAEAAAAQAAAAAAAAAAAAAACpAQAA0QAAAAAAAAAAAAAAqQEAANEAAAAlAAAADAAAAAIAAAAnAAAAGAAAAAQAAAAAAAAA////AAAAAAAlAAAADAAAAAQAAABMAAAAZAAAAA4AAAC2AAAAmgEAAMwAAAAOAAAAtgAAAI0BAAAXAAAAIQDwAAAAAAAAAAAAAACAPwAAAAAAAAAAAACAPwAAAAAAAAAAAAAAAAAAAAAAAAAAAAAAAAAAAAAAAAAAJQAAAAwAAAAAAACAKAAAAAwAAAAEAAAAJQAAAAwAAAABAAAAGAAAAAwAAAAAAAAAEgAAAAwAAAABAAAAFgAAAAwAAAAAAAAAVAAAAFABAAAPAAAAtgAAAJkBAADMAAAAAQAAAFVVj0EmtI9BDwAAALYAAAArAAAATAAAAAQAAAAOAAAAtgAAAJsBAADNAAAApAAAAEYAaQByAG0AYQBkAG8AIABwAG8AcgA6ACAASABVAE0AQgBFAFIAVABPACAAQQBSAEkARQBMACAAQwBPAEwATQBBAE4AIABDAEEAUwBUAEkATABMAE8AAAAIAAAABAAAAAYAAAAPAAAACQAAAAoAAAAKAAAABQAAAAoAAAAKAAAABgAAAAQAAAAFAAAADAAAAAwAAAAPAAAACgAAAAkAAAAKAAAACQAAAA0AAAAFAAAACwAAAAoAAAAFAAAACQAAAAgAAAAFAAAACwAAAA0AAAAIAAAADwAAAAsAAAANAAAABQAAAAsAAAALAAAACQAAAAkAAAAFAAAACAAAAAgAAAANAAAAFgAAAAwAAAAAAAAAJQAAAAwAAAACAAAADgAAABQAAAAAAAAAEAAAABQAAAA=</Object>
</Signature>
</file>

<file path=_xmlsignatures/sig1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EAHcTZcovoI90u/rR1yq/vqyMkkCclVUNdIDIIViTUM=</DigestValue>
    </Reference>
    <Reference Type="http://www.w3.org/2000/09/xmldsig#Object" URI="#idOfficeObject">
      <DigestMethod Algorithm="http://www.w3.org/2001/04/xmlenc#sha256"/>
      <DigestValue>Dg1R1b2FMH373TJkPjjwJiGBCEwQd0L4esz351OL3Hs=</DigestValue>
    </Reference>
    <Reference Type="http://uri.etsi.org/01903#SignedProperties" URI="#idSignedProperties">
      <Transforms>
        <Transform Algorithm="http://www.w3.org/TR/2001/REC-xml-c14n-20010315"/>
      </Transforms>
      <DigestMethod Algorithm="http://www.w3.org/2001/04/xmlenc#sha256"/>
      <DigestValue>TxZLfMltWGxdUlMcHJc2FjzQYTu4WekSWZp+FSLbZ2k=</DigestValue>
    </Reference>
    <Reference Type="http://www.w3.org/2000/09/xmldsig#Object" URI="#idValidSigLnImg">
      <DigestMethod Algorithm="http://www.w3.org/2001/04/xmlenc#sha256"/>
      <DigestValue>Wvo8sa5rgeSZ0RYsH8Dyu5bkH4lknXhjf8ftriONvhw=</DigestValue>
    </Reference>
    <Reference Type="http://www.w3.org/2000/09/xmldsig#Object" URI="#idInvalidSigLnImg">
      <DigestMethod Algorithm="http://www.w3.org/2001/04/xmlenc#sha256"/>
      <DigestValue>A3TY9gmJPkr2cQTsyGN0NkQlg5dU2RKYrGByPS0CSEc=</DigestValue>
    </Reference>
  </SignedInfo>
  <SignatureValue>jtp5PUNF7868WU7jTzn+x4ghszxoxXDzZiLDeBH1oPhvAbcOJHMVfltYZVfbLdBgRcrVErrdiIjP
mT9FdKSyD5YQug1I99227ylf5HDd60Cg7Kgfqgvyh3ahHeyRbIaHfiZrwISxHtn8ewLL1UoLgOKW
Us4jr0g1uEWCDGzZxsYfU36FP/8nE1dEZ22FTMKFUybd5gGETYIlXedBTdbNN9j3Zt8XABvGN1yS
OyvO0W5CxAZMZ1nfqCz300MEkv86PMfuvOsGf8Ivg9KjQD+x/la7HiQWlYGvbcSqFTR+90Bdi5kN
eyO5D9U8Ni8UJGUXUkeWockdb5kwFabLIDwNrw==</SignatureValue>
  <KeyInfo>
    <X509Data>
      <X509Certificate>MIIKpjCCCI6gAwIBAgIIWArCh0TnJoIwDQYJKoZIhvcNAQELBQAwgYcxFjAUBgNVBAMMDUNPTkZJUk1BIFMuQS4xFzAVBgNVBAUTDlJVQyA4MDExMzgyMy0wMTgwNgYDVQQLDC9QcmVzdGFkb3IgQ3VhbGlmaWNhZG8gZGUgU2VydmljaW9zIGRlIENvbmZpYW56YTENMAsGA1UECgwESUNQUDELMAkGA1UEBhMCUFkwHhcNMjYwNDIxMTgwMjAwWhcNMjgwNDIwMTgwMjAwWjCBwTELMAkGA1UEBhMCUFkxNTAzBgNVBAoMLENFUlRJRklDQURPIENVQUxJRklDQURPIERFIEZJUk1BIEVMRUNUUk9OSUNBMQswCQYDVQQLDAJGMzEYMBYGA1UEBAwPQ09MTUFOIENBU1RJTExPMRcwFQYDVQQqDA5IVU1CRVJUTyBBUklFTDESMBAGA1UEBRMJQ0kyMzU3MDcxMScwJQYDVQQDDB5IVU1CRVJUTyBBUklFTCBDT0xNQU4gQ0FTVElMTE8wggEiMA0GCSqGSIb3DQEBAQUAA4IBDwAwggEKAoIBAQDJoouSV+NXB8EKsCdl/KAZqOr0ytK4GWXSJUVFS2tiHZziCA4LbnIOVf9DrhKraJXjlzEWmcWzvXM7Rsu/wchCw/MVAkAjNx1y7Kq9OGyXwgOEYp4joHKzeFo6mxPQ9lgZoSNVWw2DfmRQkw7Rtr4JbtN+S+S7BI2MKZMelxRwQaUUMiOgBh/EkEKqld+VTtHDcvGrNYu+B0luNoXIvN4ZCVKVGWIO/p9I1IBxtFL7h2aJSXUKESHuCpBeO+JrlXo0YTS+9Hcmino0owFqeqajfGcBcac/zGuj5a1NI3PAyZVsWwFbOP49rd6zXbHE2Nl+N3ooXQ3nYwJmsrwLVOQhAgMBAAGjggXYMIIF1DAMBgNVHRMBAf8EAjAAMB8GA1UdIwQYMBaAFDj6s5eLGoZm2MDIh5/0YA14tjhKMIG/BggrBgEFBQcBAQSBsjCBrzA9BggrBgEFBQcwAoYxaHR0cHM6Ly93d3cuY29uZmlybWEuY29tLnB5L3JlcG9zaXRvcmlvLWNvbmZpcm1hLzA2BggrBgEFBQcwAYYqaHR0cDovL29jc3AxLnVhbmF0YWNhLmNvbS9wdWJsaWMvcGtpL29jc3AvMDYGCCsGAQUFBzABhipodHRwOi8vb2NzcDIudWFuYXRhY2EuY29tL3B1YmxpYy9wa2kvb2NzcC8waAYDVR0RBGEwX4EQSFVNQ09M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QYFWyion+i/ZXcBrrccaa1MWRhlzAOBgNVHQ8BAf8EBAMCBeAwDQYJKoZIhvcNAQELBQADggIBAKbNtOa1SB03pUbQpImhk+wVOMDOePlcQCQxK5X2GlXT7+023fr/WqpXpbRvzUAebjqXCmdBLxAfDY2Md9XI0Oue9VhbGSI+dSZDnNT0dD5KQ0rPsk9Su40F10U9k6hpNIRNMByCIvXfsNNclzolpDzPR3L3Kjslxkym3vP7Yx6H7gFqa7ND2wnORvi4ODDcdf/avo9CqyWHuKVycINJFmxGnKB/GLqmFbCpPh9GJXs3XRpgM3xOyFyikqIi4sUKcQsJkudZ73ATezphOIplgYmTAP4JHXnyUxW1YZ0t1jHLySfKLvnayUI8JclK5DVrSTBly58bk1/gB1widjczuXsk2T43dTRn0IaLBL0heAmS4olk22fZPW5yEtwWJBpe99GOGFO3xYGGHqjx/fobvKYOzJuxN+IR50TP5p8WEMcuJUXU3cI7nxar1A+4tHf1dLXaJBfBDWJ6Ss9EAz3ziR05IgJj+I9jIg7Jc0Dy6yu6CMbH/iH66pa9ufTpglQoBE//hG6Bdsa1cKTp/9/MVPl37795AbYviMmFw/gmwl5d3qPQE9/sgE7ogq+VKt7a9yDVKkSV5WnWUUvDEfn9Y3mGx2519XWoXlOjaf/3bpcoZqAZvll2usWcWz7gYm6dIB3/iwuJYQUcTszJDXu9itW/WT1e5bc6jjua1fjLOYt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Transform>
          <Transform Algorithm="http://www.w3.org/TR/2001/REC-xml-c14n-20010315"/>
        </Transforms>
        <DigestMethod Algorithm="http://www.w3.org/2001/04/xmlenc#sha256"/>
        <DigestValue>/Ck4NrQeZAHF831xLBB7K7yeBD4HVDqFdSeGjxFIugk=</DigestValue>
      </Reference>
      <Reference URI="/xl/calcChain.xml?ContentType=application/vnd.openxmlformats-officedocument.spreadsheetml.calcChain+xml">
        <DigestMethod Algorithm="http://www.w3.org/2001/04/xmlenc#sha256"/>
        <DigestValue>+NyeNyIHrQv7x/d7NUuWQqqgB6nR5SiUKZdjjhHZnLU=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ucrTLbStQr/H2WHX3yG6MmDb0NXX+PwHVU4uUbcl8jY=</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gJN++dn2wxx/Cd6pFFOPi1CJuYShB1qNyNFMqnAERYg=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ucrTLbStQr/H2WHX3yG6MmDb0NXX+PwHVU4uUbcl8jY=</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7YsyKqJFttyEEYgq8OCabNHbiPUxlADESpJUKW5fCBk=</DigestValue>
      </Reference>
      <Reference URI="/xl/drawings/drawing1.xml?ContentType=application/vnd.openxmlformats-officedocument.drawing+xml">
        <DigestMethod Algorithm="http://www.w3.org/2001/04/xmlenc#sha256"/>
        <DigestValue>ub074ZLH8w4xlalqairs0BhLike/ijp43YfbOrzi420=</DigestValue>
      </Reference>
      <Reference URI="/xl/drawings/drawing2.xml?ContentType=application/vnd.openxmlformats-officedocument.drawing+xml">
        <DigestMethod Algorithm="http://www.w3.org/2001/04/xmlenc#sha256"/>
        <DigestValue>jSEA7QF2epsqpRqyAn5pGlelL7JhshD38KzThNyanj4=</DigestValue>
      </Reference>
      <Reference URI="/xl/drawings/drawing3.xml?ContentType=application/vnd.openxmlformats-officedocument.drawing+xml">
        <DigestMethod Algorithm="http://www.w3.org/2001/04/xmlenc#sha256"/>
        <DigestValue>w1km3rn21G8nhqvfeQQCJPmdK8nSug1i56T6Su0Ay7A=</DigestValue>
      </Reference>
      <Reference URI="/xl/drawings/drawing4.xml?ContentType=application/vnd.openxmlformats-officedocument.drawing+xml">
        <DigestMethod Algorithm="http://www.w3.org/2001/04/xmlenc#sha256"/>
        <DigestValue>Inzha6baeAKE0WuKvq0NbHcSeKHit1HfjuHs2WT/AC8=</DigestValue>
      </Reference>
      <Reference URI="/xl/drawings/drawing5.xml?ContentType=application/vnd.openxmlformats-officedocument.drawing+xml">
        <DigestMethod Algorithm="http://www.w3.org/2001/04/xmlenc#sha256"/>
        <DigestValue>Tpe4YJTEcZHjnkuwCRyvhPu/MIzXAWLSeBBMA18aXRI=</DigestValue>
      </Reference>
      <Reference URI="/xl/drawings/drawing6.xml?ContentType=application/vnd.openxmlformats-officedocument.drawing+xml">
        <DigestMethod Algorithm="http://www.w3.org/2001/04/xmlenc#sha256"/>
        <DigestValue>t0IiKkrStl/PiA8NVpK6Yzzs0p7cTjDqmZEHG31Qyng=</DigestValue>
      </Reference>
      <Reference URI="/xl/drawings/drawing7.xml?ContentType=application/vnd.openxmlformats-officedocument.drawing+xml">
        <DigestMethod Algorithm="http://www.w3.org/2001/04/xmlenc#sha256"/>
        <DigestValue>virplHJot2IoRHIXdPVnprgNPvJSCFYXhwmEbMvdtaE=</DigestValue>
      </Reference>
      <Reference URI="/xl/drawings/drawing8.xml?ContentType=application/vnd.openxmlformats-officedocument.drawing+xml">
        <DigestMethod Algorithm="http://www.w3.org/2001/04/xmlenc#sha256"/>
        <DigestValue>1BVrvUMHBLQW/qes4fhJwFjL6MIO+dw9dzaEu6di9KE=</DigestValue>
      </Reference>
      <Reference URI="/xl/drawings/vmlDrawing1.vml?ContentType=application/vnd.openxmlformats-officedocument.vmlDrawing">
        <DigestMethod Algorithm="http://www.w3.org/2001/04/xmlenc#sha256"/>
        <DigestValue>ExUTJEbNBuk1CckpWwd+8plgcmJe8qoGbB2TUFKe+kA=</DigestValue>
      </Reference>
      <Reference URI="/xl/drawings/vmlDrawing2.vml?ContentType=application/vnd.openxmlformats-officedocument.vmlDrawing">
        <DigestMethod Algorithm="http://www.w3.org/2001/04/xmlenc#sha256"/>
        <DigestValue>h2FOx/Jlq4UYa4Cpos0p40QGXDtAcRKPPYKd8I7NjvY=</DigestValue>
      </Reference>
      <Reference URI="/xl/drawings/vmlDrawing3.vml?ContentType=application/vnd.openxmlformats-officedocument.vmlDrawing">
        <DigestMethod Algorithm="http://www.w3.org/2001/04/xmlenc#sha256"/>
        <DigestValue>AA278wmMGW/Y9QsgFZqd+7Z8mopkpG53UQ93BDbx4WE=</DigestValue>
      </Reference>
      <Reference URI="/xl/drawings/vmlDrawing4.vml?ContentType=application/vnd.openxmlformats-officedocument.vmlDrawing">
        <DigestMethod Algorithm="http://www.w3.org/2001/04/xmlenc#sha256"/>
        <DigestValue>ArJYfFm9RCQzoEjHp9F2NIgGy/rbhUv/OzAFzV+JEV4=</DigestValue>
      </Reference>
      <Reference URI="/xl/drawings/vmlDrawing5.vml?ContentType=application/vnd.openxmlformats-officedocument.vmlDrawing">
        <DigestMethod Algorithm="http://www.w3.org/2001/04/xmlenc#sha256"/>
        <DigestValue>6u8vsyy6r4PKsRHLrr6eKcYZlGcnaa5JNs92G7m0x50=</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77SVdrsY4G7JRFikg775s6ndkn/5KeYu/l1XKd699gw=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XmN+S1Rb9DQwXeJhiPMr1ywuylQu67StAn77KPQ/9M4=</DigestValue>
      </Reference>
      <Reference URI="/xl/externalLinks/externalLink1.xml?ContentType=application/vnd.openxmlformats-officedocument.spreadsheetml.externalLink+xml">
        <DigestMethod Algorithm="http://www.w3.org/2001/04/xmlenc#sha256"/>
        <DigestValue>Asaf0dJqvI2CGiR4mDOs5Bz0dA7uFptOxkq8VP6/Axg=</DigestValue>
      </Reference>
      <Reference URI="/xl/externalLinks/externalLink2.xml?ContentType=application/vnd.openxmlformats-officedocument.spreadsheetml.externalLink+xml">
        <DigestMethod Algorithm="http://www.w3.org/2001/04/xmlenc#sha256"/>
        <DigestValue>MAymwNHVD9MjrQzp8QSFTGHiEzTtpA6htR4Lpqs3neg=</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henAiMKyQumysm/rmsKObYIquv2sss0Xb+LHqi1agew=</DigestValue>
      </Reference>
      <Reference URI="/xl/media/image3.emf?ContentType=image/x-emf">
        <DigestMethod Algorithm="http://www.w3.org/2001/04/xmlenc#sha256"/>
        <DigestValue>YVtsuH8bDXjJV2Dy/6lemD+B/MEJUFMlT3OBultaYYw=</DigestValue>
      </Reference>
      <Reference URI="/xl/media/image4.emf?ContentType=image/x-emf">
        <DigestMethod Algorithm="http://www.w3.org/2001/04/xmlenc#sha256"/>
        <DigestValue>aFnNK946hBo3dFBQ1iTrTWLYet31AXs15w+XcScy08U=</DigestValue>
      </Reference>
      <Reference URI="/xl/media/image5.emf?ContentType=image/x-emf">
        <DigestMethod Algorithm="http://www.w3.org/2001/04/xmlenc#sha256"/>
        <DigestValue>SGUAmXtIKfISNtJWaJhypXvQVrvZhFb92d4E5f7ZI/o=</DigestValue>
      </Reference>
      <Reference URI="/xl/media/image6.emf?ContentType=image/x-emf">
        <DigestMethod Algorithm="http://www.w3.org/2001/04/xmlenc#sha256"/>
        <DigestValue>GRQ8cc4rAjEFr9roH+f7cutoGCMFBXoxc1fwnubaFII=</DigestValue>
      </Reference>
      <Reference URI="/xl/printerSettings/printerSettings1.bin?ContentType=application/vnd.openxmlformats-officedocument.spreadsheetml.printerSettings">
        <DigestMethod Algorithm="http://www.w3.org/2001/04/xmlenc#sha256"/>
        <DigestValue>OGD3iF2+l78gTInlDCWFPycZVuHBpUE02raJ/Wr5XCI=</DigestValue>
      </Reference>
      <Reference URI="/xl/printerSettings/printerSettings10.bin?ContentType=application/vnd.openxmlformats-officedocument.spreadsheetml.printerSettings">
        <DigestMethod Algorithm="http://www.w3.org/2001/04/xmlenc#sha256"/>
        <DigestValue>8ULINyTSns7e3+F/twyhXb2p4OEI5M6paxloUp/0tKM=</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aKO8XWThzgvGlTVSu23kX37OoqtKGS6PBUkmhsicI1Y=</DigestValue>
      </Reference>
      <Reference URI="/xl/printerSettings/printerSettings14.bin?ContentType=application/vnd.openxmlformats-officedocument.spreadsheetml.printerSettings">
        <DigestMethod Algorithm="http://www.w3.org/2001/04/xmlenc#sha256"/>
        <DigestValue>aKO8XWThzgvGlTVSu23kX37OoqtKGS6PBUkmhsicI1Y=</DigestValue>
      </Reference>
      <Reference URI="/xl/printerSettings/printerSettings15.bin?ContentType=application/vnd.openxmlformats-officedocument.spreadsheetml.printerSettings">
        <DigestMethod Algorithm="http://www.w3.org/2001/04/xmlenc#sha256"/>
        <DigestValue>dw1o09s0o0lRppdgih3gsQGBOYtYP6TDvnCBQSPWvnk=</DigestValue>
      </Reference>
      <Reference URI="/xl/printerSettings/printerSettings16.bin?ContentType=application/vnd.openxmlformats-officedocument.spreadsheetml.printerSettings">
        <DigestMethod Algorithm="http://www.w3.org/2001/04/xmlenc#sha256"/>
        <DigestValue>+CD8yXTcV7R0UPktSQ1iysCJtCvCSVF2j80e6m46HpQ=</DigestValue>
      </Reference>
      <Reference URI="/xl/printerSettings/printerSettings17.bin?ContentType=application/vnd.openxmlformats-officedocument.spreadsheetml.printerSettings">
        <DigestMethod Algorithm="http://www.w3.org/2001/04/xmlenc#sha256"/>
        <DigestValue>hqnMLvZ6XBY2fH1KhK00vJXWuxlSZRWkoKrdKDrIF2Q=</DigestValue>
      </Reference>
      <Reference URI="/xl/printerSettings/printerSettings18.bin?ContentType=application/vnd.openxmlformats-officedocument.spreadsheetml.printerSettings">
        <DigestMethod Algorithm="http://www.w3.org/2001/04/xmlenc#sha256"/>
        <DigestValue>TRrCOIAvgyay9+dOHANtMRhI4Mlj24DaFIyKQoKcdPw=</DigestValue>
      </Reference>
      <Reference URI="/xl/printerSettings/printerSettings19.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tK77ymY2j+63o2PazHk01j2EtE8ZSKwdI1Ei+LUjmS0=</DigestValue>
      </Reference>
      <Reference URI="/xl/printerSettings/printerSettings20.bin?ContentType=application/vnd.openxmlformats-officedocument.spreadsheetml.printerSettings">
        <DigestMethod Algorithm="http://www.w3.org/2001/04/xmlenc#sha256"/>
        <DigestValue>TRrCOIAvgyay9+dOHANtMRhI4Mlj24DaFIyKQoKcdPw=</DigestValue>
      </Reference>
      <Reference URI="/xl/printerSettings/printerSettings21.bin?ContentType=application/vnd.openxmlformats-officedocument.spreadsheetml.printerSettings">
        <DigestMethod Algorithm="http://www.w3.org/2001/04/xmlenc#sha256"/>
        <DigestValue>OGD3iF2+l78gTInlDCWFPycZVuHBpUE02raJ/Wr5XCI=</DigestValue>
      </Reference>
      <Reference URI="/xl/printerSettings/printerSettings22.bin?ContentType=application/vnd.openxmlformats-officedocument.spreadsheetml.printerSettings">
        <DigestMethod Algorithm="http://www.w3.org/2001/04/xmlenc#sha256"/>
        <DigestValue>GyyR84UYFfbFvVrs+ip9vPggIMAXC0nxkmeUVNsGxCc=</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ZVxXhJn6XmjT/m1Dw2UhwYZPVXYMSYE+DUFTlsgHV4s=</DigestValue>
      </Reference>
      <Reference URI="/xl/printerSettings/printerSettings25.bin?ContentType=application/vnd.openxmlformats-officedocument.spreadsheetml.printerSettings">
        <DigestMethod Algorithm="http://www.w3.org/2001/04/xmlenc#sha256"/>
        <DigestValue>ZVxXhJn6XmjT/m1Dw2UhwYZPVXYMSYE+DUFTlsgHV4s=</DigestValue>
      </Reference>
      <Reference URI="/xl/printerSettings/printerSettings26.bin?ContentType=application/vnd.openxmlformats-officedocument.spreadsheetml.printerSettings">
        <DigestMethod Algorithm="http://www.w3.org/2001/04/xmlenc#sha256"/>
        <DigestValue>ZVxXhJn6XmjT/m1Dw2UhwYZPVXYMSYE+DUFTlsgHV4s=</DigestValue>
      </Reference>
      <Reference URI="/xl/printerSettings/printerSettings27.bin?ContentType=application/vnd.openxmlformats-officedocument.spreadsheetml.printerSettings">
        <DigestMethod Algorithm="http://www.w3.org/2001/04/xmlenc#sha256"/>
        <DigestValue>ZVxXhJn6XmjT/m1Dw2UhwYZPVXYMSYE+DUFTlsgHV4s=</DigestValue>
      </Reference>
      <Reference URI="/xl/printerSettings/printerSettings28.bin?ContentType=application/vnd.openxmlformats-officedocument.spreadsheetml.printerSettings">
        <DigestMethod Algorithm="http://www.w3.org/2001/04/xmlenc#sha256"/>
        <DigestValue>ZVxXhJn6XmjT/m1Dw2UhwYZPVXYMSYE+DUFTlsgHV4s=</DigestValue>
      </Reference>
      <Reference URI="/xl/printerSettings/printerSettings29.bin?ContentType=application/vnd.openxmlformats-officedocument.spreadsheetml.printerSettings">
        <DigestMethod Algorithm="http://www.w3.org/2001/04/xmlenc#sha256"/>
        <DigestValue>ZVxXhJn6XmjT/m1Dw2UhwYZPVXYMSYE+DUFTlsgHV4s=</DigestValue>
      </Reference>
      <Reference URI="/xl/printerSettings/printerSettings3.bin?ContentType=application/vnd.openxmlformats-officedocument.spreadsheetml.printerSettings">
        <DigestMethod Algorithm="http://www.w3.org/2001/04/xmlenc#sha256"/>
        <DigestValue>etcbSocZ+fnLsUbJz0LkI2IH94+TEQQYef5apUBQ778=</DigestValue>
      </Reference>
      <Reference URI="/xl/printerSettings/printerSettings30.bin?ContentType=application/vnd.openxmlformats-officedocument.spreadsheetml.printerSettings">
        <DigestMethod Algorithm="http://www.w3.org/2001/04/xmlenc#sha256"/>
        <DigestValue>QYEL4KgfVDON32G6gR2kYQY44f245JdSxX29nAOa8qU=</DigestValue>
      </Reference>
      <Reference URI="/xl/printerSettings/printerSettings4.bin?ContentType=application/vnd.openxmlformats-officedocument.spreadsheetml.printerSettings">
        <DigestMethod Algorithm="http://www.w3.org/2001/04/xmlenc#sha256"/>
        <DigestValue>8ULINyTSns7e3+F/twyhXb2p4OEI5M6paxloUp/0tKM=</DigestValue>
      </Reference>
      <Reference URI="/xl/printerSettings/printerSettings5.bin?ContentType=application/vnd.openxmlformats-officedocument.spreadsheetml.printerSettings">
        <DigestMethod Algorithm="http://www.w3.org/2001/04/xmlenc#sha256"/>
        <DigestValue>8ULINyTSns7e3+F/twyhXb2p4OEI5M6paxloUp/0tKM=</DigestValue>
      </Reference>
      <Reference URI="/xl/printerSettings/printerSettings6.bin?ContentType=application/vnd.openxmlformats-officedocument.spreadsheetml.printerSettings">
        <DigestMethod Algorithm="http://www.w3.org/2001/04/xmlenc#sha256"/>
        <DigestValue>8ULINyTSns7e3+F/twyhXb2p4OEI5M6paxloUp/0tKM=</DigestValue>
      </Reference>
      <Reference URI="/xl/printerSettings/printerSettings7.bin?ContentType=application/vnd.openxmlformats-officedocument.spreadsheetml.printerSettings">
        <DigestMethod Algorithm="http://www.w3.org/2001/04/xmlenc#sha256"/>
        <DigestValue>8ULINyTSns7e3+F/twyhXb2p4OEI5M6paxloUp/0tKM=</DigestValue>
      </Reference>
      <Reference URI="/xl/printerSettings/printerSettings8.bin?ContentType=application/vnd.openxmlformats-officedocument.spreadsheetml.printerSettings">
        <DigestMethod Algorithm="http://www.w3.org/2001/04/xmlenc#sha256"/>
        <DigestValue>8ULINyTSns7e3+F/twyhXb2p4OEI5M6paxloUp/0tKM=</DigestValue>
      </Reference>
      <Reference URI="/xl/printerSettings/printerSettings9.bin?ContentType=application/vnd.openxmlformats-officedocument.spreadsheetml.printerSettings">
        <DigestMethod Algorithm="http://www.w3.org/2001/04/xmlenc#sha256"/>
        <DigestValue>8ULINyTSns7e3+F/twyhXb2p4OEI5M6paxloUp/0tKM=</DigestValue>
      </Reference>
      <Reference URI="/xl/sharedStrings.xml?ContentType=application/vnd.openxmlformats-officedocument.spreadsheetml.sharedStrings+xml">
        <DigestMethod Algorithm="http://www.w3.org/2001/04/xmlenc#sha256"/>
        <DigestValue>V/w+UFDuoKCaMO9SSgiqgdegozZgbqeeTZ78vhxZs4Y=</DigestValue>
      </Reference>
      <Reference URI="/xl/styles.xml?ContentType=application/vnd.openxmlformats-officedocument.spreadsheetml.styles+xml">
        <DigestMethod Algorithm="http://www.w3.org/2001/04/xmlenc#sha256"/>
        <DigestValue>z/eeshVk+brcI+H+/v+xG/3T6WFPSRAeaKjEIgLbkPc=</DigestValue>
      </Reference>
      <Reference URI="/xl/tables/table1.xml?ContentType=application/vnd.openxmlformats-officedocument.spreadsheetml.table+xml">
        <DigestMethod Algorithm="http://www.w3.org/2001/04/xmlenc#sha256"/>
        <DigestValue>QTRSFVlS4HnbP6Y2+j++lvSrT1G6wMfxJrt66Q3MxtU=</DigestValue>
      </Reference>
      <Reference URI="/xl/tables/table2.xml?ContentType=application/vnd.openxmlformats-officedocument.spreadsheetml.table+xml">
        <DigestMethod Algorithm="http://www.w3.org/2001/04/xmlenc#sha256"/>
        <DigestValue>IKN1IhsRr9HunQR58XkrS2sj34eYQN7uwQ3Oy8wQ0eI=</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Iod+Xl9RCPODBPIpko8c6sQtIg/QuqibY8/4p+Z/JNc=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jDc0sWYJkR/CBrRak8ingqluwJ7oQsCcOInX+LVxKvE=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pZw3bSadmKfHZZmptVaCzS0QUOVcJ//YwG7scJq0pf8=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Mnq392zy7n/68NDdV/yytQb7iuJvY10PdgkI8Mb+g6k=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ucQ64hiB/nP1Fi8WKz3Th1kdZisK8aGhJEPJfohLxM8=</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Tli28rN8igOjzPasqezpYxpfwxhNMdfjzhfnghEdtVc=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iCVOH+dXPW5Yow03OFzE3KFxd7gLMdb90NF1eBlmABk=</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zgur8m8h3dHGUIjwiYWUwhCf0M5q1vRr8/fpz0BeqjQ=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7K0RfRaSjDP6tX2AJJpMSRjcmHBmC4suCih810VKQKE=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YJfbdRjw9jzDIHxg9lF8IV5su7pXZUZ3BubXlm6sSbI=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N8qijj8WXJ10YGO5eKPxvirB/H7N/Cb0D2n1Mzyaryo=</DigestValue>
      </Reference>
      <Reference URI="/xl/worksheets/sheet1.xml?ContentType=application/vnd.openxmlformats-officedocument.spreadsheetml.worksheet+xml">
        <DigestMethod Algorithm="http://www.w3.org/2001/04/xmlenc#sha256"/>
        <DigestValue>RQrBSlri31PMwZlIl5U8oN6J/gyebqTN0C1tnBaPr1M=</DigestValue>
      </Reference>
      <Reference URI="/xl/worksheets/sheet10.xml?ContentType=application/vnd.openxmlformats-officedocument.spreadsheetml.worksheet+xml">
        <DigestMethod Algorithm="http://www.w3.org/2001/04/xmlenc#sha256"/>
        <DigestValue>VdSSMhq7PPyGTGDw8th3UTvOa3U89Ih1rcKsbGp6WEc=</DigestValue>
      </Reference>
      <Reference URI="/xl/worksheets/sheet11.xml?ContentType=application/vnd.openxmlformats-officedocument.spreadsheetml.worksheet+xml">
        <DigestMethod Algorithm="http://www.w3.org/2001/04/xmlenc#sha256"/>
        <DigestValue>tvzKKq8EPOADTa94CUdCYmoZ4T6lnIZpEmf/8HsdSIo=</DigestValue>
      </Reference>
      <Reference URI="/xl/worksheets/sheet2.xml?ContentType=application/vnd.openxmlformats-officedocument.spreadsheetml.worksheet+xml">
        <DigestMethod Algorithm="http://www.w3.org/2001/04/xmlenc#sha256"/>
        <DigestValue>R7gGbROsq8wtNMf9wb9NhnoX7CbE0LKzExehQybw3Z8=</DigestValue>
      </Reference>
      <Reference URI="/xl/worksheets/sheet3.xml?ContentType=application/vnd.openxmlformats-officedocument.spreadsheetml.worksheet+xml">
        <DigestMethod Algorithm="http://www.w3.org/2001/04/xmlenc#sha256"/>
        <DigestValue>t7XEAo8Uy0vjd/DJ2C4BITc81JYXlBr/JkVguL11LaQ=</DigestValue>
      </Reference>
      <Reference URI="/xl/worksheets/sheet4.xml?ContentType=application/vnd.openxmlformats-officedocument.spreadsheetml.worksheet+xml">
        <DigestMethod Algorithm="http://www.w3.org/2001/04/xmlenc#sha256"/>
        <DigestValue>cEnOJfsnp/NBRY+3I/VQDmCO7RMEqgGuf8UEqrDuCIU=</DigestValue>
      </Reference>
      <Reference URI="/xl/worksheets/sheet5.xml?ContentType=application/vnd.openxmlformats-officedocument.spreadsheetml.worksheet+xml">
        <DigestMethod Algorithm="http://www.w3.org/2001/04/xmlenc#sha256"/>
        <DigestValue>EswEMBCM4zdmW1cMOh7rkhk8swYW2MNO2WQBh8M1rRc=</DigestValue>
      </Reference>
      <Reference URI="/xl/worksheets/sheet6.xml?ContentType=application/vnd.openxmlformats-officedocument.spreadsheetml.worksheet+xml">
        <DigestMethod Algorithm="http://www.w3.org/2001/04/xmlenc#sha256"/>
        <DigestValue>D58Ad9xw9rLp8vtfuoXZKREoJCKBX5r+HJLMNlecAok=</DigestValue>
      </Reference>
      <Reference URI="/xl/worksheets/sheet7.xml?ContentType=application/vnd.openxmlformats-officedocument.spreadsheetml.worksheet+xml">
        <DigestMethod Algorithm="http://www.w3.org/2001/04/xmlenc#sha256"/>
        <DigestValue>gSn74GrP21z2K652QtORivHMqG62kbL+N6pM0KMuNoM=</DigestValue>
      </Reference>
      <Reference URI="/xl/worksheets/sheet8.xml?ContentType=application/vnd.openxmlformats-officedocument.spreadsheetml.worksheet+xml">
        <DigestMethod Algorithm="http://www.w3.org/2001/04/xmlenc#sha256"/>
        <DigestValue>RHD7ig3kB2XIS94P7M7laThHUC2ZEnlItLh4CQ8e2cA=</DigestValue>
      </Reference>
      <Reference URI="/xl/worksheets/sheet9.xml?ContentType=application/vnd.openxmlformats-officedocument.spreadsheetml.worksheet+xml">
        <DigestMethod Algorithm="http://www.w3.org/2001/04/xmlenc#sha256"/>
        <DigestValue>NbdLLWXsZdwhOiIfvFm/hDyLJl0+E1xl/cjBrRt6I8I=</DigestValue>
      </Reference>
    </Manifest>
    <SignatureProperties>
      <SignatureProperty Id="idSignatureTime" Target="#idPackageSignature">
        <mdssi:SignatureTime xmlns:mdssi="http://schemas.openxmlformats.org/package/2006/digital-signature">
          <mdssi:Format>YYYY-MM-DDThh:mm:ssTZD</mdssi:Format>
          <mdssi:Value>2026-08-13T20:35:27Z</mdssi:Value>
        </mdssi:SignatureTime>
      </SignatureProperty>
    </SignatureProperties>
  </Object>
  <Object Id="idOfficeObject">
    <SignatureProperties>
      <SignatureProperty Id="idOfficeV1Details" Target="#idPackageSignature">
        <SignatureInfoV1 xmlns="http://schemas.microsoft.com/office/2006/digsig">
          <SetupID>{8C2D637F-6D9E-479F-B748-C73F7E66DA6A}</SetupID>
          <SignatureText/>
          <SignatureImage>AQAAAGwAAAAAAAAAAAAAAJQAAABMAAAAAAAAAAAAAABtCgAAZgUAACBFTUYAAAEAtAsBAAwAAAABAAAAAAAAAAAAAAAAAAAAgAcAADgEAABYAQAAwgAAAAAAAAAAAAAAAAAAAMA/BQDQ9QIARgAAACwAAAAgAAAARU1GKwFAAQAcAAAAEAAAAAIQwNsBAAAAeAAAAHgAAABGAAAA2A8AAMwPAABFTUYrIkAEAAwAAAAAAAAAHkAJAAwAAAAAAAAAJEABAAwAAAAAAAAAMEACABAAAAAEAAAAAACAPyFABwAMAAAAAAAAAAhAAAUkDwAAGA8AAAIQwNsBAAAAAAAAAAAAAAAAAAAAAAAAAAEAAAD/2P/gABBKRklGAAEBAQDIAMgAAP/bAEMACgcHCQcGCgkICQsLCgwPGRAPDg4PHhYXEhkkICYlIyAjIigtOTAoKjYrIiMyRDI2Oz1AQEAmMEZLRT5KOT9APf/bAEMBCwsLDw0PHRAQHT0pIyk9PT09PT09PT09PT09PT09PT09PT09PT09PT09PT09PT09PT09PT09PT09PT09PT09Pf/AABEIAI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gOOtGMnrQPelAoAQ8CjBOaQnJoGaADpS4z+FIRmgEKD70ABGKTBNHPU0vtQAhGaQnjGKX+HNJjIoAb1/lQBRindaADbxSYpe1ITkg0AAGDS9DSdqCaABhk0gpevWkxzQAmM0vagDBpwGOpoAaKM8YpQM0dKAGj0pR0pSOM0nXp2oAO4z2pOM4opD1oAQ9aBTqTpz60AFIaM4NFACGinY55oxQBYA55pe2KQUEcDmkA2lyAD1z60negCmAdBQcYpQM9aaTnA4wKADOePSlxgUMOeKU4KA9D6UANI44oA4ozyKgmv7e2nihnlVGmO1AxxuPoKAJ8DFJ1p2MA0lACd+aRgATjpQ3HNH3u/bNAAR0z3o5oz09qU+woATrSDqM0obceOg61FcXUNq0YndU8xgi7j1J6CgCV14Yeo60AkDFLnn2pOozQAdKCaOooPQcUAJnij1AprOEQsTgDmsbRtWn1jUp5IAv9nxjaHI5Zvb/AD0+tNRbTYG1jH1pcClxikpANPWgHIpTzTQKAAdcUuKAOaMnpQAUlLSYHrQBY6Hg0Z4ozSZpAGO9B5NAY4IIpMcc0AGfxFA60nQ0pPegAbj2qtd3kNlC01w6pEvLMxwBVgjdmud8aTImgyJIMrK6Jj6sKpK7sB0EM0dxCksLrJE4yrKcgiub8QHd4m0aPus2f1WtnRYBb6LaIqhcRjIHr3/WsKRmvfiHCi8paxZb2zn/AOtVQ0bEzriM1GRgkCnk0h6E9agZGc9Kytf1VtIslmjQO5kVFUnjk1qk5rlfFHm3us6TYIhKvL5khHYDj+pP4U42vqBuvq1vFqNrZyttmuV3IME9vWr7g1wdzc/b/idBEpJSFQnHrgsf6V3V1IIYXdjgAE1Uo2sBh6Vcz3XijUvnY20CLGF/h3dfz61BrMhuvFOl2ajcA4kbnsDk/wAqt+GIvL0qW6b791K0uT6ZwP8APvVLw6v9qa5faueUQmCH6Dqf8+tX8Mm+wjpzSYOKARuIo3KM5rEYnpQTgfSqd5qtpYIWuZ0T0BPP5d65+88YxXhNppUcst1J8qHbgA+tUotgWdRmm1u/OlWbFIV5uZh/CP7v1/z61v2tpDZWyQW6BI0GAB/P61DpGmJpOnrCDukPzSOerN3q0zgHk4pya2WwhzHA+tISAOTisjU/E9hpwKNJ5s2cCKP5mz/SqCLreuBWcjTbU8nvKw/p+lJRe4zogysTtOfWlAwao6Zo9rpW4weY0kgw8kjli1Xs5JFJ+QAT2pOKOtIeKQCk0bhR2zSYoAsUdaFwaCMdKADjHpSZ4xRmkpABNA5B9aCw9OaQHHrzQAFsDrg1yfjLNzcadYqeZ58n6Af4kV1Zwa5XUf8AS/Hemwg8QL5h/E5/9lq4b3A6wqIoQAMBRiuX8KIbnXNYvm5/eeWp9gcf+yj866DVboWunzynoiE/pWf4PtDbeH4S4+eYmRvqTj+lC0i2Btk5FNIx0NKfl60x3C9akBG6EmuVjvo317UtRdv3NhD5YPv1P9R+FXta8RQ2UbxW6tcXO04jj5I47+lcLJfMvhryF5admmlOeeSFGfoTn64rejSchNljwo8kvjC0nkGGnaRz9SpJ/LIFdt4yumt9BlCk75iIxj3OD+ma5Hw1bGLXtBZgQ00c0p59cgfoorpfFeLi+0qz6+Zchz9FHP8AOrqtOorAP1u7Gh+GVhjIEwhESY7HGCf61f8AD9gNL0O2t9u1tm5/948//W/CuW165F5DJqJYm3jvI4sdQEByT+f6EVPqHjkTy+TpcasOhnlOxB+dQ6baSXzBM6i+1G3sYGlnkVFXqSev09a51tY1TW5DFpFsY4c4NzLwP8/nWbDi8u/tM0Nxq8+ekaFYV/E9f5VuhPEV2oVFtLGPGAPvED2xxS5VECKPw5YaZDJe6tObyUDcxk+6Pw7/AI1m6dq9jp8k+q35jjlcbLeBBzGg+nc/561oz+GS8Ql1DWLlmRg5YYVRj2ORXPTxw6nL/Z/hmzDDkS3b8k+4Y9B79+2auDT0bAvL4+uJp5TFaqIRwNzck47noO3FTxWuveI0DTTmxtG9AQ7D2HX88VpaD4StNIAllxPddS7DIU+w/rW/15rOcoJ+4hmVpfhyw0ra0UW+Yf8ALWTk/h2H4Vq98UCis229wEpDxTj/AJxTCOaQCngcU0k9aXHSkx81ADh09KbTuQOfSmUAWcYNHXrRmigA70e1JnB4ox3zSAMHHNNOMYp3XJ9Ka3WgBDjbXK6b/pXxEu5O1vEFH5f/AGddNK22Mn/Irm/BKm5u9Vvyf9bMVU+2T/QCrjs2Bb8YysbCK1j5e5lWMD1reiWO0gigUgKihR+FcjreoRp4ws0nbENrGZmPvzj9QPzqBV1bxLqKTKjwwRnMeThFPZj/AHj9OKvlvFAb+q+IIbJxBGGnuX+5EgySf6VRfTdd1Vv9KuUsoD1SPl/z/wDr1qaXotro0bOW824fl5pPvH/Cm3viKxsvlaUNJ2RPmY/lUrtFCH2mhWdjZSQQJgyIVeVuWOfeuB8RaSugaTa2Ly+bNPKWZxn7qjAH/j2a63+0dY1Dizsfs8Z/5aXDYP8A3z1rlL+wvb7xra6feXfnkgMxVdoQckgfgK1pNxd2wL811bab4v0gGRTHa2exyDnDbW/rTtaudQ1jVrOXT7O4j+R44pJEIALdW/AUana2nh/xxpUscSx28kbBs8/MMjJJ/wB4V28TrNCki4KuoYY9DzScrWaA5mx8LXiaetrdagUg53R2643k9csev5VqWfh7TbLBS2WRx/HL87fr0/CtM9KSs3OTHYAABhRimTTpbxtI7BVUZJPanMwVGY8ADJrjJXu/F2otHbO0OmR8NLjG71x6n+VEIc2+wnoQ3Ml54z1R7S2cxaZC371x/F7e/wBPz9uy0/T7bTLRbe0jCRj8yfUnvRYWMGm2kdraxhIkGAPX3PvVmicr6LYEB6UDPFFBNQMccUnag80n8qACk780HrQaAEOc0dKUHJwe1JQAMaSjIpcCgCcdaUikzSZzSAUjqfSm5pfakPWgAPB5pD0oPvVa6voLOPfPKkajuzAUwItVm8jTriU/wRs36Vg+D7u30nwrE1xKqtK7MMnHTA/pUHibxTbTaXPbWiyTmRCu9F+UZ9TUFr4Ym1PTrWaeQwW9vGRGCMswPzZI6D9a2jFcvvaCKmlXdnrHiC81TUnWO2QgKjfxjsPfpkiupOsX16u3TLB9nQSy/IuPUDqazfA2m28mnvfyR+ZM8rbXcZIHH68muu20ptJ2QGENDvL/AAdVvnZf+eUHyr+fetCz0my04AW1uiH+9jJ/PrV7jFIfWocmxjc4FcfpMRuviJqNweRbpgH3IAx/OuukOEY+grmfBKmYalftndPcbPwUf/Xpx0i2BZ8X6DNrdtbG0K/aLeXcu44BBHPP5H8K3YIhBbxRDGEQKMewxUmCRxSHipbbVgCk9qWkpAIVycGmxxJEoSNFRB0CjAFPyaO1ACYzS9KUYA96Q0AJS96SloAMc8UZo6UhGDQAh5NBNB60EUAAOKDx3paYQaAF980fiKTqfrT8f7NAEuKOgpQc0h4pAJ1xVe8vYbGFpbiRUQdyasdKzm0hJr2Wa6czxNjZE44SqSXUDK/tjUNYOzSbYpF3uJhgfgP8/SrFt4VhZhNqc0l5MOcscKPoP8/St1FVECqAqqMADoBQTjpT5rbAYfiDQ2vtLS1sBFDiRSRjaMd+lXNXkFl4fuTGceVbtj8Fq8eKzvEEUk/h+/iiRnd4HCqo5JIPShNuyAr+DIfK8K2fqwYn/vo1u5OCO2c1j+E45I/DNmkyMjANwwwcbjjj6Vr4ol8TAB05pD6ClI/Ok7VIDCAylTyD1qtpWmQaTYi1ttxQMWyxySTVoDtSii+lgD6cUnv3px6cU2gBc96TGeTS4o6UAITSe4p1JyKADtxS9evWmg80vY0ABwR1oHAz2oxkUnagB3akODQDgHBpMcZoAKQnpzmlB496aRxQA5iCOBTTSjpxSE5IoABwaN9FGF9KAJ+1HbmlJyB0pO1ACH1o60cjg0dKAEoFGCaToaAA9OlAFPHcUmcGgApeO1NyM0c9jxQAvbrSUNxgUEk896AG5PenHGAMYIpMg0AECgA60Ypevem9hg0ALnikzk0dD1o6jrQAo5FJgfWgEg+1JnOaAA89KXqpFGKSgAHSg8DmijH40ACnPWlbhsCk+tDc4/KgA4PXqKbnBNLwTil2nbu/A0AJ1/CkbGTikzzSlcke9ACUbvelPWj5fagD/9kAAAhAAQgkAAAAGAAAAAIQwNsBAAAAAwAAAAAAAAAAAAAAAAAAABtAAABAAAAANAAAAAEAAAACAAAAAAAAgAAAAIAAAHlDAAAAQwMAAAAAAACzAAAAs/3/FEMAAACzAAAAs/7/mUIhAAAACAAAAGIAAAAMAAAAAQAAABUAAAAMAAAABAAAABUAAAAMAAAABAAAAFEAAAB4+gAAAAAAAAAAAACUAAAATAAAAAAAAAAAAAAAAAAAAAAAAAD5AAAAgAAAAFAAAAAoAAAAeAAAAAD6AAAAAAAAIADMAJUAAABNAAAAKAAAAPkAAACAAAAAAQAQAAAAAAAAAAAAAAAAAAAAAAAAAAAAAAAAADlnWmtaa3tvWmtaa1pre29aa1prWmt7b1pre29aa3tve297b1pre29aa1prWmtaa1pre29aa3tvWmtaa1prWmtaa1prWmt7b1pre29aa3tvWmtaa1prWms5Z1prWmtaa1prWmtaa1prWmt7b1pre29aa1prWmtaa1prWmtaa1prWmtaazlnWms5Z1prWmtaazlnWmtaa3tvWmtaa1prWmtaa3tvWmtaazlnWms5Z1prWmtaa1prWmtaa1prWmtaazlnWms5Z1prOWdaa1prWmtaa1prWmt7b1prWmtaa1prOWdaa1prWmtaa1prWmtaazlnWmtaa1prOWdaazlnWmtaa1prOWdaazlnWms5Z1prOWdaazlnWms5Z1prOWdaazlnWmtaa1prWmtaazlnWms5ZzlnOWdaazlnWms5Z1prWmtaa1prWmtaa1prWmtaazlnWms5Z1prOWdaazlnWms5Z1prOWdaazlnWms5Z1prOWdaazlnWms5Z1prWmtaazlnWmtaa1prOWdaazlnWmtaa1prOWdaazlnOWc5Z1prOWc5ZzlnOWc5ZzlnOWdaa1prOWc5Z3tve297bzlnWms5ZzlnOWc5ZzlnOWc5ZzlnOWdaa1prWms5ZzlnOWd7bzlnWms5ZzlnOWc5ZzlnWmsYYwAAe29aa3tve297b1pre297b3tvWmt7b3tve29aa3tvWmt7b3tve29aa1prWmt7b1pre29aa3tvWmt7b1pre29aa1prWmt7b1pre29aa3tvWmt7b1prWmtaa1prWmtaa1pre29aa3tvWmt7b1pre297b3tvWmt7b1prWmtaa3tvWmtaa1prWmtaa1prWmtaa1prWmtaa3tvWmt7b1pre29aa3tve297b1prWms5Z1prWmtaa1pre29aa3tvWmt7b1prWms5Z1prWmtaa1prWmtaa1prWmt7b1pre29aa3tvWmtaa1pre29aa3tvWmt7b1prWmtaa3tvWmtaa1prWmtaa1prWmtaa1prWmtaa1prWmtaazlnWmtaa1prWmtaa1prWmtaa1prWmtaa1prWmtaa1prOWdaazlnWmtaa1prOWdaa1prWmtaa1prWmtaa1prWmtaa1prWmtaa1prWmtaa1prWmtaa1prWmtaa1prWmtaa1prWmtaa1prWmtaa1prWmtaa1prWmtaazlnWmtaa1prOWdaa1prWms5Z1prWmtaazlnWms5ZzlnOWdaa1prWms5Z1pre297b1prWms5Z1prOWc5ZzlnOWc5Z1prOWdaa1pre29aa1prOWdaa1prWms5Z1prOWdaazlnWms5Z1prAABaa3tve297b1pre29aa3tvWmt7b1pre29aa3tvWmtaa1pre29aa1prWmtaa1prWmtaa3tvWmtaa1prWmtaa1prWmtaa1prWmtaa1prWmtaa1prWmtaa1prWmtaa1prWmtaa3tvWmtaa1pre29aa3tvWmt7b1prWmtaa1prWmtaa1prWmtaa1prWmtaa1prWmtaa3tvWmtaa1prWmtaa1prWmt7b1prWms5Z1prOWdaazlnWmtaa1prWmtaazlnWmtaa1prOWdaa1prWmtaa1prWmtaa1prWmtaa1prWmtaa1prWmtaa1prWmt7b1pre29aa1prWmtaa1prWms5Z1prWmtaa1prWmtaa1prWmtaazlnWmtaa1prWmtaa1prWmtaa1prOWdaazlnWms5Z1prOWdaazlnWms5Z1prOWdaa1prWms5Z1prWmtaazlnWms5Z1prOWdaazlnWms5Z1prOWdaazlnWms5Z1prOWdaa1prWmtaa1prOWdaazlnWms5Z1prOWdaazlnWms5Z1prWmtaazlnWms5ZzlnOWdaazlnWms5ZzlnOWdaazlnWms5Z1prWmt7b1prWms5Z1prOWc5ZzlnOWc5ZzlnOWc5ZzlnWms5Z1prOWc5ZzlnWms5Z1prOWc5ZzlnOWc5ZzlnOWcAAHtvWmt7b3tve29aa3tvWmt7b1pre29aa3tvWmt7b1prWmtaa1prWmt7b1pre29aa3tvWmt7b1pre29aa3tvWmtaa1prWmtaa1prWmtaa1pre29aa1prWmtaa1prWmtaa3tvWmtaa1pre297b3tvWmt7b1pre29aa3tvWmt7b1pre29aa3tvWmt7b1pre29aa3tvWmtaa1prWmtaa1prWmt7b1pre29aa1prWmtaa1prWmtaa1prWmt7b1prWms5Z3tvWmtaa1pre29aa3tvWmtaa1prWmtaa1prWmtaa1pre29aa3tvWmt7b1pre29aa1prWmt7b1prWmtaa1prWmt7b1prWmtaa1prWmtaa1prWmtaa1prWmt7b1prWmtaa1prWmtaazlnWms5Z1prWmtaa1prWms5Z1prWmtaazlnWmtaa1prWmtaa1prWmtaa1prWmtaa1prWmtaa1prWmtaa1prWmtaa1prWmtaa1prWmtaa1prWmtaa1prWms5Z1prOWdaazlnWmtaa1prWmtaa1prWmtaa1prOWdaazlnWmtaa1prOWdaa1prWmtaazlnOWdaa1prWms5Z1prOWdaazlnOWc5Z1prOWdaazlnWmtaa1prOWdaazlnWmtaa1prOWdaazlnWms5Z1prOWdaawAAWmt7b3tve29aa1prWmt7b1prWmtaa3tvWmt7b1pre285Z1prWmtaa1prWmtaa3tvWmtaa1prWmtaa1prWmt7b1prWmtaa1prOWdaa1prWmtaa1prWmtaazlnWmtaa1prWmtaa1pre29aa3tvWmt7b1prWmtaa1prWmtaa1pre29aa1prWmtaa1prWmtaa3tvWmtaa1prWms5Z1prOWdaa1prWmtaa3tvWmtaa1prWmtaa1prWmtaa1prWms5Z1prWmtaa1prWmtaa1prWmtaazlnWms5Z1prWmtaa1prWmtaa1prWmtaa1prWmtaa1prOWdaa1prWms5Z1prOWdaazlnWms5Z1prOWdaa1prWms5Z1prOWdaazlnWms5Z1prOWdaazlnOWc5Z1prWmtaa1prWms5Z1prOWdaazlnWms5Z1prWmtaazlnWmtaa1prOWdaazlnWms5Z1prOWdaazlnWms5Z1prOWdaazlnWms5Z1prOWdaazlnWmtaa1prOWdaazlnWms5Z1prWmtaazlnWmtaa1prOWc5ZzlnWms5Z1prOWdaazlnWms5Z1prGGNaa1prWms5ZzlnOWdaazlnOWc5ZzlnOWc5ZzlnWms5Z1prOWdaazlnOWc5Z1prOWdaazlnOWc5ZzlnOWdaazlnAAB7b3tvnHN7b3tvWmt7b3tve29aa3tve297b1pre29aa1prWmt7b1pre29aa3tvWmt7b1pre29aa3tvWmt7b1prWmtaa3tvWmtaa1prWmtaa1prWmtaa1prWmtaa3tvWmt7b1pre29aa3tve297b1pre29aa3tvWmt7b1pre297b3tvWmt7b1pre29aa3tvWmtaa1prWmtaa1prWmtaa1prWmtaa3tvWmtaa1prWmtaa3tvWmt7b1prWmtaa1prWmt7b1pre29aa1prWmtaa1prWms5Z1prWmtaa1prWmtaa1prWmtaa1prWmtaa1prWmtaa1prWmtaa1prOWdaa1prWms5Z1prOWdaazlnWmtaa1prWmtaa1prWms5Z1prOWdaa1prWmtaa1prWmt7b1prWmtaa1prWmtaa1prWms5Z1prWmtaa1prWmtaa1prWmtaa1prWmtaa1prWmtaa1prWmtaa1prWmtaa1prWmtaa1prOWdaazlnWmtaa1prWmtaazlnWmtaa1prWmtaa1prWmtaa3tvWmtaazlnWms5Z1prWmtaa1prWms5Z1prOWc5Z1prWms5ZzlnOWdaazlnWms5Z1prOWc5ZzlnWms5Z1prOWdaazlnOWc5ZzlnOWdaazlnWms5Z1prOWdaazlnWmsAAHtve297b3tve297b1pre29aa3tvWmt7b1pre29aa1prWmtaa1pre29aa3tvWmtaa1prWmtaa1prWmt7b1pre29aa1prWmtaa1prWmtaa1prWmtaazlnWmtaa1prWmtaa1prWmtaa3tve297b1prWmtaa3tvWmtaa1pre29aa3tvWmtaa1prWmtaa1prWmtaa1prWmtaa1prWmtaa1prWmtaa1prWmt7b1prWms5Z1pre297b1prWmtaa1prWmtaa1prWmtaa1prWmtaazlnWms5Z1prOWdaa1prWmtaa1prWmtaa1prWmtaa1prWmtaazlnWmtaa1prWmtaazlnWms5Z1prOWdaazlnWmtaa1prWmtaa1prWmtaa1prOWdaazlnWms5Z1prWmtaa1prWmtaa1prOWdaa1prWms5Z1prOWdaazlnWms5Z1prOWdaazlnWms5Z1prOWdaazlnWms5Z1prOWdaazlnWms5Z1prOWdaazlnWms5Z1prOWdaazlnWms5Z1prOWdaazlnWms5Z3tvWmtaazlnWms5ZzlnOWdaazlnWms5Z1prOWc5ZzlnWms5ZzlnOWdaazlnOWc5Z1prOWc5ZzlnOWc5Z1prOWdaazlnOWc5ZzlnGGM5ZzlnWms5ZzlnOWc5ZzlnOWc5ZwAAe297b3tve297b1pre29aa3tvWmt7b1pre29aa3tvWmt7b1pre297b3tve297b1pre29aa3tvWmt7b1pre29aa3tvWmt7b1pre29aa1prWmtaa1prWmtaa1prWmt7b1pre29aa3tvWmt7b3tve29aa3tvWmt7b1pre29aa3tve297b1prWmtaa1prWmtaa1prWmtaa3tve297b3tve29aa1prWmt7b1pre29aa1prWmucc3tve29aa1prWmt7b1pre29aa1prWmtaa1prWmtaa1prWmtaa1pre29aa3tvWmt7b1pre29aa3tvWmtaa1prWmtaa1prWmtaa1prWmtaa1prWmtaa1prWmtaa3tvWmt7b1prWmtaa3tvWmtaazlnWmtaa1prWmt7b1pre29aa3tvWmtaa1prWmtaa1prOWdaa1prWmtaa1prWmtaa1prWmtaa1prWmtaa1prWmtaa1prWmtaa1prWmtaa1prWmtaa1prWms5Z1prOWdaazlnWmtaa1prWmtaazlnWms5Z1prWmt7bzlnWms5Z1prOWdaazlnWms5Z1prOWc5ZzlnWmtaa1prOWdaa1prWms5Z1prOWdaazlnWms5Z1prOWdaazlnOWc5ZzlnOWc5ZzlnWms5Z1prOWdaazlnWms5ZzlnAABaa1prWmt7b1pre29aa3tvWmt7b1pre29aa1prWmtaa1prWmtaa3tvWmtaa1prWmtaa1prWmtaa1prWmtaa3tvWmtaa1prWmtaa1prWmtaa1prWmtaa1prWmtaa1prWmtaa1prWmt7b1prWmtaa1prWmtaa1prWmtaa1prWmtaa1prWmtaa3tvWmtaa1pre29aa1prWmtaa1prWmtaa3tvWmtaa1prWmtaa1prWmtaa1prWmtaa1prWmtaa1prWmtaa1prWmtaazlnWms5Z1pre297b1prWms5Z1prWmtaazlnWmtaa1prWmtaa1prWmtaa1prWmtaa1prWmtaa1prOWdaa1prWmtaa1prOWdaazlnWms5Z1prOWdaa1prWms5Z1prWmtaa1prWmtaa1prOWdaazlnWms5Z1prWmtaazlnWms5Z1prOWdaa1prWms5Z1prOWdaa1prWmtaa1prOWdaazlnWms5Z1prOWdaa1prWmtaa1prOWc5ZzlnOWc5ZzlnOWdaazlnWms5Z1prWmtaazlnWms5Z1prOWdaa1prWms5ZzlnOWdaazlnWms5ZzlnOWc5ZzlnOWc5ZzlnOWc5ZzlnOWc5Z1prOWdaazlnOWc5ZzlnOWc5ZzlnOWc5ZzlnOWc5ZzlnOWc5ZzlnGGMAAHtvWmt7b3tve29aa3tvWmt7b1pre297b3tvWmt7b1pre29aa3tvWmt7b1pre29aa1prWmt7b1pre29aa3tvWmtaa1pre29aa1prWmt7b1prWmtaa3tvWmtaa1pre29aa1prWmt7b1prWmtaa1prWmtaa1prWmtaa1prWmt7b1pre29aa3tvWmt7b1pre29aa3tvWmt7b1pre29aa3tvWmt7b1pre29aa3tvWmt7b1prWmtaa3tvWmtaa1pre29aa1prWmtaa1prWmtaa1prWmt7b1prWmtaa1prWmt7b1prWmtaa1prWmtaa1pre29aa1prWmt7b1prWmtaa3tvWmtaa1prWmtaa1prWmtaa1prWms5Z1prOWdaa1prWmtaa1prOWdaa1pre29aa3tvWmtaa1prWmtaa1prWmtaa1prWms5Z1prWmtaa1prWmtaa1prOWdaa1prWmtaa1prWmtaazlnWmtaa1prWmtaa1prWmtaa1prWmtaazlnWms5ZzlnOWdaazlnWmtaa1prWmt7b1prWms5Z1prOWdaa1prWms5Z1prOWdaa1prWms5Z1prOWdaazlnWms5Z1prOWdaazlnWms5Z1prWmtaazlnWms5Z1prOWdaazlnWms5Z1prOWdaazlnWms5Z1prOWc5ZwAAWmt7b1pre29aa3tvWmtaa1pre29aa3tvWmt7b1pre29aa3tvWmt7b1prWmtaa1prWmtaa1prWmtaa3tvWmtaa1prWmtaa1prWmtaa1prWmtaa1prWmtaa1prWmtaa1prWmtaa1prWmtaa1prOWdaa1prWmtaa1prWmtaa1prWmtaa3tvWmtaa1pre29aa1prWmt7b1pre29aa3tvWmt7b1pre29aa3tvWmt7b1prWmtaa1prWmtaa1prWmtaa1prOWdaazlnWms5Z1prOWdaazlnWmtaa1prWmtaa1prWmtaa1prOWdaa1prWmtaa1prWmtaa1prWmtaa1prWmtaazlnWmtaa1prWmtaazlnWms5Z1prOWdaazlnWms5Z1prOWdaazlnWmtaa1prWmtaa1prWmtaa1prWmtaazlnWms5Z1prOWdaazlnWms5Z1prOWdaazlnWmtaa1prWmtaazlnWms5Z1prWmtaazlnWms5Z1prOWdaazlnWms5ZzlnOWc5ZzlnWms5Z1prWmtaa1pre29aa1prOWdaazlnWms5Z1prOWdaa1prWms5Z1prOWdaazlnOWc5Z1prOWc5ZzlnWms5ZzlnOWdaazlnWmtaa1prOWc5ZzlnWms5ZzlnOWc5ZzlnOWc5ZzlnOWc5ZzlnAAB7b1pre29aa3tvWmt7b1pre29aa3tvWmt7b3tve29aa3tvWmt7b1pre29aa1prWmt7b1pre29aa3tvWmt7b1pre29aa1prWmt7b1prWmtaa1prWmtaa1pre29aa3tvWmtaa1prWmtaa1prWmtaazlnWmtaa1prWmtaa1prWmtaa3tvWmt7b1pre29aa3tvWmt7b3tve297b3tvWmt7b1pre29aa3tvWmt7b1pre29aa3tvWmtaa1pre29aa1prWmtaazlnWms5Z1prWmtaa1prWmtaa3tvWmt7b1prWmtaa1prWmtaa1prWmtaa1prWmtaa1prWmtaa1prWmtaa1prWmtaa1prWmt7b1prWmtaa1prWmtaazlnWmtaa1prWmtaa1prWmtaa3tvWmtaa1pre29aa1prWmtaa1prWmtaa1prWmtaa1prWms5Z1prOWdaa1prWmtaa3tvWmtaazlnWms5Z1prWmtaa1prWmtaa1prWmtaa1prWmtaa1prOWdaazlnWms5Z1prWmtaa1pre29aa1prOWdaazlnWms5Z1prOWdaa1pre29aa1prWmtaazlnOWc5Z1prOWdaazlnWms5Z1prOWdaa1prWms5Z3tvWmtaazlnWms5Z1prOWdaazlnWms5Z1prOWdaazlnWmsAAFprWmtaa3tvWmt7b1pre29aa1prWmt7b1pre29aa3tvWmt7b1prWmtaa1prWmtaa1prWmtaa3tvWmtaa1prWmtaa1prWmtaa1prWmtaa1prWmtaa1prWmtaa1prWmtaa1prWmtaa1prWmtaa1prWms5Z1prWmtaa1prWmtaa1prWmtaa1pre29aa1prWmt7b1pre29aa3tvWmt7b1pre29aa1prWmt7b1prWmtaa1prWmtaa1prWmtaa1prWmtaazlnWms5Z1prOWdaa1prWmtaa3tve297b1prWmtaa1prWmtaa1prWmtaa1prWmtaa1prWmtaa1prWmtaa1prWms5Z1prWmtaa1prWmtaa1prWmtaa1prWms5Z1prWmtaazlnWmtaa1prWmtaa1prWms5Z1prWmtaa1prWmtaa1prWmtaa1prWms5Z1prOWc5ZzlnWms5Z1prWmtaazlnWms5Z1prOWdaazlnWms5Z1prOWdaazlnWms5Z1prOWdaazlnOWc5Z1prOWdaa1prWmtaa1prWmtaazlnWms5Z1prOWdaa1prWmtaa1prWmtaazlnOWc5ZzlnOWdaazlnWms5Z1prOWdaazlnOWc5Z1prWmtaazlnWms5ZzlnOWc5ZzlnOWc5ZzlnOWc5ZzlnOWc5ZwAAe29aa3tve297b1pre29aa3tvWmt7b3tve29aa3tvWmt7b1pre29aa1prWmt7b1pre29aa3tvWmt7b1pre29aa1prWmt7b1prWmtaa3tvWmtaa1pre29aa1prWmt7b1pre29aa3tvWmt7b1prWmtaa1prWmtaa1prWmtaa1prWmt7b1pre29aa3tvWmt7b1pre29aa3tvWmt7b1pre29aa1prWmt7b1pre29aa3tvWmtaa1pre29aa1prWmt7b1prWmtaa1prWmtaa1prWmtaa1pre2+cc3tve29aa1prWmtaa1pre29aa1prWmtaa1prWmtaa1prWmtaa1prWmtaa1prWmt7b1pre29aa1prWmtaa1prWmtaa1prWmtaa1prWmtaa1prWmtaa1prWmtaa1prOWdaa1prWmtaa3tvWmtaa1prWmtaa1prOWdaazlnWmtaa1prWmt7b1prWms5Z1prOWdaa1prWmtaa1prWmtaazlnWmtaa1prWmtaa1prWms5Z1prWmtaa1prWmtaa3tvWmtaa1prWms5Z1prWmtaa1prWmtaa1prOWdaa1prWms5Z1prOWdaa1prWms5Z1prOWdaa1prWms5Z1prWmtaa1prWms5Z1prOWdaazlnWms5Z1prOWdaazlnWms5Z1prAABaa3tvWmt7b1pre29aa1prWmt7b1pre29aa3tvWmtaa1pre29aa1prWmtaa1prWmtaa3tvWmtaa1prWmtaa1prWmtaa1prWmtaa1prWmtaa1prWmtaa1prWmtaa1prWmtaa1prWmtaa1prWms5Z1prOWdaazlnWmtaa1prWmtaa1pre29aa1prWmt7b1prWmtaa3tvWmtaa1pre29aa3tvWmtaa1prWmtaa3tvWmtaa1prWmtaa1prWmtaa1prWmtaa1prWmtaa1prWmtaa1prOWdaa1pre29aa1prOWdaa1prWmtaa1prWmtaazlnWmtaa1prOWdaa1prWms5Z1prWmtaa1prWmtaa1prWmtaa1prWmtaa1prWmtaazlnWmtaa1prWmtaa1prWms5Z1prOWdaazlnWms5Z1prOWdaa1prWms5Z1prOWdaazlnWms5Z1prOWdaa1prWms5ZzlnOWdaazlnWmtaa1prOWdaazlnWms5Z1prOWdaazlnWms5Z1prOWdaa1prWms5Z1prWmtaazlnWms5Z1prOWdaazlnWmtaa1prOWc5ZzlnWms5Z1prOWc5ZzlnWms5Z1prOWdaazlnWms5ZzlnOWdaa1prWms5ZzlnOWdaazlnOWc5ZzlnOWc5ZzlnOWc5ZzlnOWcAAHtvWmt7b1pre29aa3tvWmt7b3tve29aa3tvWmt7b1pre29ba3tvWmtba1pre29aa3tvWmt7b1pre29aa1prWmt7b1prWmtaa3tvWmtaa1prWmtaa1prWmt7b1pre29aa1prWmtaa1prW2taa1prOWdaa1prWmtaa1trWmtba1trfG9ba3tvWmt7b1prem9aa1prWmtba1pre29ba3tvWmt7b1pre29aa3tvWmt7b1pre29aa1prWmt7b1prWmtaa3tvWmt7b1pre29aa1prWmtZa1lrem9aa1prOWdaa1pre29aa1prWmtaa1prWmtaa1prWmtaa1prWmtaa1prWmtaa1pre29aa3tvWmtaa1pre29aa1prWmtaa1prWmtaa1prWmtaa1pre29aa1prWmtaa1prWms5Z1prOWdaazlnWmtaa1prWmtaa1prWms5Z1prWmtaa1pre29aa1prOWdaazlnWmtaa1prWmtaa1prWmtaa1prWmtaa1prWms5Z1prWmtaa1prWmtaa1prWmtaa1prWmtaa1prWmtaa1prWmtaa1prOWc5ZzlnOWc5Z1prOWc5ZzlnWmtaa1prOWdaa1prWmtaa1prOWdaazlnWms5ZzlnOWdaazlnWms5Z1prOWdaazlnWms5Z1prOWdaawAAWWtaa1prem9aa3pvWmt7b1pre29aa3pvWmtaa1prWmtba1tvW2t7b1prW2taa1trWmt7b1prWmt6b3tvOWdaazlnWmtaa1prWmt7b1prOWdZa1prWmtaa1lrWmtZa1prWmtaa1prW2s6Z1prOWdaazlnem97b1prO2s7Z11v2V40StlenXNba1prWWd6b3pvWmt7b1tre29ba1tvWmt7b1pre29aa1prWmtaa1pre29aa1prWmtaa1prWmtaa1prWWtaazlnWms5Z1prWWt6b1lnWWtZa1prWWtaa1prWmtaa1prWmtaa1prWmtaa1prOWdaa1prWms5Z1prWmtaa1prWmtaa1prWmtaa1prWmtaa1prWmtaa1prWmtaa1prWmtaa1prWmtaa1prWmtaa1prWmtaa1prWmtaa1prWms5Z1prOWdaazlnWms5Z1prOWdaazlnWmtaa1prWmtaazlnWmtaa1prWmtaa1prWms5Z1prOWdaazlnWms5Z1prOWc5ZzlnWms5Z1prOWdaazlnWmtaa1prWmtaazlnWms5Z1prOWdaazlnWms5Z1prOWdaazlnWms5Z1prOWc5ZzlnOWc5Z1prOWdaazlnWms5ZzlnOWc5ZzlnOWc5Z1prOWc5ZzlnWms5ZzlnOWdaazlnAABaa1prem9aa3tvWmt7b3tve296b3tvWmt6b1prem9aa3tvW2t7b1trW29ba3tvWms5Z1pre29aa3tvWmtaa3pve29aa3tvWmtaa1pre29aa3pvWmt6b1prWmtZa1prWWt6a1prW2taa1trOmdbazlnWms5Z1prOWd8bxtn2l5vMS0lsTVca3xvnHN6b3pvWWt7b1trfG9ba3tvW2t7b1pre29aa3tvWmt7b1pre29aa1prWmt7b1pre29aa3tvWmtaa1lrWmtZa1prWWt6b1prWmtZa1prWWtaa1prem9aa1prWmt7b1pre29aa1prWmtaa1prWmtaa1prWmtaa1prWmtaa3tvWmtaa1pre29aa1prWmt7b1prWmtaa1prWmtaa1prWmtaa1prWmtaa1prWmtaa1prWmtaa1prWmtaa1prOWdaazlnWms5Z1prWmtaa1prWmtaa1prWmtaazlnWmtaa1prWmtaa1pre29aa1prOWdaa1prWmtaa1prWmtaazlnWmtaa1prWmtaazlnWms5Z1prWmtaa1prWms5Z1prOWdaazlnWms5Z1prWmtaazlnWmtaa1prOWdaazlnOWc5Z1prWmtaa1prWmtaazlnOWdaazlnOWc5Z1prWmtaazlnWms5Z1prOWdaazlnWmsAAFprWmtaa3pvWmt7b1pre29aa3tvWmt6b1prem9aa1prWmtbb1prW2taa1trWmtbazpne29ba1trW2tbazlne29aa1prWmt7b1prWmtaa3tvWmt6b1prWmtZa1prOWdZa1lrWmtaa1prOmdbazpnWmtZa1lrOWc5Z1xvO2t2UqkU6yAtKRpjXGtaa3tvWWt6b1pre29ba1trW2tbb1prWmtaa3tvWmt7b1pre29aa1prWmtaa1prWmtaa1prWmtaa1lrWms5Z1prWWtaa1lrWmtZa1prWWdaa1lrWmtZa1prWmtaa1prWmtaa1prOWdaa1prWms5Z1prWmtaazlnWmtaa1prWmtaa1prWmtaa1prWmtaa1prWmtaa1prOWdaa1prWmtaa1prWmtaa1prWmtaa1prOWdaazlnWms5Z1prOWdaazlnWms5Z1prOWdaa1prWms5Z1prWmtaazlnWms5Z1prOWdaa1prWmtaa1prOWdaazlnWms5Z1prOWdaa1prWms5Z1prWmtaazlnWms5Z1prOWdaa1prWms5Z1prOWdaazlnWmtaa1prOWdaazlnWms5Z1prOWdaazlnOWc5Z1prOWdaazlnWms5Z1prOWdaazlnOWc5ZzlnOWdaazlnWms5ZzlnOWdaazlnOWc5ZwAAe29aa3tvWmt7b3pve296b3tvem97b1pre29aa3pvWmt7b1tre29ba3tvW2tbb1trnHNbaxlj+F5ba1tvW2taa1trOmdba3tvnHNaa3tve297b1prem9aa1prWWtaa1lremtZa1prWmtba1prWms5Z1prWWt7bzlnW2s7Z7hayhhvMS0pXGtbazlnem96b5tze29ba3tvW2t7b1tre29aa3tvWmt7b1pre29aa1prWmtaa1pre29aa3tvWmtaa1prWmtZa1prWWtaa1lrWmtZa1prWWtaa1lrWmtaa1prWmt7b1pre29aa3tvWmtaazlnWmtaa1prWmtaa1prWmtaa1prWmtaa1prWmtaa1prWmtaa1prWmtaa1prWmtaa1prWmtaa1prWmtaa1prWmtaa1prWmtaazlnWmtaa1prOWdaa1prWms5Z1prWmtaa1prWmtaa1prWmt7b1prWms5Z1prWmtaa1prWmtaa1prWmtaa1prWmtaa1prWmtaazlne29aa1prWmt7b1prWms5Z1prWmtaa1prWmtaa1prOWdaazlnWmtaa3tvWmtaazlnWms5Z1prOWdaazlnWms5Z1prOWdaazlnWms5Z1prOWdaazlnWms5Z1prOWdaazlnWms5Z1prOWdaazlnWms5Z1prAABaa3pvWmt7b1pre29aa3tvWmt6b1prem9aa1prWmt6b1prW2taa1trWmtba1trW298b/heEUIRRrdaW2tca1xvW2tbazpre29bb3tvWmtaa1pre29aa1prWWtaa1lrWWtZa1lrWWtaazpnWms6Z1prOGc4Z1prOWcZYztn2FrqHC0lDCU8a51zWmt7b1lnem9aa1trW2tba1prW2taa1prWmtaa1pre29aa1prWmtaa1prWmtaa1prWmtaa1prWms5Z1lrOWdaazlnWmtZa1prOWdaa1lrWmtZa1prWWtaa1prWmtaa3tvWmtaazlnWms5Z1prWmtaazlnWmtaa1prWmtaa1prWmtaa1prWmtaa1prWmtaa1prWmtaa1prWmtaa1prWmtaa1prWmtaa1prOWdaazlnWms5Z1prOWdaazlnWms5Z1prOWdaa1prWms5Z1prOWdaa1prWmtaa1prOWdaa1prWms5Z1prOWdaazlnWms5Z1prOWdaazlnWms5Z1prOWdaa1prWms5Z1prOWdaazlnWms5Z1prOWdaazlnOWc5Z1prWmtaazlnWms5ZzlnOWdaazlnOWc5ZzlnOWdaazlnWms5Z1prOWdaazlnWms5Z1prOWc5ZzlnWms5ZzlnOWdaazlnOWc5Z1prOWcAAHtvWmt7b3pve296b3tvem97b1pre29aa3tvWmt7b1pre29aa3tvWmt7b1tre29ba1trlVKvOY4xdE4aY1xvfG99b3xvfG9aa1trW2t8b1pre29aa3tvWmt6b1lrem9Za1lrWWtaa1prW2taa1trWmt6bzhnWms5Z1trW2vYXocUDCVNKVxrfXN7b3pvWmtaa3pvWmt7b1trW29ba3tvWmt7b1pre29aa3tvWmtaa1prWmtaa3tvWmt7b1pre29aa1prWWdaa1prWmtZa1prWWtaa1lrWmtaa1prWmt6b1pre29aa3tvWmt7b1prWmtaa1prWmtaa1prWmtaa1prWmtaa1prWmtaa1prWmtaa1prWmtaa1prWmtaa1pre29aa1prWmtaa1prWmtaa1prWmtaazlnWmtaa1prWmtaa1prWmtaa1prWmtaa1prWmtaa1prWmtaa1prWmtaa1prOWdaa1prWmtaa1prWmtaazlnWms5Z1prWmtaa1prWmtaa1prOWdaa1prWmtaa1prWmtaazlnWmtaa1prOWdaa1prWms5Z1prWmtaa1prWmtaa1prOWdaazlnWms5Z1prOWdaazlnWmtaa1prOWdaazlnWmtaa1prOWc5ZzlnWms5Z1prOWdaazlnWms5Z1prOWdaawAAWmt7b1pre29aa3tvWmt7b1prem9aa3pvWmt6b1prem9aa1prWmtaa1prW29ba1tvOmf4XjNKEkJUSpZSllK4WvheW2t8b1trOmdbb1tvW2taa1prWmtaa1lrem9Za3prWGtZa1lnWms6a1trOmdaa3tvOGdZa3pvWmtba7dahxQsJdI5O2dca1prWWtZa3pvWmtba1prW2taa1trWmtaa1pre29aa1prWmtaa1prWmtaa1prWmtaa1prWmtaa1prOWdZazlnWmtaa1prOWdaa1prWms5Z1prWWtaa1lrWmtaa1prWmtaa1prWmtaa1prWmtaazlnWmtaa1prOWdaa1prWms5Z1prWmtaazlnWmtaa1prOWdaa1prWmtaa1prWmtaa1prWmtaa1prWmtaazlnWms5Z1prWmtaa1prWms5Z1prOWdaazlnWmtaa1prWmtaazlnWmtaa1prOWdaazlnWms5Z1prOWdaazlnOWc5Z1prOWdaazlnWms5Z1prOWdaazlnWmtaa3tvWmtaazlnWms5Z1prOWdaazlnWms5Z1prOWdaa1prWmtaa1prOWdaazlnOWc5ZzlnOWc5ZzlnOWc5Z1prOWdaazlnWms5Z1prOWdaazlnOWc5Z1prOWdaazlnOWc5Z1prOWc5ZzlnAAB7b3tve296b3tvem97b3pve29aa3pvWmt7b1pre29aa3pvWmt7b1pre29ba3tvW2tba1trO2e3WnVS8kGwObA5VEr5Yp1zXG9ba3xvfG86a1trWmtba1pre29aa3tvemtZa1lrWmtaa1trWmtba1prem8XY3pvem9aaxlj2F7IGOsg8j08a1xrnHNZa3pvWWd6b1prW2tba1tvW2tba1pre29aa1prWmtaa1prWmtaa1prWmt7b1pre29aa1prWmtZa1lnWmtZa1prWmtaazpnW2taa1prWmtaa1premtZa1prWmtaa1pre29aa1prWmtaa1prWmtaa1prWmtaa1prWmtaa1prWmtaa1prWmtaa1prWmtaa1prWmtaa1prWmtaa1prWmtaa1prWmtaa1prWmtaa1prWmt7b1pre29aa1prWmtaazlnWmtaa1prWmtaa1prWmtaa3tvWmtaazlnWmtaa1prWmtaa1prWms5Z1prWmtaa1prWmtaa1prOWdaa1prWmtaa3tve297b1prWmtaa1prOWdaazlnWms5Z1prWmtaazlnWmtaa1prWmtaazlnWms5Z1prOWc5ZzlnOWc5Z1prOWdaa1prWmtaa1prWmtaazlnWms5Z1prOWdaazlnWms5Z1prOWdaazlnOWcAAFprem9aa3tvWmt6b1pre29aa3pvWmt7b1prWmtaa1prWWdaa1prem9aa1trW2t8bzprW2s7Zztn2FpUTo81KyVtLdA5VE4ZYztrW2s6a1trOmtba1tve29aa1prWmtaa1lreWtZa1prWmtbazpnOms5Z1prOGd6bxhjOWfXWskcDCWxOVxrfG9aa3pvemt6a1pre29ba1tvW2t7b1trWmtaa1prWmt7b1prWmtaa1prWmtaa1prWms5Z1prWmt6bzlnWWc5Z1prOmdba1prW2s5Z1trOmdaa1prWmtZZ5tzWWtaa1prWmtaa1prWmtaazlnWmtaa1prOWdaa1prWms5Z1prWmtaa1prWms5Z1prOWdaa1prWmtaa1prWmtaazlnWms5Z1prOWdaazlnWms5ZzlnOWdaa1prWms5Z1prOWdaazlnWmtaa1prWmtaa1prWmtaa1prOWdaa1prWms5ZzlnOWdaazlnWms5Z1prOWdaa1pre29aa1prOWc5ZzlnWmtaa1prWmtaa1prWms5Z1prOWdaazlnWms5Z1prOWdaazlnWms5Z1prOWdaaxhjOWc5ZzlnOWc5ZzlnWms5ZzlnOWdaazlnWms5Z1prOWdaazlnWms5ZzlnOWc5ZzlnWms5ZzlnOWc5ZzlnWmsYYwAAe29aa3tvem97b1pre296b3tvWmt7b3pve29aa3pvWmtaa1pre29aa3tvWmt7b1tvfG9ca3xvXGs7a9hedVISQislTC2uNc85dE4ZY3xvOmc6Z3tvfG86Z1trnXedczlnem96a1prWmt8bztnOmd8b1prWmtZa3pvOWc6Z/he6RwsJZA1fW98b3tvWmt6b1pre29aa3tvW2t7b1tve29aa1prWmt7b1pre29aa3tvWmt7b1pre29aa1prWmt7b1prWmtZa1prWmtaa1prW2tba1trW2tba1pre29aa1prWWtaa1prWmtaa1prWmt7b1prWmtaa1prWmtaa1prWmtaa1prWmtaa1prWmtaa1prWmtaa1prWmtaa3tvWmtaa1prWmtaa1prWmtaazlnWmtaa1prOWdaa1prWmtaa1prWmtaa1prWmtaa1prWmtaa1prWmtaa1prWmtaa1pre29aa1prWmtaa1prWmtaa1prWmtaazlnWmtaa3tvWmtaazlnWmtaa1prWmtaa1prWmtaa1prWmtaa1prWmtaa1prWmtaa1prWmtaa1prWmtaa1prWms5Z1prWmtaazlnWms5Z1prOWdaa1prWms5Z1prOWdaazlnWms5Z1prOWdaazlnWms5Z1prOWdaazlnWms5ZzlnAABaa3pvWmt6b1prem9aa3pvWmt6b1prem9aa3pvWmtaa1lremtaa3prWmtaa1pre29ba1trOmtba1trW2v5YvheU0quNSolTC2NMdA9VE4aY31vOmcZY3xvfG86ZzpnfG84Z3pvOWdba3xv+V6VUhpjOmt8bzlne285Z1pr+F4KIesgkDVca3xvWmt6b1lremtaa1trOmtba1trW29aa1prWmtaa1prWmtaa3tvWmtaa1pre29aa1prWmtaa1prWmtZa1prWWtaazpnWms6Z1trW2tbazpnOmtaa3pvWWtZazlnWms5Z1prWmtaa1prWms5Z1prWmtaa1prWms5Z1prOWdaa1prWmtaa1prOWdaazlnWms5Z1prWmtaa1prWmtaa1prOWdaazlnWms5Z1prOWdaazlnWms5Z1prOWdaa1prWmtaa1prWmtaazlnWms5Z1prOWdaa1prWmtaa1prWmtaa1prWmtaa1prWmtaazlnWms5Z1prWmtaazlnWmtaa1prWmtaa1prWmtaa1prWmtaazlnWmtaa1prOWdaazlnWms5Z1prOWdaazlnWmtaa1prWmtaazlnOWc5ZzlnOWdaazlnWms5Z1prOWc5ZzlnWms5ZzlnOWc5ZzlnOWc5Z1prOWc5ZzlnWms5Z1prOWcAAHtvWmt7b1pre29aa3tvWmt7b1pre29aa3tvWmt6b1prem9aa3pvWmt6b1pre29ba3tvWms6azpnW2taa1prOmcZYxljtlaNNSspbTHQOa81dE4aY31vOmc7Z31vnXM6Z3tvnHN7b1trO2sSQkwp0Dlba3xve297b1trWmv4Xisl6yBvMVxrfG97b1lremtaa3tvWmtba1tre29ba3tvWmtaa1prWmtaa3tve297b1pre29aa3tvWmtaa1prWmtZa1prWWt6a1prW2s6Z1xrW2t8b1trW2taa1prWmt7b1lrWmtaa1prWmtaa1prWmtaa1prWmtaa1pre29aa1prOWdaa1prWmtaa1prWmtaa1prWmtaa1prWmtaa1prWmtaa1prWmtaa1prWmtaa1prOWdaa1prWmtaa1prWmtaazlnWmtaa1prWmtaa1prWms5Z1prWmtaa1pre29aa1prWmt7b1pre29aa3tvWmtaa1prWmtaa1prWmtaa1prWmtaa1prWmtaa1pre29aa1prWmt7b1prWmtaa1prWmtaa1prWmtaa1prWmtaa1prWmtaa1prWmtaa1prWms5Z1prOWd7b1prWmtaa1prOWdaazlnWms5Z1prOWdaazlnWms5Z1prOWdaazlnWms5Z1prOWdaawAAWmt6b1prem9aa3pvWmt6b1prWmtaa3tvWmt6b1prem9Za3prWmt6b1lrWmtaa3tvWmtaazlnWmtaa1prWmtaazpnGGP4YjlnlVKuNSspjTFtLY41M0Y7Z31vO2c7Z753OWd7bzpnO2f5XrA1yRhtLflenHNaa3tvWmtaa/hebTHKHE4tGmN8b1prWmtZa3pvWmtaazpnW29ba1trWmt7bzlnWmtaa3tvWmt7b1pre29aa3tvWmtaa1prWmtaa1prOGdZa1lrWms6Z1trO2tca/he+WJba5xzWmtZa1prWWtaa1prWmtaazlnWms5Z1prOWdaa1prWmtaa1prOWdaa1prWmtaa1prWmtaa1prWms5Z1prOWdaazlnWmtaa1prWmtaa1prWms5Z1prOWdaa1prWms5Z1prOWdaazlnWmtaa1prWmtaazlnWms5Z1prOWdaa1prWmtaa1prWmtaa1prWmtaa1prWmtaazlnWms5Z1prOWdaazlnWmtaa1prOWdaa1prWmtaa1prWmtaa1prWmtaa1prWmtaa1prWms5Z1prOWdaazlnWms5Z1prOWdaazlnWms5ZzlnOWdaa1pre29aa1prWmtaazlnWms5Z1prOWdaazlnOWc5ZzlnOWc5ZzlnOWc5ZzlnOWdaazlnAAB6b1pre29aa3pvWmt7b1prem9aa3tvem97b1pre29aa3pvWmt7b3prWmtaa3pvWmt7b1prem9aa3pvWmt6b1prGGNaa3xvGWcZY/helVLQOUspbS2ONY81M0bZWjxn+V5aa1trW2s7a/pi0TksJW4x11p8b3xvW29bazpnGmOwOescLSkaY1tre29aa3pvWmt7b1prW2t8b3xzW2tba3tvWmtaa3tvWmt7b1pre29aa3tvWmt7b1pre29aa1prWWtZazlnWmtaa1tvW2tbaztn0DnQPddafHN7b1lrem9Za3pvWmt7b1prWmtaa1prWmtaa1prWmtaa1prWmtaa1pre29aa1prWmtaa1pre29aa1prWmtaa1prWms5Z1prWmtaa1prWmtaa1prWmtaa1prWmtaa1prWmtaazlnWmtaa1prWmtaa1prWmtaa1prWmtaa1prWmtaa1prWmtaa1prWmtaa1prWmtaazlnWms5Z1prOWdaa1prWmtaa3tvWmtaa1prWmtaa1prWmtaa1pre29aa3tvWmtaa1prWmtaa1prWmtaa1prWmtaa1prWms5ZzlnWms5Z1prOWdaa1pre29aa3tvWmtaa1prWms5Z1prOWdaazlnWms5Z1prOWdaazlnWms5Z1prOWdaa1prWmsAAFprem9aa1prWmt6b1prWmtaa1prWmt6b1pre29aa3pvWmt6b1prem9Za1prWWt6a1lrWmtZa1prWWt6b1lrWWt7bzpnGGNba1trOmf4XhljdVLxPW0tbjFuMY8x0T11ThljOmc7Z1xr2V7SPQshCyVVTlxrW2t7b1trW2s6ZxNGyhwtJdhaOmdaa3pvWWtaa3pvWmtaa3xzfG97b1pre29aa1prWmtaa1pre29aa1prWmtaa1prWmtaa1prWmtaa1lrWWs4Z1prW2tcaxpj+WLqIAohEkZba3tvWWtaa1prWWtaa1prWmtaa1prWmtaa1prWms5Z1prOWdaa1prWmtaa1prWmtaa1prWmtaa1prWmtaazlnWms5Z1prOWdaa1prWmtaa1prWmtaazlnWms5Z1prOWdaazlnWms5Z1prOWdaazlnWmtaa1prOWdaa1prWmtaa1prWmtaazlnWmtaa1prWmtaazlnWms5ZzlnOWdaazlnWmtaa1prWmtaa1prWmtaa1prWmtaa1prWmtaa1prWmtaazlnWms5Z1prOWdaazlnWms5Z1prOWdaazlnWms5Z1prOWdaazlnWmtaa1prWmtaa1prWms5ZzlnOWdaazlnOWc5ZzlnOWc5ZzlnOWc5ZzlnOWdaazlnWms5ZwAAe29aa3pvWmt7b1prem9aa3pvWmt6b1pre296b3tvWmt7b1pre29aa3pvWWt6a1lre296b3pvWmt6b1prem9Za1lrWmt7b1prOms6ZzpnGWMZY/het1YSQo4xKyVtLY41rjXwPZZS+mL6XhRGkDFNLVRKO2tcb1trfG9ba1tvVE7rIAwl2FoaY3tvem96b1lre29aa3tvnHOdd3tvW2tba3tvWmt7b1pre29aa3tvWmtaa1pre29aa3tvWmtba1prem9Za1lrWmt8b1trGmfYWk0tCiESRltrfG85Z3prWWtaa1prWmtaa3tvWmt7b1pre29aa1prOWdaa1prW2taa3tvWmtaa1prWmtaa3tvWmt7b1prWms5Z1prOWdaazlne29aa1prWmtaa1prWmtaa1prWmtaazlnWmtaa1prWmtaa1prWmtaa1prWmtaa1pre29aa1prWmtaa1prWmtaa3tvWmtaa1prWmtaa1prOWdaazlnWmtaa1prWmtaa1prWmtaa1prWmt7b1prWmtaa1prWmtaa1prWms5Z1prOWdaa1prWmtaa1prWmtaa1pre29aa3tvWmtaazlnWms5Z1prWmtaazlnWms5Z1prOWdaazlnWms5Z1prOWdaazlnWms5ZzlnOWdaazlnWmtaa1prAABaa3pvWmt6b1prem9aa3pvWWtaa1prWmtaa1prWmt6b1prem9aa1prWmtaa1prem9aa3pvWmt6a1lrWmtZa3prWmt7b1prWmtaa1prWmtaazlnOmcYY/helFIRQowxKyULJU0pTimQNdM90j1OLS0lsDU7ZxpjfG98b1lremuUUuogLSkTQn1zW2t7b1lrm29Za3prWmt6b1pre2tba3tvWmtaa1prWmtaa1prWmtaa1prWmtba3tvWmtbazprWmtZa1lrOWdaazprW2saZ/pebzHrIG4tXW86a1lreWtZazlnWmtaa3tvW2t7b3tve29aa1trWmtbazpnWms6Z1prWmtaa1prWmtaa1prWmtaazlnWmtaa1prOWdaa1prWms5Z1prWmtaazlnWmtaa1prOWdaa1prWmtaa1prOWdaa1prWms5Z1prOWdaa1prWmtaa1prWmtaazlnWms5Z1prOWdaazlnWms5Z1prOWdaazlnWmtaa1prOWdaa1prWmtaa1prWmtaazlnWms5Z1prWmtaa1prWms5Z1prOWdaazlnWms5Z1prOWc5ZzlnWms5Z1prOWdaazlnWms5Z1prOWdaazlnWms5Z1prOWdaazlnWms5Z1prOWdaazlnWmsYYzlnOWc5ZxhjOWc5Z1prWmsAAHtvWmt7b1pre29aa3tvWmtaa1prem9aa3pvWmt7b1pre29aa3tvWmt6b1pre296b3tvWmt7b1prWmtaa3pvWmt7b1pre29aa1prWmtaa1prWmtaa3tvWmtaa/de1lqVUjNGE0KxOS0pDCHKHOsc7CBOKXZO2Fpca51zOGNaa7ZWyRwtKTNGXGs6Z3tvWms4Z3pvWWt6b1pre29aa3tvW2tba1pre29aa3tvWmt7b1prW2tba3tvW2t7b1prW2taa1prWWtaazlnW2tbaztn+V6QMcocTi08Z1xrOWd5a1hrWmtaa3tvW2t7b1tre29aa3tvWmtbb1trW2taa1trOmtba1prWmtaa1prWmtaa1prWmtaa1prWmtaa1prWmtaa1prWmtaa1prWmtaa1prWmtaa1prWmtaa1prWmtaa1prWmtaa1prWmtaa1prWmtaa1prWmtaa1prWmtaa1prWmtaa1prWmtaa1prWmtaa1prWmtaa1prWmtaa1prWmtaa1prWmtaa1prWmtaa1prWmt7b1prWmtaa1prOWdaa1prWmtaa1prOWdaazlnWms5Z1prWmtaa1prWms5Z1prOWdaa1prWmtaa1prWmtaa1prWms5Z1prOWdaazlnWms5ZzlnOWdaazlnOWc5Z1prWmtaawAAWmt6b1prem9aa3pvWmt6b1prWmtaa1prWmt6b1prem9aa3pvWmtaa1prem9aa3pvWmt6b1prWmtaa1prWmtaa1prWmtaa1prWmtaa1prWms5ZzlnOWc5ZzlnOWcYYxhj+F75XpZS8j1uLQwlyhjJGOsc0Tk0RhtnXWsaYzpnGWPrIE4p0TldaxljnXM6Z1prWWt6a1lremtaa3trW2tba1pre29aa3tvWmt7b1prWmtaa1trWmtba1prW2taa1prWmtaazlnWmtaa1trGmf6XpA16yAMJfpeW2s5ZzhnWWtZa1trWmtaa1prWmtaa1prWmtaa1prWmtaa1trOmdaa1prWmtaa1prWmtaa1prWmtaa1prOWdaa1prWms5Z1prOWdaazlnWms5Z1prOWdaazlnWms5Z1prWmtaazlnWms5Z1prWmtaa1prWmtaa1prWmtaazlnWmtaa1prOWdaazlnWms5Z1prOWdaazlnWmtaa1prOWdaa1prWms5Z1prWmtaazlnWmtaa1prOWdaa1prWms5Z1prOWdaazlnWms5Z1prOWdaazlnWms5Z1prOWdaazlnWms5Z1prOWdaazlnWms5Z1prOWdaazlnWms5Z1prOWc5ZzlnOWc5ZzlnOWc5ZzlnOWc5ZzlnOWdaazlnAAB7b3pve29aa3tvem97b1pre29aa3pvWmt7b1pre29aa3tvWmt7b1pre29aa3tvWmt7b1prem9aa3pvWmt6b1pre29aa1prWmt7b1pre29aa3tvWmtaazlnWms5ZzlnGGNaazlnOmf4XthaVUqQNakUVkqxNS0pkTWYUhtjPGe4VpA1LSmQNV1vXGt8bzpne296b1premtaa3tvWmt7a1tre29aa3tvWmt7b1pre29aa3tvWmt7b1pre29aa1trWmtaa1prWms5Z1trW2s7Z/pi8j0MJQwll1Z9bzpnWWtZa3pvWmtaa1pre29aa1prWmt7b1prWmtaa1trWmtaa1prWmtaa1prWmtaa1prWmtaa1prWmtaa1prWmtaa1prWmtaa1prWms5Z1prWmtaazlnWmtaa1prWmtaa1prWmtaa1prWmt7b1pre29aa1prWmtaa1prWmtaa1prWmtaa1prWmtaa1prWmtaa1prWmtaa1prWmtaa1prWmtaa1prWmtaa1prWmtaa1prWmtaa1prWmtaa1prOWdaazlnWms5Z1prWmtaazlnWms5Z1prOWdaa1prWms5Z1prOWdaazlnWmtaa1prWmtaa1prWmtaa1prOWc5ZzlnOWc5ZzlnOWdaazlnWms5Z1prOWdaazlnWmsAAFprem9aa3tvWmt6b1pre29aa3pvWmt6b1prem9aa3pvWmt6b1prem9aa3pvWmt6b1prem9aa1prWWtaa1prWmtaa1prWmtaa1prWmtaa1prWmtaa1prWmtaa1prWmtaa1hnN2c4YzlnGWP5XhNC6yBvLdM9V0rUPQ0lcC3TPTZKkTENIU4pPGc8Z31vGWNba1prWmtaa1prWmtaa1prW2taa3tvWmt7b1pre29aa3tvWmtaa1prWmtaa1prWmtaazlnWmtZa1prOmdbazpnG2MTQk4p6hw0RlxrWmtZZ3pvWWtaa1prWmtaa1prOWdaa1prWmtaa1prWmtaa1prWmtaa1prWmtaa1prWmtaa1prOWdaa1prWms5Z1prWmtaazlnWms5Z1prOWdaazlnWms5Z1prWmtaa1prWms5Z1prOWdaa1pre29aa3tvWmtaa1prWmtaa1prOWdaazlnWms5Z1prOWdaazlnWms5Z1prOWdaa1prWms5Z1prWmtaazlnWmtaa1prOWdaa1prWms5Z1prOWdaazlnWms5Z1prOWdaazlnWms5ZzlnOWdaazlnWms5Z1prOWc5ZzlnWms5Z1prOWdaazlnWms5Z1prOWc5ZzlnOWc5ZzlnOWc5ZzlnOWc5ZzlnOWc5ZzlnOWc5ZwAAe296b3tvem97b3pve296b3tvWmt7b3pve29aa3tvWmt6b1pre296b3tvWmt7b1pre29aa3tvWmtaa1prem9aa3tvWmt7b1prWmtaa3tvWms5ZzlnWmtaa1prOWdaa1lnWGs3Z3lvWWsZY/heVUoMIQ0lkjW6VvVBDyVQLVAtDiUOJcscTy13UvpifW+dc1trW2taa1trWmtba1prW2taa3tvWmt7b1pre29aa3tvWmt7b1prem9aa1prWmt6b1prWmtaa1prWWtaa1prW2saY1VOjzHqHI81O2s6a1prWWt6a1prem9aa1prWmtaa1prWmtaa1prWmtaa1lremtaa1prWmtaa1prWmtaa1prWmtaa1prWmtaa1prWmtaa1prWmtaa1prWmtaa1prWmtaa1prWmtaa1prWmtaa1prWmtaa1prWmtaa3tvWmt7b1prWmtaa1prWmtaa1prWmtaa1prWmtaa1prWmtaa1prWmtaa1prWmtaa1prWmtaa1prWmtaa1prWmtaa1prWmtaa1prOWdaazlnWms5Z1prWmtaa1prWms5Z1prOWdaazlnWms5Z1prOWdaazlnWms5Z1prWmtaa1prWmtaa1prWmtaazlnWms5ZzlnOWc5ZzlnWms5ZzlnOWdaazlnWms5Z1prAABaa3tvWmt7b1pre29aa3tvWmt7b1prem9aa3pvWmtaa1prem9aa3pvWmt6b1prWmtaa3pvWmtaa1prWmtaa1prWmt7b1prWmtaa1prWmtaa1pre29aa3tvWmtaazlnWmtYZ1hrmm+bbxljGmNVSgwhDSWzOdxe9UGKFA4lLymzOS8pzBwNJbE1NUbYWlxrW2s6Z1trOmdaa1pnW2s6Z1prWmtba1prW2taa1prWmtaa1prem9Za1prWWtaa1lrWms5Z1prWWtZazlnW2s6Zxtnl1LSPckYLCkZY1trWmtZa1lrWmtaa1prWmtaa1prWmtaa1prWWtaa1lrWmtZa1prWWtaa1prWmtaa1prWmtaa1prWms5Z1prWmtaazlnWmtaa1prWmtaa1prWmtaa1prOWdaazlnWmtaa1prOWdaazlnWms5Z1prWmtaa1prWmtaa1prOWdaa1prWms5Z1prOWdaazlnWms5Z1prOWdaa1prWms5Z1prWmtaazlnWms5Z1prOWdaa1prWmtaa1prOWdaazlnOWc5Z1prOWdaazlnWms5Z1prOWdaazlnWms5Z1prOWc5ZzlnWms5ZzlnOWdaazlnWms5Z1prOWdaazlnOWc5ZzlnOWc5ZzlnOWc5Z1prOWc5ZzlnWms5ZzlnOWcAAHtvem97b3pve296b3tvem97b3pve29aa3tvWmt7b1prem9aa3tvem97b3pvem9aa3tvWmt6b1prem9aa3pvWmt7b1pre29aa3tvWmtaa1prWmtaa1prWmtaa1pre296b5pvOGd5a1lrOmc7Z5dSCyENJZExHmdXTi4lLykOJS4pFkYOJQ0lDCWQMY8xl1L5XlxrW2tba1prW2taa1trWmtba1trW2taa3tvWmtba1pre29aa1prWWtaa1lremtaa1prWmtaa1lnWmtaa1trGmfZWhNC6iAKIRpjW297b1lremtaa3pvWmt7b1prW2taa1trWmtaa1lremtZa1lrWWtaa1prWmtaa1prWmtaa1prWmtaa1prWmtaa1prWmtaa3tvWmtaa1pre29aa1prWmtaa1prWmtaa1prWmtaa1prWmtaa1prOWdaa1prWmtaa1prWmtaa1prWmtaa1prWmtaa1prWmtaa1prWmtaa1prWmtaa1prWmtaa1prWmtaa1prWmtaa1prWmtaa1prWmtaazlnWms5Z1prOWdaa1prWmtaa1prOWdaazlnWms5Z1prOWdaazlnWms5Z1prOWdaa1prWmtaa1prWmtaa1prWms5Z1prOWdaazlnOWc5Z1prOWc5ZzlnWms5ZzlnOWdaawAAWmt6b1prem9aa3pvWmt7b3pve296b3tvWmt7b1pre296b3pvWmt7b3tve29aa1prWWtaa1prWmtZa1prWmtaa3tve29aa1prWmtaa1prWmtaa1prWmtaa1prWmtaa1prOWd6azlnWmcaYztnuFZNKQwhTim6Wvte8z2xOZAxby3LHMsc7CCxNRRCTSmOMUwt0DmWUhljOmcZY1tre2t8bxljWmt7b3xvW2taa1pre29aa1prWmtaazlnWWtZa1prOWdaa1lrWms5Z1prOmc7axtn8kHKHAsldU5bazlne28YY5xzGGN7b1trGGN8bzprOms5Z1prem84Z1lrWWt6a1lrWmtaa1prWmtaa1prWmtaa1prOWdaazlnWmtaa1prWmtaa1prWms5Z1prWmtaazlnWmtaa1prWmtaazlnOWc5Z1prOWdaazlnWmtaa1prWmtaa1prWms5Z1prOWdaazlnWms5Z1prOWdaazlnWmtaa1prOWdaazlnWmtaa1prOWdaa1prWms5Z1prWmt7bzlnWms5Z1prOWdaazlnWms5Z1prOWdaazlnWms5Z1prOWdaazlnWms5ZzlnOWc5ZzlnOWc5Z1prOWc5ZzlnWms5Z1prOWdaazlnOWc5ZzlnOWc5ZzlnWms5ZzlnOWc5ZzlnAAB7b1pre29aa3tvWmt7b3tve297b3tve297b3pve296b3tvem97b3pvm3N7b3tvWmtaa1prem9aa1prWmt6b1pre297b3tvWmtaa1prWmtaa1prWmt7b1pre29aa1prWmtaa1trW2s7ZztnO2fZWk4tDCVNKdpePGu3VpZSllJUSuscDSXrHOscuFb6XlVK8T2OMW0trjUyRvheOWc6ZxljnnNbazpnGWNba1trfG9ba1trWmt7b1prWms5ZzlnOGdaa1lrWmtZa1prOWdbaztnO2c0Rgsh6hwzRltrW29aa3tve28YY1prWms6a1trfG97b1prnHN6b1lrWWt5b1lrWmtaa1prWmtaa1prWmtaa1prWmtaa1prWmtaa1prWmt7b1prWmtaa1prWmtaa1prWms5Z1prOWc5Zzlne297b1prOWdaa1prWmtaa1prWmtaa1prWmtaa1prWmtaa1prWmtaa1prWmtaa1prWmtaa1prWmtaa1prWmtaa1prWmtaa1prWmtaa1prWmt7b1prWmtaa1prWmtaa1prWmtaa1prOWdaazlnWms5Z1prWmtaazlnWms5Z1prOWdaazlnWms5Z1prOWdaazlnWms5Z1prWmtaa1prWms5Z1prOWdaazlnWmtaa1prOWdaazlnWmsAAFprem9aa3pvWmt7b1pre296b3tvem97b3pve29aa3tve297b1prem97b3tvWmtaa1prWmtaa1prWmtaa1prWmtaa3tvWmtaa1prWmtaa1prWmtaa1prWmtaa1prWmtaazpnW2s6ZztrG2M8Z9lajzHrIE0tt1Z9bxljGWP4Xtdabi3rHMoYDCG4Vn5v2VoaY5ZS8T1MKWwtjTGuNRFCtlbYXhpjO2dcb1trW2s6Zzpne297bzpnOWcZYzlnWmucczlnWmtZZ1lrWWtaazpnO2saY5dS6hzJGI81XGtbazpne29bazlnW286Z/he8UF0Tjpne29ba1prWWt5a1lrWWtZa1prWmtaa1prWmtaa1prWmtaazlnWms5Z1prOWdaa1prWms5Z1prOWdaa1prWmtaa1prWmtaazlnOWc5Z3tvOWdaazlnWms5Z1prOWdaa1prWms5Z1prWmtaazlnWms5Z1prOWdaazlnWms5Z1prWmtaazlnWms5Z1prOWdaa1prWms5Z1prOWdaazlnWms5Z1prOWdaazlnWms5Z1prOWdaazlnOWc5Z1prOWdaazlnWms5Z1prOWdaazlnOWc5Z1prOWdaazlnWms5Z1prWmtaazlnWms5Z1prOWdaazlnWms5Z1prOWdaazlnOWc5ZwAAe29aa3tvWmt7b3pve296b3tve297b3pve296b3tvWmt7b3pve29aa3tve297b1prem9aa3pvWmt6b1prem9aa3tvWmt7b1pre29aa3tvWmt7b1pre29aa3tvWmtaa1prW2tbaztnO2c7Zztn+l7ROeogTCl1TnxvW2taazln9152Uuoc6hxuLRNC2Vp9b35vXGv5XrdWdU7xPUwpbC2uNa81EkK3VhpjO2s7a1xvfG86Zzpre297b3xvWmtaazlnWmtZa1prWWtaa1lrWms7Zztnl1brIMkcTS0aY3xvOmdbb1pre298b1tr8D0JIQoh+WJba1trOWd6a1lrem9Za3prWmtaa1prWmtaa1prWmtaa1prWmtaa1prWmtaa1prWmtaa1prOWdaa1prWmtaa1prWmtaazlnWmtaa1prWmtaa1prWmtaa1prWmtaa1prWmtaa1prWmtaa1prWmtaa1prWmtaa1prWmtaa1prWmtaa1prWmtaa1prWmtaa1pre29aa1prWmtaa1prWmtaa1prWmtaa1prWmtaa1prWmtaa1prWms5Z1prOWdaazlnWmtaa1prOWdaazlnWms5Z1prOWdaazlnWms5Z1prOWdaa1prWms5Z1prOWdaazlnWms5Z1prOWdaazlnWms5Z1prAABaa3pvWmt6b1prem9aa3tvWmt7b3pve29aa3pvWmt7b1pre29aa3pvWmt6b1prem9aa1prWmt6b1prWmtaa3pvWmtaa1prWmtaa1prWmt7b1prWmtaa1prWmtaa1prWms6Z1prOmdbaxpjO2f6YhNGqBQrJfE9fG97a5xzWmtaa/le0T3JHAslTSl1Tn5vXGsaYzpnO2dbaxljtlYSQs85bS1uLW4t0Dk0SthaGmdcb1trXG9ba1tvOmc6ZzlnWms5Z1prWWtaa1lrWmtaa1trGmeXVuocCyELJbdWW2tba1pre287aztn2F7pHOogCiGWUlxrOmdaa1prWWt6b1lrWWtaa1prWmtaa1prWmtaazlnWmtaa1prOWdaa1prWms5Z1prOWdaazlnWms5Z1prOWc5ZxhjOWc5Z1prWmtaazlnWms5Z1prOWdaazlnWms5Z1prWmtaazlnWmtaa1prOWdaazlnWms5Z1prOWdaa1prWms5Z1prOWdaa1prWmtaa1prWmtaazlnWms5Z1prOWdaa1prWms5Z1prWmtaazlnWms5Z1prOWc5ZzlnWms5Z1prOWdaazlnWms5Z1prOWc5ZzlnWms5Z1prOWdaazlnWms5Z1prOWc5ZzlnWms5ZzlnOWc5ZzlnOWc5Z1prOWcAAHtvWmt7b1pre29aa3tve297b3pve296b3tvWmt7b1pre296b3tvWmt6b1pre29aa3pvWmt7b1prem9aa3tvWmt7b1pre29aa3tvWmt7b1prWmtaa3tvWmt7b1prWmtaa3prWWdaa1trOmcaYztnVErIGCslzzlba3xvnG97b1trOmfXWisl6SBtLa81t1Z9b31vXG9caxpjO2dbaztnt1p2UjRG0T1uMW4xrzUSQjNK+V75XjpnOmdba1trfG98b1prWWtaa1lremtZa1prW2s8a5dWLCUMJSslNEpca1tvW2tba1xrOmd1TmYMLClMKXVOfW9cb1tre285Z5pvWWtaa1prWmtaa1prWmtaa1prWmtaa1prWmtaa1prWmtaa1prOWdaa1prWms5Z1prOWecc3tvWms5Z1prWmtaa1prWmtaa1prWmtaazlnWms5Z1prWmtaa1prWmtaa1prWmtaa1prWmtaa1prWmtaa1prWmtaa1prWmtaa1prWmtaa1prWmtaa1prWms5Z1prWmtaa1prWmtaa1prWmtaa1prWmtaa1prOWdaazlnWms5Z1prWmtaa1prWms5Z1prOWdaazlnWmtaa1prWmtaa1prWms5Z1prOWdaazlnWms5Z1prOWdaazlnOWc5Z1prOWdaawAAWmt6b1prem9aa3tvWmt7b1pre29aa3pvWmt7b1prem9aa3tvWmtaa1prWmtaa3pvWmt6b1prem9aa3pvWmt6b1pre29aa1prWmtaa1prWmtaa1prWmtaa1prWmtaa1lrWWtZazhnemsZYxljGmOVUsgYTCmNMVtrW2t8bzlnW2s6ZxljjTErJUspbS2vNRljO2d9b51zfG87Z1trOmcaYxtnPGf6XndS0T2OMU0tbjFtMfE9dE75YjpnW2s6ZzlnOmdaa1lnWWtZa1prWmtbazxr2FpNKQsh6hzxPVtrXG87a1trW2tca7A1hxDqHE0t8kF9b1trW2t7bzlnWWtZa1lrWmtaa1prWmtaa1prWms5Z1prOWdaa1prWms5Z1prOWdaazlnWms5ZzlnOWc5Z/deOWc5Z1prOWc5ZzlnWms5Z1prOWdaazlnWms5ZzlnOWdaazlnWmtaa1prWmtaazlnWms5Z1prOWdaazlnWmtaa1prOWdaazlnWms5Z1prOWdaazlnWms5Z1prOWdaa1prWmtaa1prWmtaa1prWmtaa1prOWdaazlnOWc5ZzlnOWdaazlnWms5Z1prOWdaazlnWms5Z1prOWdaa1prWms5Z1prOWdaazlnWms5Z1prOWdaazlnOWc5ZzlnOWdaazlnAAB7b1pre29aa3tvem97b3pve296b3tvWmt7b1pre29aa3tvem97b1prem9aa3pvem97b1pre29aa3tvWmt7b1pre29aa3tvWmt7b1pre29aa3tvWmt7b1pre29aa1prWWt6b1hrWWt6azlnGWM6Z5ZSyBhMKY4xO2d8b3xve2ucc3xv91rxPekc6RwSQrA1bi0aYztnfW9ca31vXG99b1xrXWs8a11rPGcbY5dWM0bQOU0tTC1tMY41EkJ1UhpjXGtba1prWmtaa3pvWmtba1trfW/5Xo816hzpHK81fW9ba51zOmdca1xrKyXJGOogsDXQOVxrW2s6a3tvOGd7b1lrWmtaa1trWmtbb1prW2taa1prWmtba1prW29aa1prOmtaa1prWms5a1prOmc6Zxlj8D1USvleOmdbazpnWmtaa1prWWtaa1lnWms5Z1prOWdaa1prWmtaa1prWmtaa1prWmtaa1prWmtaa1prWmtaa1prWmtaa1prWmtaa1prWmtaazlnWms5Z1prWmtaa1prWmtaa1prWmtaa1prWmtaa1prWmtaazlnWms5Z1prOWdaa1prWmtaa1prWmtaazlnWms5Z1prOWdaa1prWmtaa1prWmtaazlnWmtaa1prWmtaa1prWms5Z1prOWdaa1prWmsAAFpre29aa3tvWmt7b1pre29aa3tvWmt7b1pre29aa3tvWmtaa1prWmtaa1prWmt6b1prWmtaa3tvWmt6b1prWmtaa1prWWt6b3pve29aa1prWmt6b1prWmtZa1prWWtaa1lrWWs4Z1lrWWs5Z/hi+F5NKQohjzG3Vn1zWmt7b3pvWWs5Z1ROCiHqHPNBkDVOKW4tVU7YWhpjXGt+b11rfnN9b31vW2s7ZzpnO2cZY9dadU5USvE9jzEtKU4tsTUUQvleGWMaYzpnGmM6ZztnXGs7Zxpj0T3pHAohKyVba1trfG9baztn2FqHEAshCyGwNdA5W2tbazpnWmtba3tvW2s6a1prOmtbazprWms6a1prOmtaazprW2s6a1prOmtaazlrWW85azprO2tcbxpjuFYMJeoc0TkbX/peO2NcZxlfWmdZZzlnWms5Z1pnOmdbazpnW2s6a1prOWdaa1lrWms5Z1prWmtaazlnWmtaa1prOWdaazlnWms5Z1prOWdaa1prWmtaa1prWmtaa1prWms5Z1prWmtaa1prWms5Z1prWmtaazlnWms5Z1prOWdaazlnWms5Z1prOWdaazlnWmtaa1prOWc5ZzlnWmtaa1prOWdaazlnWms5Z1prOWdaazlnOWc5ZzlnOWc5ZzlnOWc5ZwAAe29aa3tvWmt7b1pre29aa3tvWmt7b3tve29aa3tve297b1pre29aa3pvWmt7b1prem9aa3tve297b3pve29aa3tvWmtaa1pre297b3tvWmt7b1prem9aa1prWWtaa1prWWtZa1lrWWtZazlnGWP5XrA56hyPNXZOnnNba5tzem96bxhjtlbpHCwlsTlWSrI580FuMU0t8T35XjxnXW+eczpne2+9d3xvW2s6Z1trOmdbaxpn+V6XUjRGsTVwMS0pLCmuNXRO+V5ca1xrXGs7Z1xrGmMSQqcU6RwrJRpjXGt7bzpnXGt1TmYQyRixObdWVEp8b3xvWmd8b1prfG9ba1trOmtbb1prW286a1trOmtbazprW286a1trOmtbbzprOWs5a1pvOmtba1xvPGfaWnAxTynsHE4puVZ+a11nO2M5Y1lrm29ZZzlnOmd7a1trW2taa1trWmtaa1prWmtaa1prWmtaa1prWmtaa1prWmtaa1prWmtaa1prOWdaa1prWmtaa1prWmtaa1prWmtaa1prWmtaa1prWmtaa1prWmtaa1prWmtaa1prOWdaa1prWmtaa1prWmtaazlnWms5Z1prOWc5ZzlnWmtaa1prWmtaazlnWms5Z1prOWdaazlnOWc5Z1prOWc5ZzlnWms5Z1prAABaa3tvWmt7b1pre29aa3tvWmt7b1pre29aa3tvWmt7b1pre29aa1prWmtaa1prWmtaa3tvWmt7b3pve29aa3pvWmtaa1lrWmt6b3tvWmtaa1prem9aa1prWWtaa1lrWms4Z1lrWWtZazlnOWf4YhljE0LJHG4tE0Z9b3xvem+bc3pvOWfXWgohLSVvMdted04MJY8xsDVuMUwp8j3ZWn1vW2ucb3tve297b5tvemtaaxljOmcaYztnG2PZWlVKE0KOMY4xTClNLY4xE0aXVhtjG2M8Z3ZSyRyoGAshVU5ca1trW2tcazNGhxDJGPI9+V63Vn1vW2taa3trW2s6Z1trOmtaazprWms6a1prOms6azprWms6a1prOmtbazprWms4Z1lrOWs6azprXG87Zxtjdk7yOQwh6xiPLZhSPGN9azpjWmc5Z1pnOWNaZzpnW2taZ1prOmdaa1prWms5a1prWmtaazlnWmtaa1prOWdaa1prWms5Z1prOWdaazlnWmtaa1prWmtaa1prWmtaa1prWmtaazlnWms5Z1prOWdaa1prWms5Z1prOWdaazlnWmtaa1prOWdaazlnWms5Z1prOWdaazlnOWc5Z1prWmtaazlnWms5Z1prOWdaazlnWms5Z1prOWc5ZzlnWms5ZzlnOWcAAHtve297b1pre297b3tvWmt7b3tve29aa3tve297b1pre296b3tvWmt6b1prem9aa3tvem97b1pre296b3tvWmt7b1prWmtaa3tvem97b1pre29aa3pvWmtaa1prWmtaa1lrWWt6a1lrWWs5ZzlnGWOWUskYbi3QOXxvfG96b3pvem85ZxljTS0tKS4pXmvbXhRGTS1NLa81rzWOMfJBVU5ba1pre297a5tve297b1lne2taZ1prOmd8bztrGmf5XrdaVErxPW0tTClNKa810Tk1SlZOVk7qHMocyhzSORxnW2s6ZztrjjHJGAwhuFYbYxpjW2tbazpnfG9ba1trW2tba1prW29aa1tvWmtaazlrWm86a1prOmtabzprWms6a1lrWWtabzprW2tba1xrO2c8Z3ZO0TlNJescTil3Tl1nnm86YxljWmd8bzpnOWdaZ1prWmtaa1lrWmtaa1prWmtaa1prWmtaa1prWmtaa1prWmtaa1prWmtaa1prWms5Z3tvWmtaa1prWmtaa1prWmt7b1prWms5Z1prWmtaa1prWmtaa1prOWdaazlnWms5Z1prWmtaa1prWmtaa1prOWdaazlnWms5Z1prWmtaa1prWms5Z1prOWdaazlnWms5Z1prOWdaazlnWms5Z1prOWdaawAAWmt7b1pre29aa3tvWmt7b1pre29aa3tvWmt7b1pre29aa3tvWmt6b1prWmtaa3pvWmtaa1prWmtaa1prWmt6b1prem9aa3pvWmt6b1prem9aa3pvWmtaa1lrWmtZa1prWWtZazlnWWtZa1prGWMZY5dW6hwsJY81GmN8c1prem85Z1pr+F7xQQwlTin7Yj1rHGcSQkwpbS2vNRNG8j1tLfA9lVI5Z5xzem9aa1lrm2+bb5tvWmtaazlnOmc6ZzpnGmMaY/le2Fp1ThNCjzVuLS0lDCUtJYgUqhjLHC4pulp9b31zO2cLIYgQDCX7YlxrO2c7ZzpnWmtaa1trOmd8bzprWmtaa1prOWtaazlnWms5Z1prOWtaazlnWms5a1prOWtab1prWms5Z1prOmdbaxpjG2PyPS0lTiktIS4ld0obYztnO2dbazpnWmc5Z1lnWWdZa1lrWms5Z1prOmtaazlnWmtaa1prOWdaa1prWmtaa1prWmtaazlnWms5Z1prWmtaa1prWmtaa1prWmtaa1prWms5Z1prOWdaa1prWmtaa1prOWdaazlnWms5Z1prOWdaazlnWms5Z1prOWdaazlnWms5Z1prOWdaa1prWms5Z1prOWdaazlnWms5Z1prOWdaazlnWms5Z1prOWdaazlnAAB7b3tve297b3tve297b3tve29aa3tve297b1pre297b3tvWmt7b1pre29aa3tvem96b1prem9aa1prWmt6b1pre29aa3tvWmt6b1pre29aa3tvWmt6b1prWmtZa1prWmt6b1lrWWtZa3pvWms6axlj2V4sKSwljjHYWnxve29Za1lrWmsZZ3VSTSlOKZhSPWv6Xlxr2FpMKccYjjEzRq81KiWNMXROOWOcc5xznHN6b1lrWWt7b3tve296a3tve29ba1trW2s6Zxpj2Fq3VnZOE0JOLQ0lqRTsHOwcDSHTPfpeO2cbZwwlyhwMIRxnXGt9bztnfG9aa1tre2tba1trWmtZa1pvWmtaa1lrWmtZa1prWWtaa1lrWmtZa1prWWtab1prWm9aa1prOWdaazpnOmNbZ9ha8j2QMU8pLiUNIRRCG1+/c1xnGWNaa5xvWWdZa1lrWWtZa1prWmtba1prWmtaa1prWmtaa1prWmtaa1prWmtaa1prWmtaa1prWmt7b1pre29aa1prWmtaa1prWmtaa1prWmtaa1prWmtaa1prWmtaa1prWms5Z1prWmtaa1prWmtaa1prOWdaazlnWmtaa1prWmtaazlnWmtaa1prOWdaazlnWms5Z1prOWdaazlnWms5Z1prOWdaazlnWmsAAFpre29aa3tvWmt7b1pre29aa3tvWmt7b1pre29aa3tvWmt6b1prWmtaa3tvWmt7b1prem9aa1prWmtaa1prem9aa3tvWmtaa1prWmtaa3pvWmt6b1prWmtZa1prWWtaa1prWms5Z1lrWWtaazlnOmf5XtA56RyOMXROfG97b1prWWtaazpnt1qPMW4t80Feb11vXGv5XnROjTEKIW0xllauNWwtbC0yRvhenG97b1prWmt6b3tvm3N6b3prWWdaazlnOmc6Z1trO2c7Zxpj+l4bY7hWFEJwMQ0h7SDtHE8tjzHxPfI9CyEtJU4pHGOfc1xrOmd7b1prOmd8bzpnW2taa1prWWtaa1lrWms5Z1lrWWdZazlnWWtZZ1lrOWdZa1prWms5Z1lrWWtZazlnWWdaZzpnXGv6XtI1sjWSMcwYDCE1RhtjPGcaY1tremtZZ1hnWWtYZ1lrWWtaazprWmtaa1prOWdaa1prWms5Z1prWmtaa1prWmtaa1prOWdaa1prWmtaa1prWmtaazlnWms5Z1prOWdaa1prWms5Z1prWmtaazlnWms5Z1prOWdaa1prWms5Z1prOWdaazlnWms5Z1prWmtaazlnWms5Z1prOWdaazlnWms5Z1prOWdaazlnWms5ZzlnOWdaazlnOWc5ZwAAe297b3tve297b3tve297b3tve297b1pre297b3tvWmt6b1prem9aa3tve297b3tve296b3pvWmt6b1pre296b3tvem97b1prem9aa3pvWmt7b1prem9aa1prWmtaa1prWmtaa3pvWWtaazlnWms6ZxpjEkLqHG4xU0pbb713Wmt7bzlnfG/YWtI9Ti3SOV5vXW87aztrW2vXWq41zznYWrdW8T1MKUwpEkK2VjpnfG98b1tremtaa3pvemubb3tve296a3prWmt7b1trW2s7ZxpjPGf7YhRGLiXsHFApcC2xOW4tLCWIEA0l7CCYVhtjXGsZY3xvOmc6Z3xvO2c6Z1trWmtaa1prWmtZa1prOWdaa1lrWmtZa1prWWtZa1lrW2s5ZzlnWWd6b1lrWWs4Z1lrOWM6Yxpf+lpWStM5cS2qFC4lVko8Z55zW2c5Z1lneWtYa1lrWWtaa1prW2taa1trWmtaa1prWmtaa1prWmt7b1prWmtaa1prWmtaa1pre29aa3tvWmtaa1prWms5Z1prWmtaa1pre29aa1prOWdaa1prWms5Z1prOWdaazlnWmtaa1prWmtaa1prWms5Z1prWmt7b1prWms5Z1prWmtaazlnWms5Z1prOWdaazlnWms5Z1prOWdaazlnWms5Z1prAAB7b3tve297b1pre29aa3tvWmt7b1pre29aa3tvWmt7b1prem9aa3pvWmt6b1pre29aa3tvWmt6b1prem9aa3tvWmt7b3pve29aa3tvWmt6b1prWmtZa1prOWdaa1lrWms5Z1prWWtaa1lrWWs5Zzpr+WKXVqgYbi2uNVxvWmucc1pre29baztnVUotJW8xHGd9b1xrW2tbaxljGWMZYzpnGmO4WjNGrzUrJW0tM0Y7Z1xrfG9ba3tvWmt7a1prWmtZZ3pvemt6b5tve285Z1prO2d9b/pe+17LHMsc7SAvKZhSNUrROcoY7CDsIJAxbjEzRrZWOmd8b5VSVEpca3xvOmc6Z1tvnXNaazlnOWd7b1prWms5ZzlnOGdZa1lrWms6Z1prOWdZazhnWWtZa3lrWWdaZzljOmMbYxxjeE7TOXAtqhTrHDRG+l46Z1prWWc3Y1lrWWt6a1lnWms6Z1prOmdaa1prWms5Z1prOWdaazlnWmtaa1prOWdaa1pre29aa1prWmtaa1prWmtaa1prOWdaa1prWmtaa1prWmtaazlnWmtaa1prOWdaa1prWmtaa1prOWdaazlnWms5Z1prWmtaazlnWms5Z1prOWdaazlnWms5Z1prOWc5ZzlnWms5Z1prOWdaazlnOWc5ZzlnOWcAAHtve297b3tve29aa3tve297b1pre297b3tvWmt7b3tve29aa3tvWmt7b1pre296b3tvem97b1prem9aa3tve297b3pve297b3tvWmt7b1prem9aa3pvWmtaa1prWmtaa1prWmt6b1premtZa1prOmc6Z5dW6RxNKa81O2t8b3tve29aa1trO2eXUk4tbzGXVp5zXG98b3tvOms6Z1trW2s7Zxtj+mJVSq81LCWOMfE9GmMaY1trW2t8b1trfG97b5tvem95a1lnem96a3tve2t8b1trXWvaXuscyxzMHA0l+2L7YphSDSUNJewgFEbxPUwpbS2uNa41jTFMKTNGGmNcbzpnOmc6Z1tvW2tbazprWms5Z1prWmt7b1prWms5Z1prOmdaa1lrWWtYZ3lrWWtZZ1lnW2s6Z1xnPGf6XndOsjWxNaoUCyFVSn1vOmc5Z3tvOWc5Z1lnWmtZa1tvW29aa1prWmtaa1prWmtaa1prWmtaa1prWmtaa1prWmtaa3tvWmt7b1prWmtaa1prWmtaa1prWmtaa1prWmtaa1prWmtaa1prWmtaa1prWmtaa1prWmtaa1prWms5Z1prWmtaa1prWms5Z1prOWdaa1prWms5Z1prWmtaazlnWms5Z1prOWdaazlnWms5Z1prOWdaawAAe297b1pre29aa3tvWmt7b1pre29aa3tvWmt7b1pre29aa3tvWmt6b1pre29aa3tvWmt7b1prem9aa3tvWmt7b1prem9aa3pvWmt7b1prem9aa3pvWmtaa1prWmtZa1prWmtba1premtZa1prOWdaazpnt1rqICsljjUaY1trfG96b3tvOmdba7hasDUtKRNCfW+dc3xve29aa3tvW2t8b1trXGsbZ/lellIzRo4xKyWOMRJCllIaY1trfG87Z1pnWWt6b1lrWWtZa5tve297b3trGmN+bzxnTikuJc0cTym4Vn5z2l5OKescDCG5WpdW0D3QOWwtKiUrJQohLCWXUhpjXGs7ZztnO2dbaxpjOmcZY1tre297bzlnGWMZY1prOWdaazlnWWs5Z1lrWWdZazhnWmtaazpnOmdcaxtj+l6YUm8tLSXKGEwpEkJcazpnOWc6Z1pre29aazlnOWd6b1prWmtaa1prWmtaazlnWms5Z1prOWdaazlnWms5Z1prWmt7b1prWmtaa1prWmtaa1prWmtaa1prWmtaa1prWmtaa1prOWdaa1prWms5Z1prOWdaazlnWms5Z1prOWdaazlnWms5ZzlnOWdaazlnOWc5Z1prOWdaazlnWms5ZzlnOWdaazlnWms5ZzlnOWc5ZzlnAAB7b3tve29aa3tve297b3tve29aa3tvWmt7b3tve297b3tvem97b1pre296b3tvem97b3pve29aa3tvem97b1prWmtaa3pvWmt7b1pre29aa3tvWmt7b1pre29aa1prWmtbb1tre29aa3pvWmtaa1prW2vYWk0t6iCvNddafG97b5tze29ba1tr+mLSPU0pjzVca3xznHNaa3tve297b3tvfG9caztnGmdcaxpjdlLQOa81jjFuLW0t0DlUShljfG96a3tvnHN6b1premt7bzpndE4SQtlePGfTPe0g7iAvKRRGfnMbYy0pyhwMIV5rGmMaZ9dalVKOMUwpLCXrIE4tLCXRPZZS2V5da31vXGs6Z51zO2cZYxljW2t8b3xvWmdaa1prWmtZa1prWWtaazlnWmtaa3tvOmc6ZzpnW2c6Y/pad05NKSwhqBRNKfI9XGtba1trfG9aa1prWWtZazlrWmtaa1prWmtaa1prWms5Z1prWmtaa1prWms5Z1prWmt7b1pre29aa3tvWmt7b1prWmtaa1prWmt7b1prWmtaa1prWmtaa1prWmtaa1prWmtaazlnWms5Z1prWmtaa1prWms5Z1prOWdaazlnWms5Z1prWmtaazlnWms5Z1prOWdaa1prWms5Z1prOWdaazlnWmsAAFpre29aa3tvWmt7b1pre29aa3tvWmt7b1pre29aa3tvWmt6b1prem9aa3pvWmt7b1prem9aa3tvWmt6b1pre285Z1prWmt6b1prWmtaa3pvWmtaa1prem9aa1prWmtaa1prW2taa3pvWWtZa1lrWms7a/herzXpHI4xdVJ8b3xvWmt7b1trXGv6YhRGTS2OMflefG+cc3pvWmt7b1pre285Z3tve2taaxpjOmf5XthaE0LxPY4xTCkrJWwtrzURQvheWmucb3xvOWdbazpn11orJU0p0j0dZ1hOzRzvIA4lsTmecxxnTi3JGCwlXm88Z1xrGmMaZ/JB6hyQNU8tiRQMJU0pLCUMIW4tNEbYVjxnG2Nca1xrfG87ZztnOmdaZ1pnemtaa3prWmdaZzlnWmdaa1trWmdaZzlnWWs4ZzlnOmPZWlRG6hwLIagUbi0TQjxrfW87ZxljOWebc3pvOGc5Z1prWmtaazlnWms5Z1prOWdaazlnWms5Z1prOWdaa1pre29aa3tvWmtaa1prWms5Z1prWmtaa1prWmtaa1prOWdaa1prWms5Z1prWmtaazlnWms5Z1prOWdaa1prWms5Z1prOWc5ZzlnOWc5Z1prOWdaazlnWms5Z1prOWdaazlnWms5Z1prOWc5ZzlnOWc5ZwAAe29aa3tvWmt7b1pre297b3tvWmt7b3tve29aa3tve297b1pre29aa3tvWmt7b3pve29aa3tvem97b1pre29aa1prWmt6b1pre29aa3tvWmtaa1pre29aa3tvWmtaa1prW2tba3tvWmt6b1lrWmtaa1tr+V4TRsgYjjEyRp1zfG96b3tve287azxnVU6wNW4xllZba713em+bc3tvem97b3preWt6b1lnWmtaZ1trGmNba/ledU7QOY4xTClMKUwp8D1TShpjfW99b51zW2tTSskYDCVwMbpW3V7OHDEp7iCQMTtnPGtuLescLSlebzxrfW8aY55zVErqHLI5V07sIA0hby01RhRCby0sJW4tTSnyPXVOG2Nca1xnGmNca3xvWmtZZ3prWmt7a1pnW2s6Z1trWmdaa1lnemtZa3lrWGecb/hat1a3VgshyhjrHAwhNUrZWn1vXGtaa1prem9Ya1prWmtaa1prWmtaa1prWmtaazlnWmtaa1prOWdaa1pre29aa3tvWmt7b1pre29aa1prWmtaa1prWmtaa1prWmtaa1prWmtaa1prWmtaa1prWms5Z1prOWdaa1prWmtaa1prOWdaazlnWms5Z1prOWdaazlnWms5Z1prOWdaa1prWmtaa1prWmtaazlnWms5Z1prAABaa3tvWmtaa1pre29aa3tve297b1pre29aa3tvWmtaa1pre29aa3pvWmt7b1pre29aa3pvWmt7b3pve29aa1prWmt6b1prem9aa3pvWmtaa1lrWmtaa3pvWmtaazlnWms6a1trWmtaa1lrWWs5Z1prOmcZY1RKqBhtMfE9fG98b1prnHNaaztrPGu4VrA1bS0SQjpnnHN6b5tzm3Naa5tzmm94azdneWt7b5tvWms6Z/leOmc6Zztn+F50Tq81TCksJW4tE0bYWhpjnnM7Z/JBiBQtJS4l1DmbVvAkzxytGC0p2FobY24tyhxOKRxnfm9caztnXGuWUsoYTy2aUtQ9DiVwMXhS/GI1RtI5sTVOKS0lLCVNKfI9uFZcazxnOmM4Y1hnOGdaZ1pnW2s6Z1tnO2daazlnWWtZa3lrWGt5azljW2c6Y9hWuFYtJYgQLSXsIPI92V59b1trOWc3Z1lrWWtaa1prWmtaa1prOWdaazlnWmtaa1prWmtaa1prWmtaa1prWmtaa1prWmtaa1prWmtaa1prWmtaa1prWmtaa1prWms5Z1prWmtaazlnWmtaa1prOWdaazlnWms5Z1prWmtaazlnWms5Z1prOWdaazlnWms5Z1prOWdaazlnWmtaa1prOWdaazlnWms5ZzlnOWcAAHtvWmt7b1pre29aa3tve2+cc3tve297b3tvWmt7b1pre296b3tvWmt7b3pve296b3tvWmt7b3pve296b3tvWmt7b3pve29aa3tvWmt6b1prWmtaa3pvWmt7b1prWms5Z1prWmtaa1lremtZa1prOWdbaxljllKnFI4xzzl9c3xve2+bc1trOmd9c9le8T1MKdA5GWOdc1prnHObb1prmnOac3lvmm+ab3pvOGc5Z1trnG9bazpnGWM6Z/he11qWUtE9bS1uLa81NEobZzxnE0IMIXAtkjFRKZxWczERJc4cTy2XVl1rbzHrIC0p+mJ9b31vW2t8b9haLCUNJdxau1qSMQ0hFEI9Z15rPWe5Vk4tsTWxNbE1TiktJU0p0jlUShljGGM6ZzpnW2tba1xrW2dcazpnW2tZZ1lrWGd5a3lvWms6YzpnO2fZWpdSsDWHEAwlCyGwObdWfG9ba1lrWWtaa1prWmtaa1prWWtaazlnWmtaa1prWmtba1prW2taa3tvWmtba1prW2taa1prWmtaa1prWmtaa3tvWmtaa1prWmtaa1prWmtaa1prWmtaa1prWmtaazlnWms5Z1prOWdaa1prWms5Z1prWmtaazlnWms5Z1prOWdaa1prWmtaa1prWmtaa1prWms5Z1prOWdaawAAWmtaa1pre29aa3tve297b3tve297b3tvWmt7b3tve29aa3pvWmt6b1prem9aa3pvWmt6b1prem9aa3pvWmt6b1prWmtaa1prOWdaa1prWmtZa3pvWmt6b1lrWmtaa3tvWWdZa1lrWmtZa1prWmtbaxljO2d1UukcbS3wPRpnfG9ba3tvWmt7b1trOmd2Uk0tsDlVTp93W2t8b5tzWGe7d3pvm3N6b3tvWmtaa1prWmtba3tvWmtbazpnOWcZYzln+F51To4xTSltLfI9d041Rg0hDyXVOZQxrhR8Tq4UECHsHDVGPWexOeocTSk6Z51ze2taazlnGWMrJS0peFIeZ7M1kjFwLV5rG2N2Tgsh6xzsHO0cDiFxLZExcC0tJQwlCyFuMfI9dlLZXlxrXGs8a/liXGt8b3xvWmdaa1pre286Z1pnWmtbazpnOWeVUs85hRBLKSslTCl0TlxrO2dbazpnWms5ZzlnOWd6b3pvWms5Z1prWmtba1prW2taa1trOmdbazprW2s6a1trWmtba1prWmtaa1prWmtaa1prWms5Z1prWmtaa1prWmtaa1prWmtaazlnWms5Z1prOWdaazlnWmtaa1prOWdaazlnWms5Z1prOWc5ZzlnOWc5Z1prWmtaa1prWms5Z1prOWc5ZzlnAAB7b1pre297b3tve2+cc3tve297b3tve297b3tve297b3tvWmt7b1pre29aa3tvWmt7b1pre29aa3tvWmt7b1prem9aa3pvWmtaa1prWmtaa1prWmt7b1prWmtZa1prWmtaa1lrem9aa1prWmtbb1trOms7a7dWCSFtLdA5Gmd8b3xve29aa1pre285Z7dWjjGQNTRGn3c8a3xzm295a5pzm3N7b5xze297b1pre29aa3tvWmt7b1prWms5Z1prOWcYYxlj+FpUSq81LSWPLS4lzBhxLTlGtTVTKbY18BwQIe0g0zlea7E56yBMKVtrnHObb3prWmsZY20xLCVXSh1jmVJvKTVCuFZ9a/E5yhhOKU8pDiHNHM0cLyWSMTZKmVY1Sm8tDCEtKY8xjzETQpZSXGs7ZztnOmdba1trfG97b3tvWmtbazlnOWdaZ1pr916VUmQM6ByvOQohsDV/b11vnXM5Zzpne2+cczlnOGdZa1lrWWtaa1pre29ba1tvW2tba1prW2tba1trWmtbb1trW2taa1trWmtaa1prWmtaa3tvWmt7b1prWmtaa1prOWdaa1prWmtaa1prOWdaa1prWmtaa1prWmtaazlnWmtaa1prOWdaazlnWms5Z1prWmtaa1pre29aa1prWmtaazlnWmsAAFpre29aa3tve297b3tve297b3tve297b1pre29aa3tvWmt6b1prem9aa3pvWmt6b1prem9aa3pvWmt6b1prem9aa1prWmtaa1prWmtZa1prWWtaa1prWmtZa1prWWtaa1lremtZa1prWmtba1prW2s6Z1trt1pMKUsprznYWp1ze2+cc1lre29aazpr11rQOSwpE0Jda1xrW2ubc1hrmnN6b3tve297b1pre29aa3tvWmt7b1prWmtaa1prOWdaazlne286ZxljVErQNU0pqRSqFHEtOEb2PXMtcy2uFBAhzBgvKfxisjWqGE0pGmd8b3tvm3M5Zzln0DksJdM9HWP8XrE18zmXTn9vby3KGBRC2lp4TpI1DiWrGOwgcC30QblW+16YUtI9LSlNKSwpLCVuLa81EkK2VvleOmc6Z1trGmNba1xrfG9ba1trOmc6Z/het1YsJagYTi0tJQ0hd1L6Yltre29aazlne296b3pvWWdZa1lrWmtZa1prWWtaazprW2s6Z1trWmtba1prWmtaa1prWmtaa1prWmtaa1prWmt7b1prWmtaa1prOWdaa1prWms5Z1prOWdaazlnWms5Z1prOWdaazlnWms5Z1prOWdaazlnOWc5Z1prOWdaazlnWms5Z1prOWdaazlnOWc5ZwAAe297b3tve297b3tvnHN7b5xze297b3tve297b3tvWmt7b3pve29aa3tvem97b1pre29aa3tvWmt7b1pre29aa3tvWmt7b3pve29aa3pvWmt6b1pre29aa3tvWmt7b3prem9aa3pvWmt7b1pre29ba1trW2v5Xq41KyWOMZdWfXOcc5xzem96b3tvWmsZYxNGCyXRORxnXGt8b5tzem96b3tve297b3tve297b3tve297b3tve29aa3tvWmtaa1pre29aaxljOmc7Z9haVUotJQ0hLiUWQllKUim1Na4Y7yDuIMwc/V6zOcoYLSk8Z3xve2+bc1prOWdUSgshkTUcYxxjmFJvKblWXmdOKQ0hd05+axxjuVYUQpA1DSUNIewgsjkUQrlaHGf6XjRG0TnROW4tTS1tLW0tjjGuNRFCdE4aZztnXGtca3xvO2c7Z1xrPGv6Xtla0jnLHOwcUC3sIBNC2V59bztnOmd7b5xzWmtaa1lrWWtZa3prWWtaa1lrWmtaa1prWmtaa1prW2taa1trWmtaa1prWmtaa1prWmtaa1prWmtaa1prWmtaa1prWmtaa1prOWdaazlnWms5Z1prWmtaazlnWms5Z1prWmtaazlnWms5Z1prOWdaazlnOWc5Z1prOWdaa1prWms5Z1prAABaa3tve297b3tve297b3tve297b3tve29aa3tvWmt7b1prem9aa3tvWmt6b1pre29aa3pvWmt6b1prem9aa3pvWmt7b3pve296b3tvWmt6b1prWmtaa3pvWmt7b1prem9Za3pvWmt6b1prWmtaa1trOms6a/liEULpHG0tNEqdc3tvnHNaa3tvWmtbaxpndlLrII81uFZ9b1trm3N6b5pvWmt7b1pre29aa3tve297b1pre29aa3tvWmt7b1pre29aa3tvOmd7bztnGmPZWjVGLSUNJdM1HmO0NbQ1ci3OHA8lzRx6UvVBqhhOKTxnfW9aa5xzOWc6Z5ZSLCVOLfteXGs8Z28td06ZUnEt7Bx3ThtjO2c7ZxpjuFZVStI5kTEMJQwhTi01StpeG2P6YhtjdlJVSvE9rzVMKSslKiVMKQohjjHxPXZS2Vq4WpdS+2IcY15rf3PcXlAtzBzuIA4lLSWxNXZOPGtdb1trGWM5Z1lrWWtZa1lrWGtZa1hrWWtZZ1prWWtaa1lrWmtaa1prWmtaa1prWmtaa1prWmtaazlnWmtaa1prWmtaa1prWms5Z1prOWdaazlnOWc5Z1prOWdaazlnWms5ZzlnOWdaazlnWms5ZzlnOWc5ZzlnWmsYY1prOWdaazlnWmtaa1prOWcAAHtve297b3tve297b3tve297b3tve297b3tvWmt7b3tve296b3tvem97b3pve296b3tvWmt7b1pre29aa3tvWmt7b3tve297b3tvem97b3pvWmtaa1prWmt6b1pre29aa3pvWmt6b1prWmtaa1prWmtbazlnOmdUSukcTC0SQn1vfHOcc3tve297b1trXGu3Vk0pbi1VTl1vfG97b5tzem96b1pre297b3tve297b3tve297b3tve297b1pre29aa1prem97b3tvW2saYztnt1JNKS0lsjU/Z7tWLyU4RosQMSnOHPZB9kGrGC4pPGdca3tve29aazpn+V4sJU4puFaec/hadkqyNTdG1DntHHdOfW98b5xzemtba/peuVZXThRG8j1vMQwlkDWXUjxnPGc8Zxtj+l7YWthadU4SQo8xbS1tLW4tjzGwNQshqRgMJTZKmVIeZz9ru1rVPTEpqxTtIOwgcDEURvpePGt9b1tre29aa3prWWtZa1hreWtZa1prWWtaa1lrWmtaa3pvWmtaa1prWmtaa1prWmtba1pre29aa3tvWmtaa1prWms5Z1prOWdaazlnWms5Z1prOWdaazlnWmtaa1prOWdaa1prWms5Z1prOWc5ZzlnWms5ZzlnOWdaazlnWmtaa1prOWdaawAAWmt7b1pre29aa3tvWmt7b1pre29aa3tvWmt7b1pre29aa3tvWmt7b1pre29aa3tvWmt6b1prem9aa3pvWmt6b3pve29aa3pvWmt6b1prem9aa1prOWdaa1pre29aa1prWmt6b1prWmtZa1prOWdaa1trOmcaZ5ZW6BxtLdA5fW97b5xzem+cc3pvW2tba9hejjFNKdE5XGtba3tvem96b1pre29aa3tvWmt7b1pre29aa3tvWmt7b1pre29aa1prWWt6azhnWmtaZ1trW2vYWo8xLCFvLfteHWOzNdM5rBgQJRAlMSn3QWoQLiX6Xlxre2ubb1lnWmsZY0wpLSVVSnxr+Fr6XrE19kH2Qe0cVkp8b3tvWWtYazlnW2scZxxn+2JVSrA1jzFNKU0p0T3ZWl1vnnNdaztnG2M8Z/pi2Fp1TjRKjjFtLW4tCyUtJTVK7BxwLbM5N0q7WrxatTnOHO4g7iTNHA0lsTWYVjtnfW9ba1trWmtZa1lnWWtZZ1lrWWtZa1lnWWtZa1prWWtaa1lrWmtaa1prWmtaa1prWmtaa3tvWmtaa1prWms5Z1prOWdaazlnOWc5ZzlnOWc5ZzlnWms5Z1prOWc5ZzlnWms5Z1prOWc5ZzlnOWc5Z1prOWdaa1prWms5Z1prWmtaazlnAAB7b1pre29aa3tve297b3tve29aa3tvWmt7b3tve297b3tvem97b3pve296b3tvem97b1pre29aa3tvWmt7b1pre296b3pvWmt6b1prem9aa3tvWmtaa1pre297b3tvem97b1prWmtaa1prWWtaazlne28ZZ1trt1rpIG0t0Tldb3xvm3N7b5tze29aa3xv+F7QOSwljzU8a3xve296b1lre297b3tve297b3tve297b3tve297b1pre29aa3tvWmtaa3pvem9aa1prOmd8b/liVUoLIW4td04dY/teLiUvJVItMi3wIBhGqxgvKRxnfW+dc3tvemtaZzpnTCktKRNCe2t7azxnVko4StU9DiHSOXxvem+Zb3hrWWtba11rHGd+bxtnl1bRPY4xTS1uLW4tVEr6Xn5zXWs8a1xrXW87ZztnOmf5XthauFbROW8xNUaxOQ0lDiUvKTApcTG0OXIxUi3uIM4gDyUvKU8pFEb6Yn1vXGtba1prWmtZa1prWWtaa1lrWmtZa3prWmt6a1lrWmtaa1prWmtba1prW2taa1prWmtaa1prWmtaa1prWmtaazlnWms5Z1prOWdaazlnWms5Z1prOWdaazlnWms5Z1prOWc5ZzlnOWc5Z1prOWdaa1prWmtaa1prWmtaazlnWmsAAFpre29aa3tvWmt7b1pre29aa3tvWmt7b1pre297b3tvWmt7b1pre29aa3pvWmtaa1prem9aa3pvWmtaa1pre29aa3pvWmt6b1prWmtaa1prWmtaa1lrWmtaa3tvem97b1pre29aa1prOWdZZzlnWWs6Z1prGWPYXukgTCnROTtnfG97b3tvm3N7b3tvOmcaZ1VOCiFuMXVOO2fee1lrem9aa3tvWmt7b1pre29aa3tvWmt7b1pre29aa3tvWmt6b1lrem9Za3pvWmtbazpnOmfXWkwpLCWwNT1nHGNWSssYECUyKVMx90FqEFAtHGN9b3xvWmucc1trGWPROU0psDVaZ3prO2McYzhKkzFxLS0lGF96b7pzV2eac1prO2dda/peO2c7Zxtjl1ISQm4tKyVNKY81M0b6Xl1rXWs8Z1xrO2dbazpnGmMaY/peE0IsJZAx0z2xNbI5DSUNJasY7SAQJc8cbBSUNbM5kjUuKU4pVUrZXjtrW2s6Z1trW298bzhnWmt6b5tvWWtZazlnWmtaa1prWmtaazlnWmtaa3tvOWdaa1prWms5Z1prWmtaa1prWmtaa1prOWdaazlnWms5Z1prWmtaazlnWms5Z1prOWc5ZzlnWms5ZzlnOWc5ZzlnWms5Z1prOWdaazlnWms5ZwAAe297b3tve297b3tve297b3tvWmt7b3tve297b3tve297b1pre297b3tvem97b3pve29aa3tvWmt6b1pre296b3tvWmt7b1prem9aa3pvWmt6b1prem9aa3tvem97b3pve29aa3tvWmtaa1lrWmtZa1prWms6Z/heTC0LIdE9+V58c3tve297b5tzem9bazpnt1bqII81EkJ8b5xze296b3tve297b3tve297b3tve297b3tve297b3tvWmt7b1prem9Za3pvWm97b1prW2s6Z/le8T0LIdA1+l48Z7lWLinOHHQxMil0Ne4gDiU8Z31vnXNaa713W2saY/JBLCWOMXtrWWedbz1nulb1PVAtLSmVUnpveG94b3pvOWt9bzxrnnc7Z/leGmNcaxpjdU6vNY4xLCUsKa81VU7ZWl1rnnNba3tvnXNba1trGmOXUtE9kDGxNblaVko1Rm8tkDGKFO8kMikQJe8k7iBQLdM90jmpGI812Fpca31vO2c7ZzpnnXNaazhnGGM5Z1pre297b3tvWmtaa1prWmtaa3tvWmtaa1prWmtaa1prWmtaa1prWmtaa1prWmtaazlnWms5Z1prWmtaa1prWms5Z1prOWdaazlnWmtaa1prOWdaazlnWms5Z1prWmtaa1prWmtaa1prAABaa3tvWmt7b1pre29aa3tvWmt7b1pre29aa3tvWmt7b1prem9aa3tvem97b3pve29aa3pvWmt6b1prem9aa3pvWmt6b1prWmtaa1prWmtaa1prWmtaa3pvem97b1prWmtaa1trWmt6b1prem9Za1prWmt7bxljGWOvNckcsDm3Vltre296a3pvem97b1prOmfYWgslbi2wNVxvW297b3pvWmt7b1pre297b3tvWmt7b3tve297b3tve297b1prem9Za1lvWWtab1pre286ZzprGWPXWukc0DV2Tl1r+l7zPWsQlTXvIBAlLykNIRtjfm98b3tvnHN7axpjdk7rHG4tGF9ZZ55zPWf8YnhSLilNKc85em83Z5pzOGdZa5xzO2t8b1trGWM6Z1xrXGv4XrZW8T2vNUwpCyUKIW4xVUo7Z3xvnG9ba1xrfG99b/pellIMJS0pNUY9a9pa2Vp3TrI57iDvIK0cDyVxMVAtTy0NJbA1LSkKIdA52Vqec31vO2sZYzprW2t8b1prWms6Z1trWmtbazlnWms5Z1prWWtaa1prWms5Z1prWmtaazlnWmtaa1prOWdaazlnWms5ZzlnWmtaa1prWms5Z1prOWc5ZzlnOWc5ZzlnOWc5ZzlnOWc5ZzlnOWdaa1prWmtaa1prOWcAAHtve297b3tve297b3tve297b3tve297b3tve297b3tve296b3tve2+bc3tve297b3tvem97b1pre296b3tvWmt7b3pve29aa3tvWmt6b1prem9aa3pvem97b3tve29aa1trW2t7b3pve296a3pvWWt6b1prOWcZYzNKpxSwNVRKfG97b5tzem97b3pve286ZxpjTClMKW4xO2tba5xzWmt7b3tve297b3tve297b1prnHN7b3tve297b1pre29aa3pvWWtaa1lre29aa1trOms6ZxljbS1tLTNGXWs8Z5hSzRwyLRElzhwwKQ0hHGd9b3xve2ucc1trW2v5Xiwlbi2VUlpnnXM7Z15v2l6xOQslbS34Xnpvm3M4Z1prnXc6azpnW2ucc3trOmcZYzpnO2dba5ZS0DlNLW0tTS1uLW0tlVL4Xp1znXN9bztnPGcbZ/I9LCVNKfpePGdda9lauVZ4TpI17CDLHLE1bzGxOU0pTS1NLW4xTS1NKY8xllJ9b31vW2s7azpnW2tba1trOmtbb1prWmtaa1prWmtaa1prWmtaa1prWmtaa1prWmtaa1prWmtaa1prWmtaa1prOWdaa1prWmtaa1prOWdaazlnWms5Z1prOWdaazlnOWc5Z1prOWdaa1prWmtaa1prWmtaawAAWmt7b1pre29aa3tvWmt7b1pre29aa3tvWmt7b1pre296b3tve297b3pve29aa3tvWmt6b1pre29aa3tvWmt6b1prem9aa3pvWmtaa1prem9Za1prWmt7b3pve29aa1prWmtba1tre29aa1prWWtZa1lrWmsZYxpndU6oGG4t8j06Z3tvm2+bb1lrem9aa1tr+F6vNeocjzG3Vn1zW2t7b3tve297b3tve297b1pre29aa3tvWmt7b1prWmtaa1prWWtZb1lrWm9aa1pvWmtbazpnGWMSQisp0Dk8axpj+2JRLc4cUS3uIO0gLikbY1xvW2t7b3tve287ZxtnTi1NKfA9nG9baztnfW8bZ1VOCiFMKVRKnXd7bzlre3N6b1prWmt7b3tve29aa1prOmc6Z/heOmcaY7dW8T1tLSslTS1MLc85U0r5XlxrnnNdazxn2VqQNesgjzFda11rO2c8Z/ti+2JWTo8x0DkzRrdadU7xPa81TCksKQshCyVNLbA5llL5XlxrfW87azpnOmdbb1prW2taa1prOWdaa1lrWms5Z1prWmtaazlnWmtaa1prOWdaazlnWms5Z1prOWdaazlnWmtaa1prOWdaazlnOWc5ZzlnOWc5ZzlnOWc5ZzlnOWdaazlnWms5Z1prOWdaazlnAAB7b3tve297b3tve297b3tve297b3tve297b3tve297b3tve2+bc3tve296b3tvWmt7b1pre297b3tvem97b1pre29aa3tvem97b1pre29aa3pvWmt7b3pve296b3tvWmt7b1tre296b3pvWWtZa1lrem9ZazpnGmO3WgshTSmPNTpne2+cc3tvem96b3tvWmv5YjNG6hyOMVRKnXNba3xve297b5xze297b3tve297b3tvWmt7b1pre29aa3tvWmt6b1lrWm9Za3pvWmtbb1prW2v4XtdaKyWvNfleO2M8ZzdKjBRyMQ8lzBxPLTxnXGucb3tve29aa1xrG2PzPSwlzzWdc1trW2t9bztnGmNMKU0trzWecztrfG+bc3lvWWt7b3pre296a3tvW2tbazpnW2saYxpjGmMaY7dWE0aOMUwpCiELIY81l1IcY15vPWscY5hWby0MIblan3N+c11rGmNba1trGWMZY/heWmv4XvhellZUTvE9jjErJQsh6iAsJdE5uFo7Z11vO2tca1trW2taa1trWmtaa1lremtZa1prWmtaa1prWmtaa1prWmtaa1prWmtaa1prOWdaa1prWmtaa1prWmtaazlnWms5Z1prOWdaazlnWms5Z1prOWdaa1prWmtaa1prOWdaazlnWmsAAFpre29aa3tvWmt7b1pre297b3tvWmt7b1pre29aa3tvWmt7b1pre296b3tvWmt6b1pre29aa3tve297b1prWmtaa3tvWmt6b1prem9aa3pvWmt6b1prWmtaa3tvWmtaa1tre29aa3pvWmt6b1lrem9aa1prGWcaZ7dabjELIW4x+F5aa3tvem9Za3pvWmtbaxljl1bqHG0t8T19bzprfG97b3tve297b3tve29aa3tvWmt7b1prWmtaa3tvWmt6b1pvem9Za1prWmtabzprWms6Zzpn+F6NMW0tllI7Zz1rmlbuIO4gLynsHE8tO2d8b5xznHNaa3trXGsbY3dOLSmOMTpnW2t7a1pnWms7ZxJCCyVOLbhaXW9bb5xzWGt5b1hremt6a3pvWWdaazpnW2sZY1trXGtcaxpj+V63VrdWsDWQNW4tTiktKZE1VkodY7paPmv0QW8xkDEcZxtjO2d7b1lr1lp6b3pvWWtZZ3prF2MZY/hi2F51UhJCTS3qHG4tLSkLIY8xVU4bZ1trW2s6a1trOmtaa1prWmtZa1lrWWtaazlnWmtaa1prOWdaazlnWms5Z1prOWdaazlnWms5Z1prOWdaa1prWms5Z1prWmtaazlnOWc5Z1prOWdaazlnWms5Z1prWmtaazlnWms5ZwAAe297b3tve297b3tve297b3tve297b3tve297b3tvWmt6b1pre29aa3tvem97b3pve296b3tve2+bc3tve29aa3tvem97b1pre29aa3tvWmt7b1prem9aa3tvem97b1prfG9ba3tvWmt7b3pvm296b5tvWWtaaxpj2F7QOQshbi3YWjlne296b3pvem97b1prOmfYWiwlLCXQOVtrW2t8b5xze2+cc3tvnHN7b3tvWmt7b1pre29aa3tve297b3pve3N6b1pvWmtab1prWms5a1prW2sYX885bC1TSnxvXGvbWjApzBguJS4lLik8a3xvvXecc3tve2+dcxpjHGdOLW4tl1Z9b3tvOWdaZ3tvt1bqIC0pFEZ+b3xve295b3lvm3N6a1prWWt6b3pre29aa5xvW2s6ZxpjW2tbaztn+WIaY1VKsDVOLY8xby1PLS4p0jk1RlZOLSluLTRGfm99c3pvm3M4Z3lvWWubc5tvOGdaa1prW2sZZzpnGWO3VjNGLCVNLW4xTSlNKY81llJca1xrW2tba1trW29aa1prWmtaa1prWmtaa1prWmtaa1prWmtaa1prOmdaa1prWmtaa1prOWdaa1prWmtaa1prWmt7b1prWms5Z1prOWdaa1prWms5Z1prWmtaa1prWmtaa1prAABaa3tvWmt7b1pre29aa3tvWmt6b1pre29aa3pvWmt7b3tve29aa3tvWmt7b3pve29aa3tvem97b1pre29aa3pvWmt7b1prem9aa1prWmt6b1prem9aa3tvWmt6b1prWmtba1trWmt7b1prem96b3pvOWd6bzpnOmfZXvJBhxCPNXVSt1qcc5xzWWebc1lre29ba/hejjHpHK81GV98a3xvW2t7b3tve29aa3tvWmt7b1pre29aa3tve297b1pre29aa1prWmtaa1lrWmtZa1prWWs5ZzlnMUaMMa41+F58b/peVk6JFOwg7CAuKRtjnnN8b3xve297bzpnOmfYXlVKTy02Sl1vnXMYY7x39146Z24x6xyRNT1rGmecc5pzWWtZa1prOWdZazlnWmtaa3tvWmtaazpnWms6Z1prOWc6ZxpnGmfYWnVO0DluMUwpTSksKSwlCyEMJQshbzFWTl1vnHNZa3pvnHNZZ1pre2tba1trW2taZ1pnOWM5ZxhjOWf4XjNGbTFMKQslCyVtLfJBuFo7Z1xrO2s7Z3xvW2s6ZzlnWmtaa3tvOWc5Zzpne29aa1prOWc6ZzpnWmtaa1trOWdaazlnWms5Z1prWmtaazlnWms5Z1prOWc5ZzlnOWc5Z1prWmtaa1prWms5ZzlnOWcAAHtvem97b3pve296b3tvem97b1pre296b3tvWmt7b3pve29aa3pvWmt7b3pve29aa3tvem97b3tve296b3tvWmt7b1pre29aa3pvWmt7b1prem9aa3tvem97b1prem9aa3xvW2t7b1tre296b3tvem9Za1prW2s6ZxpjE0apGI8xVErYXp13fG96b3pvemtaa3tr+V7xPekcrzGWUnxrfG98b3tve297b3tve297b3tve297b3tve2+cc3tve29aa1trWmtaa1prWmtZa3prWWtaazhnWWtSSgghbC1SSltrO2eXVgshyhgMIQwl+l5db31zfG+cc3tvW2taaxljdlKRMdQ9Xmtca1prm29ZZzpnE0LrHJAx2l59b1trm3NZa3pvWmtaazlnWmtaa3tvWmt7b1prWmtaa1prWmtaazpnWmsZZzpnGWMZY7dWM0avOY4xLCkLJQsh6iDrINE5llJ8b1prm3N7b3tvfG+cb1pne29ba1trWmtaazlnWWs5Z1pr+GLYXpVS8T0sKQslLCVNLTRGG2ddb1xrO2tca1trW29aa1trWmtaazlnWms6Z1trOmdaazpnWmtaa1trWmtaazlnWmtaa1prWmtaa1prWmtaa1prWmtaazlnWms5Z1prOWdaa1prWmtaa1prOWdaawAAem97b1pre296b3tvWmt7b1pre29aa3tvWmt7b1pre29aa1prWWtaa1pre29aa1prWmt7b1pre296b3tvWmt6b1pre29aa1prWmt6b1prem9aa3tvWmt7b1prem9aa1prW2t7b1prWmtaa3tvWmt6b1lnem86ZztrGmNVTskcjzXQPRpjfG97b3pvem9aa1prW2saYzRG6hxtKRJCOmOdc3tve297b3tve297b1pre297b3tve297b3tve29aa1prWmtba1prWmtZa1prWWtZazlnOGc5Z5RShRQqKWwtW2s8a/pibi2IFOsgDCW4WlxrfG98b3tve29aa3tvOme4WrM5kjX7Ylxre296b1prWmeXUi0pLSlVSn1vWmt5a3lremtaazlnWmtaa3tvWmt7b1prWmtaa1prWmt7b1prWms6Z1trW2t8b1trOmf4XthadVIzRvE90T1uMSwpLCmPNRljfG98b1tre2udc3trWmtaa1trWmtaa1prWmtaa1prWmtbazprW2v5XnVOrzVNKQshLCVuLTNG+V59c1xvO2tba1prOmdaazpre297b3tvWmtaazlnOmc6Z1prOmtaazlnWms5Z1prOWdaazlnWms5Z1prOWdaazlnWms5ZzlnOWdaazlnWmtaa1prOWc5ZzlnAAB7b3tve296b3tve297b3pve296b3tvem97b3pve296b3pvWmtaa1pre297b3tvWmt6b1pre296b3tve297b3pve29aa3tvWmt7b1pre29aa3tvem97b1pre29aa3tvWmt8b1tre29aa3tvem96b1lrem9aa1trOmc7Z5dWLCmPNY81Gmd7b1prm3NZa3tvWmt8bxpjt1IKIUwprzU6Y51vfG97b3tve297b3tve297b5xze297b3tve297b3tvWmt7b1prWmtaa3pvWmtaa1lrOWc5Zzpn1loJIegcbC06Z11vO2fzQWcQDCUtJdlaXW+dc1tve296b3tve29ba/leFUZQLblWXG+cc1prem85ZxpjsTUtJbE1G2dba3pvWWt7b1prWmtaa3tve297b3tve29aa3tvWmt7b3tve29aa3tvW2tbazpnOmc6Z1trXGtcaztnGmPZXrhWM0aPNSslllJca55zW2t8b3xve29ba3tvWmt7a1pre29aa3tvW2tbazpnOmc6a31vXGv5XnVO0DluMW0tTCmOMfE92Fp9c1trW2t7bzprOms6Z1trWmt7b1prWms5Z1prWmtaa1prWmtaa1prOWdaa1prWmtaa1prWmtaazlnWms5Z1prOWdaa1prWmtaa1prWmtaazlnWmsAAHpve296b3tvem97b3pve29aa3tvem97b1pre296b3tvWmtaa1pre296b3tvem97b1prWmtaa3tvWmt7b1pre29aa3pvWmt6b1prem9aa3tvWmt7b1pre29aa3pvWmt7b1tre29ba3tvWmt6b1lrWmtaa1prOmc6Zxpj2F5uLbA1jjEaZ1trWmt6b1lremt7b3trOme4VkwpKyWOMRlfnW97b3tve297b3tve297b3tvWmt7b1pre297b3tve297b1prWmtaa1prWWtaa1lrWms5Z3tvGWMZY885pxhuMdhaPGs8a1VKiBTrHC0pl1Jcb3xve29aa3tvWmtbb1trG2M2RlAtE0J9b3trm29ZZzpnGmNWTi0lbi1VSnxvemt6a1prWmtaa1prWmt7b1pre29aa3tvWmt7b1pre297b3tve29aaxhjOmt7b5xzWmsZYxpnXGtbaztnG2caYzNGTSmPMbhaXWt9b3xve29aa3tvWmt6a1premtaa1trWmtba1prfG97b1trOmdbaztrW2v5YpZS8D2NMSolKymuNTJG+F5ba51znXNba1prOmdaa1prWms5Z1prOWdaa1lrWms5Z1prOWdaazlnWms5Z1prOWdaazlnWms5Z1prOWdaazlnWms5Z1prOWdaazlnWms5ZwAAe297b3tve297b3tve297b3tvem97b3tve296b3tve297b3pve297b5xze2+bc3tvem9aa3tvem97b1pre29aa3tvWmt7b1prem9aa3tvem97b3pve296b3tvWmt7b3tvfG9ba3tvWmt7b1prem9Za3tvWmtbazpnO2f5Xo81bjGvOfhefG96b3pvWWt6b3prfG86Z/lejzFMJY4tGV98b3xve2+cc3tve297b3tve297b1pre297b3tve297b3tve29aa3tvWmt6b1lrWmtaa1pre286ZxljllKnFI81NEZcbztnuFbKHMocLSlVThtnnXNba3tvem9aa1trW28aY1dOcC2wNTtne2+cc3trW2s7Z9lakDUtJbA5O2d8b1pre29aa3tvWmt7b3tve29aa3tvWmt7b1pre297b3tve297b1prWmtaa3tve297bzpnOmdba1trGWM7a1tr11rRPS0l80H6Xn5vvnd8b3tre297b3pre29aa1trWmtba1tre297b3tvW2t7b1trW287Z/liOmd8b/heEUJLKUspbC2uNRJCtlb4XltrfG+cc1tre29aa1prWWtaa1lrWmtZa1prWmtaa1prWms5Z1prWmtaazlnWms5Z1prOWdaazlnWmtaa1prWmtaazlnWmtaa1prAAB7b3tvem97b3tve296b3tvem97b1pre296b3tvWmt7b3pve296b3tve2+bc3pve29aa3pvWmt6b1prem9aa1prWmt6b1prWmtaa3pvWmt7b3tve29aa3pvWmt7b1pre297b3tvWmtaa1prWmtZa1lrWmtaa1prW2s6ZxpjbS0KJW0xdE46a3tvWWt6b1lre29ba1xr+l7yPSshjjHYVnxre297b3tve297b3tve297b3tve29aa3tvWmt7b1pre29aa3tvWmtaa1prWmtaa1prW2t7bzpnGmO4WgshTS3yQVxrO2vYWk0tqBhuLTNGGmN8b3tvWmt7b1pre29baztnmFaRMU4tt1Z8b3tvWmt7bztnG2MTQiwlTSm3Vnxve29aa1prWmtaa1pre29aa1prWmtaa1prWmtaa3tvWmtaazlnem9aa1prGGM5Z1prnHN7b3xvWms6ZzpnW2v4XpdWbzGRMRVGPGd+b3xvWmt7b3prem9aa3prWmtba1trW2taa1lrOGd7b5xznHNbazpnW2s6ZxljOmc6Z/deEUKNMQohKyVLKc85lVJba1trOmdaa1prOWdaa1lrWmtZZ1lrWWtaazlnWms5Z1prOWdaazlnWms5Z1prOWdaazlnWms5Z1prOWdaazlnWms5Z1prOWcAAJtze297b3tvm3N7b3tve297b3tve296b3tve297b3pve297b3tve2+cc3tve29aa3tvem97b1pre29aa3pvWmt7b1prem9aa3tvWmt7b3pvm3N7b3tvWmt7b3pve297b5xze297b1pre29aa1prOWd7b1pre29ba1trGWNsLccYTCnPOTlnWmtZa5tzemt7b3xrfGs8ZzRGLCWOMdhWXGucc3tve297b3tve297b3tvnHN7b3tvWmt7b3tve29aa3tvem97b1prem9aa1prWmt8bzpnXG8aY9leTi1NKfJBfW86ZxpjrzXJHI8xVEoaZ51zWmt7b3tve297b3xvO2f7YrE1bi1USp1zWmd7b3trXGsaY5dSLCVNKTRGfW98b3tvWmtaa1pre297b3tvWmt7b1prWmtaa3tvWmt7b1pre29aa1prWmt7b3tvWms6Z3tvWmtba1trW2s5ZzpnO2c2SnAtsTm5Wl1rXGt8b3pve296a3tvWmt7b1trfG9ca3tvem+bc3tve285Z1pre297b1trWms5ZzpnGWcZY/hedVLxPW0xjjGVUltvnXM5Z3tvWmtaa1lrem9Za1lrOWdaa1prWmtaa1prWmtaazlnWms5Z1prOWdaa1prWms5Z1prWmtaazlnWmtaa1prWmtaawAAWmt7b1pre29aa3tvem97b1pre296b3tvWmt7b1pre29aa3tvem97b3tve296b3tvWmt7b1pre29aa3tvem97bzlnWmtaa3tvWmt7b1prem9aa3pvWmt6b1prem9aa3tve298b3tve29aa1prWWtaa1prWms6Z1trOme2Wq41xxgqJVNKWmubc1lrem96b3tvfG98a/lel1IsJY4t8T2db3tve297b3tve297b3tve297b3tvWmtaa1pre29aa3tvWmt6b1prWmtZa1prWmt7bzpnW2s7Zztn+V7ROeoc8T23Vp1zO2cSRukcKyWWUn1ze297b3pve29aa3tvW2tcbxtj80ELIRFCnXNaa1pre286Zxpj2FqwOQslsDU8a55zW2t7b1pre29aa1prWmt7b1pre29aa3tvWmt7b1pre29Za1prWmt6a1lrWmtaa3tvWmtaa1prWmtaa1trOmc7Zxxj9D0uKbA12V5ca3xvWmtaa1prWmt7b1trW2tba3xvWmt6b3pvem9Za1prOWdaa1pre29aa1trOmc6ZzlnOmcZY/li+F4aYzpnW2taa1prWmtaa1lrWmtZZ1lrWWtaa1lrWms5Z1prOWdaazlnWms5Z1prOWdaazlnWms5Z1prOWdaazlnWms5Z1prOWdaazlnAAB7b3tve297b3tvem97b3tve296b3tve297b3pve296b3tvem97b3tve297b3tvem97b3pve296b3tvem97b3tve29aa3tvem97b1pre29aa3tvWmt7b1pre29aa3tve298b3tvfG97b3tvWmt6b1prWmtaa1prWmtbaxljtlYyRrZWOme9d5tzeWtZa3pvWmudb1xrGmOXUk0pbi0SPn1vnG97b5xze2+cc3tvnHN7b5xze297b1pre29aa3tvWmt7b1prem9aa1prWmt7b1prfG9ba1trO2caY9E9CyHQOfhefG86ZxJCLClNLbdWfG98b3tve296b3tvWmt7b1xrPGdWTiwpbS34XltrnXNaa3xvO2caY9E9TSmPMftifnN8b1pre29aa3tvWmt7b1pre29aa3tve297b1pre29aa1prWmt6b1prWmtaa3pvWmt7b1prWmtaa3tvWmtaazpn+166WrI5jzGvNRpjfG97b3tre298b1pre2t7b3xvWmt7b3pvm296b3pvWWtaa1lrem9aa3tvWmt7b1prW2s6aztnGmc6ZzpnW2tba1trWmtba1prWmtZa1prWWt6a1lrWmtaa1prOWdaazlnWmtaa1prOWdaa1prWms5Z1prWmtaazlnWmtaa1prOWdaazlnWmsAAHtvm3N7b3tvem97b3pve29aa3tvWmt7b3pve29aa3tvWmt7b1pre296b3tvWmt7b3pve29aa3pvWmt7b1pre296b3tvWmt6b1prWmtaa1prWmt6b1prem9aa3tvWmt7b1tre29aa3tvWmt7b1pre29aa3tvWms6ZzlnOmcZYzlne2+cc3tvem9Ya3lrWWt7b3xrfGv6XrhWTSluLdE5fW97b3tve297b3tve297b3tve297b1prWmtaa3tvWmtaa1prWmtZa1prWWtaa1lrWmtaa1trOmc7ZxpjEkLqII4x1lp8b1tr2F5UTpZSO2udd3tve29aa3pvWmtaa1prW2s7Z7haTCkrJVNKfG+cb1prW2t8b/le8kFNKU4pVkp+b1tre29aa3tvWmt7b1prWmtaa1prWmt7b1pre29aa1prWWtaa1prWmtZa1prWmtaa1prWmtaa1prWmtaazlnOmsaYxxnuVosJU0p8T07Z3xvW2t7b1tre2tba3tvW2tba1pre29aa3tvWWtaa1lnWWtZa3pvWmt7b1tre29ba1tvW2tbaztnW2s6Z1trOmdaa1prWms5Z1lrWWtaa1lrWmtZa1prOWdaazlnWms5Z1prOWdaazlnWms5Z1prOWdaazlnWms5Z1prOWdaazlnWms5ZwAAnHN7b3tve297b3tve296b3tve297b3tve297b3tvem97b3pve296b3tve297b3pve297b3tvWmt7b3pve296b3tve297b1prem9aa3tvWmt7b1pre29aa3tvem97b3pve297b3tvWmt7b1pre29aa3tve297b1prOWcYYzlnOWd8b1prWmtZa3pveWt6b3tvfG9caztj2VqOLW4t0Tlca5xze297b3tvnHN7b3tve2+cc3tve29aa3tvWmt7b1pre29aa1prWmtaa1lrWmtZa1prOmdbazprW2tUSkwtbTHXWlprW2s6ZxpnGmN9c3tve296b3pvWmt6b1prW2s7a1xr2FpuLWwtU0p7b3tvWmt7a3tvOmczRrA1LSX0PX9zfG97b3tvWmt7b1pre29aa1prWmt7b1pre29aa1prWmtaa1pre29aa1prWmtaa1pre29aa3tvWmt7b1prWms6a1xrPGvZXlRKbS1uMVRKXGudcztnW2t8b5xzOmdaa3tve297b3tvWmt6b1premtZa3pvWmt7b1trfG97b3xvW2t8b1trfG9ba1trOmtba1prW2taa1prWWtaa1prWmtaa1prWmtaa1prWmtaa1prWmtaa1prWmtaa1prWmtaa1prWmtaa1prOWdaa1prWms5Z1prAAB6b3tvem97b1prem9aa3tvWmt7b3pve296b3tvem97b1pre29aa3tvWmt7b1pre296b3tvem97b1prem9aa3tvWmt6b1prem9aa3pvem97b1prem9aa3pvWmt6b1pre297b3tve297b1prWmtaa1trWmtaa1pre29aa1prWmt7b1tvW2taa3pveW95b1lre29ba1xrG2P6Xm4tbi2wNX1re297b3tve297b3tve297b3tve29aa1prWmtaa1prWmtaa1prWmtaa1lrWWtZa1lrWmtaa1prW2tba9heEkZTSjlne285ZzpnGWMaZ1xrW2taa3pvWWt6b1lrWms6a1trO2f5Xo41TCnwPVtrW2t7b1pre286Z5ZS0TlvLbI5n3dca3tvWmt7b1prWmtaa3tvWmtaa1prWmtaa1prWmtaa1prWmtaa1prWmtaa1pre29aa1prWmt7b1prWmtaa1prW2s6Z/heGmcSQm0tbS11TjtnXGt8b3xvWmtaa1prem9ba3tvWmt7b1prem9Za1prWWt6a1pre29ba1trW2tca1prW2tba1trOmdaazprW2s6Z1prOmdaazlnWmtaa1prWmtaa1prWms5Z1prOWdaazlnWmtaa1prOWdaa1prWms5Z1prOWdaazlnWms5Z1prOWcAAHtvem97b3pve296b3tve297b3tvm3N7b3tve297b3tve296b3tvWmt7b1pre297b3tve297b3pve29aa3tvem97b1pre29aa3tvem97b3tve29aa3tvWmt7b1pre297b3tve297b3tve29aa3tvWmt7b1prWmtaa3tvemt7b3tvfG9bb3tvem96b1lrem97b3trXGtcZxtjjzFNKdE5XGucb3tvnHN7b3tve297b3tve29aa3tvWmt7b1pre29aa1trWmt7b1prem9Za1prWWt7b1lrWms5Z1prOmf4Yjpne2+bc1trW298b1trnXNba3tvem96b1lrem9aa1trW2tbaztnM0YKIa81Omecc3tvemtaa1tr11oTQpExsjV/b3xvWmt7b1pre29aa3tvWmtaa1pre29aa3tvWmt7b1prW2taa3tvWmtba1pre29ba1trWmt7b1pre29aa3tvWmt6bxhjnG8ZYxpjrzWPMU0pt1Zca793W2s5Z5tvm3M4Y3tvW2t7b3tve296b3pvWWt6b1pre29ba3tvW2tca1trW2taa1trWmtba1prW2taa1prOmdaa1prWmtaa1trWmtaa1pre29aa1prWmtaa1prWmtaa1prWmtaa1prWmtaa1prWmtaa1prWms5Z1prWmtaawAAWmt7b1pre296b3tvem97b3pve296b3tve297b3pve296b3tvWmt6b1pre29aa3tve297b1pre29aa3pvWmt6b1pre29aa3tvem97b1pre29aa3pvWmt6b1pre29aa3tvem97b1pre29ba3tvWmtba3tvWms5Z1prWmtaazlnWmtaa3tvWmtZa1lreW96a3tvW2t8azxnG2NvLU0psDF9a3xve297b3tve297b1pre29aa1prWmtaa1pre29aa1prWmtba1prem9aa3prWWtZa1lrWWdZazlnGGNaazlnnHMYY1lrOWd8b3xvW2tbazprem96b1lrem9aa1prOmtbaztnW2u3Vq81U0pca3tre29aa1prWmv5XvNBsjlRLR1nXGt7b1pre29aa3tvWmtaa1prWmtaa1prWmtaa1prWmtaa1trWmtba1prW2taa1trWmtba1pre29aa1prWmt6bzhnem8YY5xv2FrZXrA1LSmxObhWO2dbazlne296b1hne297b1pre296b3tvWWtaa1prem9aa3tvW2tbaztrW2taa1prOWc5Z1prW2s6Z1prOmdaazpnOms6Z1trOmtba1prWmtaa1prWmtaazlnWms5Z1prOWdaazlnWms5Z1prWmtaazlnWms5Z1prOWdaa1prAAB7b3pve296b5tze2+cc3tve297b3tve2+bc3tve297b3tvem97b1pre29aa3tvem+bc3tve296b3tvWmt7b1pre297b3tve297b3pvem9aa3tvWmt7b1pre296b3tvem97b1pre29aa3tve297b3tve29aa1prem97b1prWmtaa1tve2+cc3pvem96b3pvOWd7b1xrXGsaY48xTCmwNXxrnHN7b3tve297b3tve29aa3tvWmtaa1pre297b3tvWmt7b1tre29aa3tvWmt6a1lrWWdZZ5xzWmtaa1prOmdaa5xze29aa1trW2s6Z3xve297b3pvem96a3tvWmtba1prW2saY1trtlZca3xvWmt6a5xzWmt8bxljM0bSOZAx+l58b3tve29aa3tvWmt7b1pre29aa3tvWmt7b1pre29aa1trW2t7b1prW2taa1trWmtba1pre29ba3tvWmt7b1premtZZ1prGGN8bxpjl1KQNS0psTm4VlxvnXM5Z1lrmm97b1tve29aa3tve296b1lrem9aa3tvW2t8b1trfG9ba3tvWms5ZzlnWmtaa1prOWdaazpnWms6Z1trWmtba1prW2taa3tvWmt7b1prWms5Z1prOWdaazlnWms5Z1prOWdaa1prWmtaa1prWmtaa1prWmsAAHpve296b3tvem97b3tve29aa3tve2+bc3pve296b3tvWmt7b1pre29aa3tve297b1pre297b3tve297b3tve297b3tve297b3tve297b3tvWmtaa1prWmtaa3tvWmtaa3tve297b3tvWmt7b3tve29aa3tve297b1prWmtaa3tvWmt7b1prem9aa1prWmt7b1prW2tbaxljzznoHK41OWd7b3tve297b3tve29aa3tvWmt7b1pre29aa3tvWmt7b1pre29aa3tvWmtaazlnWWs4Z1prWmtaazlne297b1prWmtaa1prW2taa1trWmtaa1prem9aa3tvWmt7b1tre286ZzpnGWdaa1trfG9ba1prWmucczlnOmfXWo4xTCn5XlprWmtaa3tvWmtaa1prWms5Z1prWmt7b1pre29aa1prWmtaa1pre29aa3tvWmt7b1pre297b3tvWmtaa1pre285Z1prWmtaazpnO2v5XrlayxwuKU4tG2Ndb1trWmt7b1pre29aa3tvWmtaa1prWmtZa1prWmtaa1prWmtaa1trWmtaa1prWmtaa1prWmtaazlnWms6Z1prOmdaa1prWmtaa1prWmtaazlnWmtaa1prWmtaazlnWms5Z1prWmtaazlnWmtaa1prOWdaa1prWms5ZwAAe297b3tve297b3tvm3N7b3tve2+cc3tvm3N7b3tve297b3tve297b3tve297b3tve297b3tve297b3tve297b3tve297b3tve297b5xze297b1pre29aa3tve297b3tvnHN7b3tve297b3tve297b1prWmucc3tvnHN7b3tve297b1pre29aa3tvWmt7b3tve29aa1prGGO1VlJK1lp7b3tve297b3tve297b3tvWmt7b1pre297b3tvWmt7b3tve29aa3tve297b1prWmtaa1prWmt7b1prWmt7b5xzWmt7b1pre29aa3tvWmt7b1pre29aa3tvWmt7b1pre29aa1prOWdaa1pre297b3tvWmt7b5xze29aa1prc05zTntve29aa3tvWmt7b1pre29aa1prWmt7b3tve29aa3tvWmtaa1pre29aa3tvWmt7b1prWmtaa3tvWmt7b1prWmtaa1prWmtaa1prW2tbaztn2V7SPesgsTnSPV1rfW98b1pre29aa3tvWmt7b1pre29aa1prWmt7b1prWmtaa3tvWmtaa1prWmtaa1prWmtaa1prWmtaa1prWmtaa1prWmtaa1prWmtaa1prWmtaa3tvWmtaa1prWmtaa1prWmtaa1prWmtaa1prWmtaa1prWmtaa1prAAB6b3tvem97b3tve297b3tve2+bc3tvm3N7b3tvem97b3tve29aa3tvWmt7b1pre29aa3tvWmt7b3tve297b3tvWmt7b1pre297b3tve297b3tve29aa3tvWmt7b1pre297b3tve297b1pre29aa3tvOWd7b3tvnHOcc5xzWmt7b1pre29aa3tvWmtaa1pre297b3tvOWc5ZxhjWmt7b3tve297b1pre297b3tvWmt7b1pre29aa3tvWmt7b1pre29aa3tvWmt7b1prWms5Z1prWmt7b1prWmtaa3tve29aa1prWmtaa1prWmtaa1prWmtaa3tvWmtaa1prWmtaa1prWmtaazlnWmtaa1prWmt7bzlne29aa1prWms5ZzlnnHNaa3tvWmtaa1prWmtaa3tvWmtaa1pre29aa3tvWmtaa1prWmtaa1prWmt7b1prWmtaa1prWmtaa1prWms5Z1prOWdaa1lrWmtaa3tvO2cbZ5hW0j1OLW8tNEqdc1tre29aa3tvWmtaa1pre29aa1prWmtaa1prWmtaa1prWmtaa1prWmtaa1prWmtaa1prWms5Z1prOWdaazlnWms5Z1prWmtaazlnWmtaa1prWmtaa1prWms5Z1prOWdaazlnWmtaa1prOWdaa1prWms5Z1prWmsAAHtve297b3tvm3N7b5tze2+bc3tvnHN7b5tze297b3tve297b3tvWmt7b3tve297b3tve297b3tve297b3tve297b3tve297b3tve2+cc3tve297b3tvWmtaa1pre297b5xze297b3tve29aa3tvWmtaa3tvnHOcc5xze297b1pre297b3tvWmt7b1pre297b3tve2+cc1prWmtaa3tvWmt7b3tve297b3tve297b1pre297b3tvWmt7b3tve29aa3tve297b1pre29aa1prWmtaa3tve29aa3tve297b1pre29aa3tvWmt7b1pre29aa3tve297b1pre29aa1prWmt7b1pre29aa1prWmt7b3tve29aa3tvWmtaa1pre29aa3tve297b1prWmtaa3tve297b1pre29aa3tvWmt7b1pre29aa3tvWmt7b1pre29aa1prWmt7b1pre29aa1prWmtaa1prWmtZa3tvW2tbaztnG2f6Xm8xbi2PNbdWnHN7b3tvWmt7b1pre29aa3tvWmt7b1prWmtaa3tvWmtaa1pre29aa1prWmtaa1prWmtaa1prWmtaa1prWmtaa1prWmtaa1prWmtaa1prWmtaa1prWmtaa1prOWdaa1prWms5Z1prWmtaa1prWmtaa1prWmtaawAAem97b3pve296b3tve297b1pre297b3tvWmt7b1pre29aa3tvWmt7b1pre297b3tvWmt7b1pre29aa3tve297b1pre29aa3tve297b3tve29aa3tvWmt7b1prWmtaa3tve297b3tve29aa1prWmt7b3tve297b5xze297b1pre29aa3tve297b1prWmtaa3tvWmt7b3tve29aa1pre2+cc1pre29aa3tve297b1pre29aa3tvWmt7b1pre29aa3tvWmt7b1pre29aa1prWmtaa1prWmtaa1prWmtaa1prWmtaa1prWmt7b1prWmtaa3tve297b1pre29aa1prWmtaa1pre29aa1prOWdaa1pre297b1prWmt7bzlnWmtaa1prWmt7b1prWmtaa1prWmt7b1prWmtaa3tvWmtaa1prWmtaa1prWmt7b1prWmtaa1prWmt7b1pre29aa1prWmt7b1prWmtZa1prWWtaazprW2sbZxtnVUpuMdE9U0qcc1lrWmtaa1prWmtaa1prWmt7b1prWmtaa1prWmtaa1prWmtaa1prWmtaa1prWmtaa1prOWdaazlnWms5Z1prOWdaazlnWms5Z1prOWdaa1prWms5Z1prOWdaazlnWms5Z1prOWdaa1prWms5Z1prWmtaazlnAAB7b3tve297b3tve2+bc3tve296b5tze297b1pre296b3tve297b3tve297b3tve297b1pre297b3tve297b3tve297b3tve297b3tve297b3tve2+cc3tve29aa3tve2+cc3tve297b3tvWmt7b1prnHN7b5xze297b1pre297b3tve297b3tve29aa3tve297b1prWmt7b5xze2+cc5xze29aa3tve297b3tve29aa3tvWmt7b3tve29aa3tve297b1pre29aa1prWmt7b1pre29aa3tvWmtaa1prWmtaa1prWmt7b3tvWmtaa3tve297b3tve297b3tvWmt7b1pre297b3tvWmtaa1pre297b3tvWmt7b3tve29aa3tve297b1pre29aa3tvWmt7b3tve29aa3tvWmt7b1pre29aa3tvWmt7b1pre29aa3tvWmt7b1pre297b3tvWmt7b1prem9Za1prWWt6a1lnWmtba1xr+mIbZ1RKllI6Z1lrWmtaa1pre29aa3tvWmt7b1prWmtaa3tvWmtaa1pre29aa3tvWmt7b1prWmtaa1prWmtaazlnWmtaa1prWmtaa1prWms5Z1prWmtaa1prWmtaa1prWmtaa1prWmtaa1prWmtaa1prWmtaa1prWmtaa1prWmsAAHpve296b3tve297b3tve29aa3tve297b3pve29aa3tve297b1pre29aa3tvWmt7b1pre29aa3tvWmt7b1pre297b3tvWmt7b1pre29aa3tvWmt7b3tvnHN7b3tvWmt7b3tve29aa3tvWmt7b1pre297b3tve297b1pre29aa3tvWmt7b1pre29aa3tvWmt7b3tve29aa1pre2+cc1prWmtaa3tvWmt7b3tve29aa3tvWmt7b1pre29aa3tvWmt7b1pre29aa1prWmtaa1prWmtaa3tvWmtaa1prWms5Z1prWmt7b3tve29aa1prWmt7b1pre29aa3tvWmt7b1pre29aa3tvWmt7b1pre29aa3tvOWdaa1prWmtaa3tvWmt7b1pre29aa3tvWmt7b1pre29aa3tvWmtaa1prWmtaa1prWmt7b1pre29aa1prWmtaa1pre29aa3tvWmtaa1prWmtaa1lrWWd5b1lrWWs5Z1tvXGtbaxpnW2v4Xt57OGN6b1lrWmtaa1prWmtaa1prWmtaa1prWmtaa1prWmtaa1prWmtaa1prWmtaa1prOWdaazlnWms5Z1prOWdaazlnWms5Z1prOWdaazlnWms5Z1prWmtaa1prWmtaa1prWmtaa1prWms5Z1prWmtaazlnWms5ZwAAe297b3tve2+bc3tvm3N7b3tve2+cc3tvm3N7b3tve297b3tve29aa3tve297b3tve29aa3tvWmt7b3tve297b5xze297b3tve297b3tvWmtaa3tvnHN7b3tvWmtaa1pre297b3tvWmt7b1pre29aa3tve297b3tve297b3tvWmt7b3tve297b3tvWmt7b3tvWmt7b5xze297b5xznHNaa3tvWmt7b1pre297b3tvWmt7b3tve29aa3tve297b1pre29aa3tvWmtaa1pre29aa3tve297b1pre29aa1prWmtaa3tve297b3tvWmt7b3tve29aa3tvWmt7b1pre29aa3tve297b3tve297b3tvWmtaa5xze285Z1pre29aazlne29aa3tve297b3tve29aa3tvWmt7b1pre29aa3tvWmt7b1pre29aa3tvWmtaa1prWmtaa3tvWmt7b1prWmtaa1prWWtZa3lvem9Za3pre29ba1xvO2s6Z3xv916bc1lrWmtaa1prWmt7b1pre29aa3tvWmtaa1pre29aa1prWmt7b1pre29aa1prWmtaazlnWms5Z1prOWdaa1prWms5Z1prWmtaazlnWmtaa1prWmtaa1pre29aa3tvWmtaa1prWmtaa1prWmtaa1prWmtaa1prAAB7b3tve297b3pve297b3tve297b3tve296b3tve2+bc1pre29aa3tvWmt7b1pre297b3tvWmt7b3tve29aa1prWmt7b3tve29aa3tvWmt7b1pre29aa3tvWmt7b1pre29aa1prWmtaa1pre297b3tve297b3tve297b3tvWmt7b1pre29aa3tvWmt7b1pre29aa3tvWmt7b1pre297b3tvWmt7b1pre29aa3tvWmt7b1prWmtaa3tvWmt7b1pre29aa3tvWmt7b1prWmtaa3tvWmtaa1pre29aa1prWmtaa1pre297b3tvWmtaa1pre29aa3tvWmt7b1pre29aa3tvWmtaa1prWmtaa1prWmt7b1prWmtaa1prOWdaa1pre29aa3tve297b1pre29aa1prWmt7b1prWmtaa1prWmt7b1pre29aa3tvWmtaa1prWmtaa1prWmtaa1prWmtaa1prOWdaa1lreWtYa1lrWWtaa1prW2s7Z1trWmtaa1lrem9aa3tvWmtaazlnWmtaa1prWmtaa1prWmtaa1prWmtaa1prWmtaa1prOWdaazlnWms5ZzlnOWdaazlnWmtaa1prOWdaazlnOWc5Z1prWmtaa1prWmtaa1prWmtaa1prWms5Z1prWmtaazlnWmtaa1prOWcAAJtze2+bc3tve297b5xze2+bc3tvm3N7b3tve2+bc3tve297b3tve297b3tve297b3tve297b1pre29aa3tvWmt7b3tve297b3tve297b1pre297b3tve297b1pre29aa3tvWmtaa1pre297b3tve297b3tve297b3tve297b3tve297b3tve297b3tve297b3tvWmt7b3tve297b3tve297b1pre297b3tve297b1pre29aa3tvWmt7b1pre297b3tvWmt7b1pre29aa3tvWmt7b1pre29aa3tvWmt7b1pre297b5xze29aa1pre297b3tvWmt7b1pre29aa3tvWmtaa1pre29aa3tvWmt7b1prWmtaa3tvWmtaa1pre29aa3tve297b1prWmtaa3tvWmt7b1pre29aa1prWmt7b1pre29aa3tvWmt7b1pre29aa3tvWmt7b1prWmtaa1prWmtaa1prem9Za3lrWWt6a1lre29ba1trWmtba1prem9Za3pvWmt7b1prWmtaa1prWmt7b1pre29aa3tvWmt7b1prWmtaa1prWmtaa1prWmtaa1prOWdaa1prWmtaa1prWmtaa1prWms5Z1prOWdaa1prWmtaa1prWmtaa1prWmtaa1prWmtaa1prWmtaa1prWmtaawAAem97b3pve297b3tve2+bc3tve297b3tve297b3tve29aa3tvWmt7b1pre29aa3tve297b1pre29aa3tvWmt7b1pre29aa3tve297b1pre297b3tve297b3tve29aa3tvWmt7b1prWmtaa3tvWmt7b3tve297b3tve297b1pre297b3tvWmt7b1pre29aa1prWmt7b1pre297b3tvWmt7b1pre29aa3tve297b1pre29aa3tvWmt7b1pre29aa3tvWmt7b1prWmtaa3tvWmt7b3tve29aa1prWmtaa1prWmtaa3tvWmt7b1prWmtaa3tvWmtaa1prWmtaa1prWmtaa1prWmtaa1prWmt7b1prWmtaa1prWmtaa1prWmtaa3tve297b1prWmtaa3tvWmtaa1prWmtaa1prWmtaa1prWmtaa3tvWmtaa1prWmtaa1prWmt7b1prWmtaa1prWmtaa1prWmtZa1lrWWt5a1hrWmtaa1trOmdaa1premtZa1lrWWtaa1prWmtaa1prWmtaa1pre29aa1prWmt7b1prWmtaa1prOWdaazlnWms5Z1prOWdaazlnWmtaa1prOWdaazlnWms5ZzlnOWdaazlnWmtaa1prOWdaa1prWms5Z1prWmtaazlnWmtaa1prOWdaazlnAAB7b3tve296b5tze2+cc3tvm3N7b5tze2+cc3tvm3N7b3tve297b3tve297b3tve2+cc3tve297b5xze2+cc3tve297b3tve297b3tve29aa3tve297b3tve297b3tve297b3tve29aa3tve297b1pre297b3tve297b3tve29aa3tve297b3tve29aa3tvWmt7b1pre297b3tve297b1pre297b3tve297b3tve297b3tvWmt7b1pre29aa3tvWmt7b1pre29aa3tvWmt7b3tvnHN7b3tvWmt7b1pre29aa1prWmt7b1pre29aa3tvWmt7b1prWmtaa3tvWmtaa1pre29aa3tvWmt7b1pre29aa1prWmtaa1prWmtaa3tve297b3tve29aa3tve297bzlnWmtaa1prWmt7b1prWmtaa3tvWmt7b1pre29aa3tvWmt7b1pre29aa3tvWmtaa1prW2taa1prWWt5b1lreWtZa3tvW2tba1pre29aa1lrWWtaa1prWmtaa3tvWmtaa1pre29aa3tvWmt7b1pre29aa3tvWmtaa1prWmtaa1prWmtaa1prWmtaa1prWmtaa1prWmtaa1prOWdaa1prWmtaa1prWmtaa1prWmtaa1prWmtaa1prWmtaa1prWmtaa1prWmsAAFpre29aa3tvem97b3tvnHN6b3tve2+bc3tve297b3tvWmt7b1pre29aa3tvWmt7b1pre297b5xznHOcc3tve29aa3tvWmt7b1pre29aa3tve297b3tve297b3tvWmt7b1pre29aa3tvWmt7b1pre29aa3tvWmt7b1pre29aa3tvWmt7b3tve29aa1prWmtaa1prWmtaa3tvWmt7b1pre29aa3tve297b1pre29aa3tvWmt7b1pre29aa3tvWmt7b1prWmtaa1prWmt7b1pre297b3tvWmtaa1prWmtaa1prWmtaa1pre29aa1prWmt7b1prWmtaa1prWmtaa1prWmtaa1prWmt7b1prWmtaa1prOWdaa1prWmtaa1prWmt7b1pre29aa1prWmt7b1prOWc5Z1prWmtaa1prWmtaa1prWmtaa1prWmtaa1prWmt7b1pre29aa3tvWmtaa1prW2taa1trWmt6a1lreWtZa1prWmtba1prW2taa1prWWtZazlnWmtaa1prWmtaa1prWmtaa1prWmtaa1prWmtaa1prWmtaa1prWms5Z1prOWdaazlnWmtaa1prWmtaa1prWms5Z1prOWdaazlnWmtaa1prOWdaa1prWms5Z1prWmtaazlnWmtaa1prOWdaa1prWms5ZwAAe296b3tve297b3tvm3N7b3tve2+cc3tvnHN7b5tze297b3tve297b3tve297b3tve29aa3tve2+cc3tve29aa3tvWmt7b3tve297b3tve297b3tve297b3tve297b3tve297b3tve297b1pre297b3tvWmt7b3tve297b3tve297b3tve297b3tvWmt7b1pre29aa3tve297b1pre297b3tvWmt7b3tve29aa3tvWmt7b1pre29aa3tvWmt7b1pre29aa3tvWmt7b1pre297b3tvWmt7b1prWmtaa3tvWmt7b1pre29aa3tvWmt7b1pre29aa3tvWmt7b1pre29aa3tvWmt7b1pre29aa3tvWmtaa1pre29aa1prWmt7b3tve29aa3tvWmt7b3tvWmsYY1prWmt7b1pre29aa3tvWmt7b1pre29aa3tvWmt7b1pre29aa3tvWmt7b1pre29aa1trW2t7b1prem9Za3pvWWt7b1prW2tba3tvWmt6a1lrWmtaa1prWmtaa1prWmtaa1prWmt7b1prWmtaa3tvWmtaa1prWmtaa1prWmtaa1prWmtaa1prWmtaa1prWmtaa1prOWdaa1prWmtaa1prWmtaa1prWmtaa1prWmtaa1prWmtaa1prWmtaa1prWmtaa1prAAB6b3tvWmt7b3pve296b3tvem97b3tvm3N7b5tzem97b1pre29aa3tvWmt7b1pre29aa3tvWmt7b3tve297b3tvWmt7b1pre297b3tvWmt7b1pre29aa3tvWmt7b1prWmtaa3tve297b1pre29aa3tvWmt7b1pre29aa3tvWmt7b1pre29aa3tvWmt7b1prWmtaa3tvWmt7b1pre29aa3tvWmt7b1pre29aa3tvWmtaa1pre29aa3tvWmt7b1prWmtaa3tvWmtaa1pre29aa3tvWmtaazlnWmtaa1prWmtaa1pre29aa1prWmtaa1prWmtaa3tvWmtaa1pre29aa1prWmt7b1prWmtaa1prWmtaa1prWmtaa1prWmtaa1pre29aa3tvWmtaa1pre285ZxhjWmtaa1pre297b3tvWmt7b1prWmtaa1prWmt7b1pre29aa3tvWmt7b1pre29aa1trW2tca1prWmtZa3lvWWtaa1prW2s6a1trWmt6b1lrWWs5Z1prOWdaazlnWmtaa1prWmtaa1prWmtaa1prWmtaa1prWms5Z1prOWdaazlnWmtaa1prWmtaa1prWms5Z1prOWdaazlnWms5Z1prOWdaazlnWms5Z1prOWdaazlnWmtaa1prOWdaa1prWms5Z1prOWcAAJtze297b3pve297b3tve297b3tvm3N7b5xze297b3pve297b3tve297b3tve297b5xze297b1pre297b5xze297b1pre297b3tve297b3tve297b3tve297b1pre29aa3tve2+cc3tve29aa3tvWmt7b1pre297b3tve297b3tve29aa3tvWmt7b3tve29aa3tvWmt7b1pre297b3tvWmt7b1pre29aa3tvWmt7b1pre297b3tvWmt7b1pre29aa3tve297b1pre29aa3tvWmtaa1prWmtaa3tvWmtaa1pre29aa3tvWmt7b1prWms5Z3tvWmt7b1pre29aa3tvWmt7b1pre29aa3tvWmtaa1pre29aa3tvWmtaa1prWmtaa3tvWmtaazlne297b1prGGNaa1pre297b5xze297b1pre29aa3tvWmt7b1pre29aa3tve297b1pre29aa3tvWmtbb1tre29aa3pvWWt6b1lrWmtaa1trW2t7b3pvem9Za1prWmtaazlnWmtaa1prWmtaa1prWmtaa1prWmtaa1pre29aa1prWmtaa1prWmtaa1prWmtaa1pre29aa1prWmtaazlnWmtaa1prWmtaa1prWmtaa1prWmtaa1prWmtaa1prWmtaa1prWmtaa1prWmtaawAAe297b3tve29aa3tve297b3tve297b3tve297b3tvnHNaa3tvWmt7b1pre29aa3tvWmt7b3tve297b3tve297b1pre297b3tve297b3tve29aa3tvWmt7b1prWmtaa1prWmt7b3tve297b3tvWmt7b3tve29aa3tvWmt7b3tve29aa1pre297b3tve29aa1prWmtaa1pre29aa3tvWmt7b1prWmtaa1prWmtaa1prWmtaa1prWmt7b1pre29aa3tvWmtaa1pre29aa3tvWmt7bzlnWmtaa3tvWmtaa1prWmtaa1prWmt7b1prWmtaa1prWmtaa1prWmtaa1prWmtaa1prWmtaa3tvWmtaa1prWmtaa1prWmtaa1prWmtaa3tvWmtaa1prWmtaa1prWmt7b1pre29aa3tvWmtaa1prWmtaa1prWmt7b1pre29aa3tvWmt7b1pre29aa1prWmtaa1prW2tba3tvWmt6b1prWmtaa1prOWdaa1pre29aa1prWmtaa1prWmtaa1prWmtaa1prWmtaa1prOWdaazlnWmtaa1prWmtaa1prWmtaa1prOWdaa1pre285Z1prOWdaazlnWms5Z1prOWc5ZzlnWms5Z1prOWdaazlnWms5Z1prWmtaa1prWms5Z1prWmtaa1prAAB7b3tve297b3tve297b3tve297b5xze2+cc3tvnHN7b3tvWmt7b1pre29aa3tve297b3tve297b3tve297b3tve297b3tve297b3tve297b3tve297b3tve29aa3tvWmt7b3tve297b3tve297b1pre297b3tve297b3tve297b1prWmt7b3tve297b3tvWmt7b1pre297b3tve297b3tve29aa3tvWmt7b1pre29aa3tvWmt7b1pre29aa3tve297b1pre297b3tvWmt7b1prWmtaa3tvWmtaa1pre29aa3tvWmt7b1pre29aa3tvWmt7b1pre29aa1prWmtaa1pre29aa3tvWmt7b1pre29aa3tvWmt7b1prWmtaa3tvWmt7b1pre29aa1prWmt7b1pre297b3tve297b1pre29aa1prWmt7b1pre29aa3tve297b1pre29aa3tvWmt7b1pre29aa3tve297b1pre29aa1prWmtaa1pre29aa3tvWmtaa1prWmtaa1prWmtaa1prWmtaa1prWmtaa1prWmtaa1prWmtaa1prWmtaa1prWmtaa1pre29aa1prOWdaa1prWmtaa1prOWdaazlnWms5Z1prWmtaa1prWmtaa1prWmtaa1prWmtaa1prWmtaa1prWmsAAFpre29aa3tve297b3tve297b3tve297b3tve297b3tve297b1pre29aa3tvWmt7b1pre29aa3tvWmt7b1pre297b3tvWmt7b3tve29aa3tvWmt7b1pre297b3tvWmt7b1pre29aa3tvWmt7b1pre297b3tvWmt7b1pre29aa3tvWmt7b1pre297b3tvWmtaa1pre29aa3tvWmt7b1pre29aa1prWmtaa1prWmtaa1prWmt7b1pre29aa3tvWmt7b1pre29aa3tvWmt7b1prWmtaa1prWmtaa1prWmtaa1prWmtaa1prWmtaa3tvWmtaa1pre29aa1prWmtaa1prWmtaa1prWmtaa1pre29aa3tvWmtaa1prWmtaa1prWmtaa1prWmtaa1prWmtaa1prWmtaa3tvWmt7b1pre29aa3tvWmtaa1prWmtaa3tvWmt7b1pre29aa1prWmtaa1prWmtaa3tvWmt7b1pre29aa1prWmtaazlnWmtaa3tvWmtaa1prWmtaa1prWmtaa1prWmtaa1prOWdaazlnWms5Z1prWmtaa1prWmtaa1prWmtaazlnWmtaa1prWmtaazlnWmtaa1prOWdaazlnWms5Z1prOWdaazlnWms5Z1prOWdaa1prWms5Z1prWmtaa1prWmtaawAAe297b3tve297b3tvnHN7b3tve297b3tvnHN7b5xze297b3tve29aa3tve297b3tve29aa3tvWmt7b3tve297b3tve297b3tve297b3tve297b3tve297b5xze297b3tve29aa3tvWmt7b3tve29aa3tve297b3tve297b3tve297b1pre297b3tve297b1pre29aa3tvWmt7b3tve29aa3tvWmt7b1pre29aa3tvWmt7b1pre29aa3tvWmt7b1pre29aa3tvWmt7b1pre29aa3tvWmt7b1pre29aa1prWmt7b1pre29aa3tvWmt7b1pre29aa3tvWmt7b1prWmtaa1prWmtaa1pre29aa3tvWmt7b1prWmtaa3tvWmt7b1pre29aa1prWmt7b1pre29aa3tvWmt7b1pre297b3tve297b1pre29aa3tvWmt7b1pre29aa3tvWmt7b1pre29aa3tvWmt7b1pre29aa1prWmt7b1pre29aa3tvWmtaa1prWmtaa1prWmtaa1prWmtaa3tvWmtaa1prWmtaa1prWmtaa1prWmtaa1prWmtaa1prWmtaa1prWmtaa1prWmtaa1prWmtaazlnWmtaa1prWmtaa1prWmtaa1prWmtaa1prWmtaa1prWmtaa1prWmtaa1prAABaa3tvWmt7b3tve297b5xzWmt7b3tve297b3tve297b3tve297b3tvWmt7b1pre29aa3tvWmt7b1pre29aa3tve297b3tve29aa3tvWmt7b1pre29aa3tve2+cc3tve29aa1prWmt7b1pre29aa3tvWmt7b1pre29aa3tvWmt7b1pre29aa3tvWmt7b1pre29aa1prWmt7b1pre29aa1prWmtaa1prWmtaa1prWmtaa1pre29aa3tvWmt7b1pre29aa1prWmt7b1pre29aa3tvWmt7b1pre29aa1prWmt7b1prWmtaa3tvWmtaa1prWmtaa3tvWmt7b1prWmtaa1prWmtaa1prWmtaa1prWmt7b1prWmtaa1prWmtaa1prWmtaa1prWmtaa1prWmtaa3tvOWdaa1prWmtaa3tvWmt7b1prWmtaa1prWmtaa1pre29aa1prWmtaa1prWmtaa3tvWmtaa1pre29aa1prWmtaa1prWmtaa1prWmtaa1prWmtaa1prWmtaa1prWmtaa1prWmtaa1prWms5Z1prOWdaa1prWmtaa1prWmtaa1prWms5Z1prOWdaazlnWmtaa1prOWdaazlnWms5Z1prOWdaazlnWms5Z1prOWdaazlnWms5Z1prOWdaazlnWmtaa1prOWcAAHtve297b3tve297b5xze297b3tve297b3tve2+cc3tvnHN7b3tve297b1pre297b3tvWmt7b3tve297b3tve297b3tve297b3tvWmt7b1pre29aa3tve2+cc3tvnHN7b3tvWmt7b1pre29aa3tve297b3tve297b3tve297b3tve29aa3tve297b1pre29aa3tvWmt7b1pre29aa3tvWmtaa1pre29aa1prWmt7b1pre29aa3tvWmt7b1pre29aa3tvWmt7b3tve29aa3tvWmt7b3tve29aa1prWmt7b3tve29aa3tvWmt7b1pre29aa3tvWmt7b1pre29aa3tvWmt7b1pre29aa3tvWmt7b1pre29aa1prWmtaa1pre29aa1prWmtaa1prWmtaa3tvWmtaa1prWmtaa3tvWmt7b1pre29aa3tvWmt7b1pre29aa3tvWmt7b1pre29aa3tvWmt7b1pre29aa1prWmt7b1pre29aa3tvWmtaa1prWmtaa1prWmtaa1prWmtaa1prWmtaa1prWmtaa1prWmtaa1prWmtaa1prWmtaa1prWmtaa1prWmtaazlnWmtaa1prWmtaa1prWmtaa1prWmtaa1prWmtaa1prWmtaa1prWmtaa1prWmtaa1prWmtaa1prWmtaawAAe297b1pre297b3tve297b3tve29aa3tve297b3tve297b3tve297b1pre29aa3tvWmt7b1pre297b3tve297b3tve29aa3tvWmt7b1prWmtaa1prWmt7b3tvnHN7b3tve297b1pre29aa3tvWmt7b1pre29aa3tve297b1pre29aa3tvWmt7b1pre29aa3tvWmt7b1pre29aa1prWmtaa1prWmtaa1prWmtaa1prWmtaa3tvWmt7b1pre29aa1prWmt7b1pre29aa3tvWmtaa3tve29aa1prWmtaa1pre29aa1prWmtaa1pre29aa1prWmt7b1pre29aa3tvWmtaa1pre29aa1prWmtaa1prWmtaa1prWmtaa1prWmtaa1prWmtaazlnWmtaa1prWmt7b1prWmtaa1prWmt7b1pre29aa1prWmtaa1prWmtaa1prWmtaa1prWmtaa3tvWmt7b1pre29aa1prWmtaa1prWmtaa1prWmtaa1prWmtaa1prWmtaa1prWmtaa1prWmtaa1prWms5Z1prOWdaazlnWmtaa1prWmtaa1prWmtaa1prWmtaazlnOWdaa1prWmtaazlnWms5Z1prOWdaa1prWms5Z1prOWdaazlnWms5Z1prWmtaazlnWms5Z1prOWdaazlnAAB7b3tve297b3tve297b3tve297b3tve297b3tve297b5xze297b3tve297b3tve297b3tve297b3tve297b3tve297b3tve297b1pre29aa3tvWmtaa1prnHOcc5xze2+cc3tve29aa3tve297b3tve297b3tve297b3tve29aa3tve297b1pre297b3tvWmt7b1pre29aa3tvWmtaa1prWmtaa1prWmtaa1prWmtaa3tve297b1pre29aa3tvWmt7b1pre29aa3tvWmt7b1pre297b3tvWmtaa1pre29aa3tvWmt7b1pre29aa3tvWmt7b3tve29aa3tvWmt7b1pre297b3tvWmt7b1prWmtaa3tvWmtaa1prWmtaa1prWmtaa1prWmtaa1prWmt7b1pre29aa3tvWmt7b1pre29aa3tvWmt7b1pre29aa1prWmt7b1pre29aa3tvWmt7b1pre29aa3tvWmtaa1prWmtaa1prWmt7b1prWmtaa1prWmtaa1prWmtaa1prWmtaa1pre29aa1prWmtaa1prWmtaa1prWmtaa1prWmtaa1prWmt7b1prWms5Z1prWmt7b1prWmtaa1prOWdaa1prWmtaa1prWmtaa1prWmtaa1prWmtaa1prWms5Z1prOWdaazlnWmsAAFpre297b3tve297b3tve29aa3tvWmt7b1pre297b3tve297b3tve297b3tvWmt7b3tve297b3tve2+cc3tve297b3tve297b1pre29aa3tve297b1pre297b5xze297b3tve297b3tvWmt7b1pre29aa3tve297b3tve297b3tvWmt7b1pre29aa3tve297b1pre29aa3tvWmtaa1pre29aa1prOWd7b1prWmtaa3tvWmtaa1prWmtaa1prWmt7b1pre297b3tvWmt7b1pre29aa3tvWmt7b1pre29aa3tvWmt7b1pre29aa1prWmt7b1pre29aa3tvWmtaa1pre29aa3tvWmt7b1prWmtaa3tvWmtaa1prWmtaa1prWmtaa1prWmtaa1prWmtaa1pre29aa1prWmtaa1prWmtaa1prWmtaa1prWmtaa1prWmtaa1prWmtaa1prOWdaa1prWmtaa1prOWdaazlnWmtaa3tvOWdaa1prWmtaa1prWmtaa1prWmtaa1prWmtaa1prWmtaa1prOWdaazlnWmtaa1prWmtaazlnWms5Z1prOWdaazlnWms5Z1prOWdaa1prWms5Z1prWmtaazlnWmtaa1prOWdaazlnWms5Z1prOWdaazlnWms5Z1prOWdaazlnWms5ZwAAe297b5xze2+cc3tvnHN7b3tve297b3tve297b5xze297b3tvnHN7b3tve297b1pre297b3tve2+cc3tvnHN7b3tve297b3tve29aa3tve297b3tve297b5xze2+cc3tvnHN7b5xze297b3tve297b3tvWmt7b3tve297b3tve297b3tve297b3tve297b3tve29aa3tvWmtaa1pre29aa3tvWmtaa1pre29aa1pre29aa1pre29aa3tvWmt7b1pre29aa3tve297b3tve297b3tvWmt7b1pre29aa3tvWmt7b1pre29aa3tvWmt7b1pre29aa3tvWmt7b1pre29aa3tvWmt7b1pre29aa3tvWmtaa1pre29aa1prWmt7b1prWmtaa1prWmtaa1pre29aa1prWmt7b1pre29aa3tvWmtaa1pre29aa1prWmt7b1prWmtaa1prWmtaa1pre29aa1prWmtaa1prWmtaa3tvWmtaa1pre29aa3tvWmt7b1pre29aa3tvWmtaa1pre29aa3tvWmtaa1prWmtaa3tvWmtaa1prWmtaa1prOWdaa1prWms5Z1prWmtaa1prWmtaa1prWmtaa1prWmtaa1prWmtaa1prWmtaa1prOWdaazlnWms5Z1prOWdaazlnWms5Z1prAAB7b3tve297b3tvnHN7b3tve297b3tve297b3tve2+cc3tve297b3tve297b1pre297b3tvWmt7b3tve297b3tve297b1pre29aa3tvWmt7b3tve29aa3tve297b3tve297b3tve297b3tve29aa3tvWmt7b1pre29aa3tvWmt7b1pre29aa3tvWmt7b1pre29aa3tvWmtaa1prWmtaa1prWmtaazlnWmtaa1prWmt7b1prWmtaa1prWmt7b1prWmtaa3tvWmt7b1pre29aa3tvWmt7b1prWmtaa3tvWmtaa1pre29aa1prWmt7b1pre29aa3tvWmtaa1pre29aa3tvWmt7b1prWmtaa1prWmtaa1prWmtaa1prWmtaa1prWmtaa1prWmtaa1prWmtaa1prWmtaa1prWmtaa1prWmtaa1prWmtaa1prWmtaa1prWmtaa1prWmtaa1prWmtaa1prWmtaazlnWmtaa1prWmtaa1prWmtaa1prWmtaa1prWmtaa1prWmtaa1prWmtaa1prWmtaa1prWms5Z1prWmtaa1prWms5Z1prOWdaazlnWms5Z1prOWdaazlnWms5Z1prWmtaazlnWmtaa1prOWdaa1prWms5Z1prOWdaazlnWms5Z1prOWdaazlnWms5ZzlnOWcAAHtve297b3tvnHN7b3tve2+cc3tve297b3tve297b3tve297b3tve297b3tve29aa3tve297b1pre297b3tvWmt7b3tve297b3tve297b3tve297b3tve297b3tve297b3tve297b3tve297b3tvWmt7b1pre29aa3tvWmt7b1pre297b3tvWmt7b3tve29aa3tvWmt7b1pre29aa1prWmt7b1prWmtaa3tvWmtaa1prWmtaa1prWmt7b1pre29aa3tvWmt7b1pre297b3tvWmt7b1pre29aa3tvWmt7b1pre29aa3tvWmt7b1pre29aa3tvWmt7b1pre29aa3tvWmt7b3tve29aa3tvWmtaa1prWmtaa1prWmt7b1pre29aa1prWmtaa1prWmtaa1prWmtaa1pre29aa3tvWmtaa1prWmtaa1prWmt7b1pre29aa1prWmtaa1pre29aa1prWmtaa1prWmtaa1prWmtaa1prWmtaa1prWmt7b1pre29aa1prWmtaa1prWmtaa3tvWmt7b1prWmtaa1prWmt7b1prWmtaa1prOWdaazlnWms5Z1prOWdaazlnWmtaa1prWmtaa1prWmtaa1prWmtaa1prWmtaa1prWmtaa1prWms5Z1prWmtaazlnWms5Z1prOWdaawAAWmt7b1pre297b3tve297b3tve29aa3tvWmt7b1pre29aa3tve297b3tve29aa3tve297b1pre29aa3tvWmt7b1pre29aa3tvWmt7b3tve29aa3tve297b1pre297b3tvWmt7b1pre29aa3tvWmt7b1pre29aa3tvWmtaa1pre29aa3tvWmt7b1pre29aa3tvWmt7b1pre29aa3tvWmtaa1prWmtaa1prWmtaa1prWmtaa1prWmtaa1prWmtaa1prWmtaa1pre29aa3tvWmtaa1prWmtaa1prWmtaa1prWmtaa1prWmtaa1prWmtaa3tvWmt7b1pre29aa3tvWmt7b1pre29aa1prWmtaa1prWmtaa1prWmtaa1prWmtaa1prWmtaa1prWmtaa1prWmtaa1prWmtaa1prWmtaa1prWmtaa1prWmtaa1prWmtaa1prWmtaa1pre29aa1prWmtaazlnWmtaa1prWmtaa1prWms5Z1prWmtaa1prWmtaa1prOWdaa1prWms5Z1prWmt7b1prWmtaa1prWmtaa1prWmtaa1prOWdaazlnWms5Z1prOWdaazlnWms5Z1prWmtaazlnWmtaa1prOWdaa1prWms5Z1prOWdaazlnWms5Z1prOWdaazlnWms5Z1prOWdaazlnAAB7b1pre297b3tve297b3tve297b3tvWmt7b1pre297b3tve297b3tve297b3tve297b3tve297b3tve297b1pre29aa3tve297b3tve297b3tve2+cc3tve29aa3tve297b3tve297b3tvWmt7b3tve29aa3tvWmt7b1pre29aa3tve297b3tve29aa3tvWmt7b3tve297b3tve297b1prWmtaa3tvWmtaa1pre29aa1prWmtaa1prWmtaa3tvWmtaa1pre29aa3tvWmt7b1pre29aa3tvWmt7b1pre29aa1prWmtaa1prWmtaa3tve297b1pre29aa3tvWmt7b3tve29aa3tvWmtaa1prWmtaa1prWmt7b1prWmtaa3tvWmtaa1prWmtaa1prWmtaa1prWmtaa3tvWmt7b1pre29aa1prWmt7b1prWmtaa3tvWmtaa1pre29aa3tvWmt7b1prWmtaa1prWmtaa1pre29aa1prWmt7b1pre29aa3tvWmtaa1pre29aa1prWmt7b3tvWmtaa3tvWmtaa1pre29aa1prWmtaa1prWms5Z1prWmtaazlnWmtaa1prWmtaa1prWmtaa1prWmtaa1prWmtaa1prWmtaa1prWms5Z1prOWdaazlnWms5Z1prOWdaazlnWmsAAFpre29aa3tve297b1pre297b3tvWmt7b1pre29aa3tvWmt7b3tve297b3tvWmt7b3tve29aa3tve297b1pre29aa3tvWmt7b3tve29aa3tvWmt7b3tve29aa3tvWmt7b1pre29aa3tvWmt7b1pre29aa3tvWmt7b1pre29aa1pre297b1pre29aa1prWmtaa1pre29aa3tve297b1prWmtaa3tvWmtaa1pre29aa1prWmtaa1prWmtaa1prWmtaa1prWmtaa1prWmtaa1prWmtaa1prWmtaa1prWmtaa1prWmtaa1prWmtaa3tvWmt7b1pre29aa1prWmt7b1pre29aa3tvWmtaa1prWms5Z1prWmtaa1prWmtaa1prWmtaa1prWmtaa1prWmtaazlnWmtaa1prWmtaa1prWmtaa1prWmtaa1prWmtaa1prWmtaa1prWmtaa3tvWmt7b1prWms5Z1prWmtaa1prWmtaa1prWmtaa1prWmtaa1prWmtaa1pre29aa1prOWdaa1pre29aa1prWmtaa1prWms5Z1prWmtaazlnWms5Z1prOWdaazlnWms5Z1prOWdaazlnWmtaa1prOWdaa1prWms5Z1prWmtaazlnWms5Z1prOWdaazlnWms5Z1prOWdaazlnOWc5ZwAAe297b3tve2+cc3tve297b5xze297b3tve297b3tve297b3tve297b5xze297b3tvnHN7b3tve297b3tve29aa3tve297b3tve297b3tve297b3tvnHN7b3tvWmt7b3tve297b3tvWmt7b3tve297b3tve297b3tve29aa3tvWmt7b3tve29aa3tvWmtaa1pre29aa3tve297b1prWmtaa1pre297b1prWmtaa3tvOWdaa1prWmtaa1prWmtaa1prWmtaa3tvWmt7b1prWmtaa3tvWmtaa1pre29aa1prWmtaa1prWmtaa3tvWmt7b1pre29aa3tvWmt7b1pre297b3tve297b1prWmtaa1prWmtaa1prWmtaa3tvWmt7b1prWmtaa1prWmtaa1prWms5Z1prWmt7b1pre29aa1prWmtaa1prWmtaa3tvWmt7b1prWmtaa3tvWmt7b1prWmtaa1prWmtaa1pre29aa1prWmtaa1prWmtaa3tvWmt7b1prWmtaa3tvWmtaazlnWmtaa1prWmtaa1prWmtaa1prOWdaa1prWms5Z1prOWdaazlnWms5Z1prOWdaa1prWmtaa1prWmtaa1prWmtaa1prWmtaa1prWmtaa1prWmtaazlnWmtaa1prOWdaazlnWms5Z1prAABMAAAAZAAAAAAAAAAAAAAAlAAAAEwAAAAAAAAAAAAAAJUAAABNAAAAKQCqAAAAAAAAAAAAAACAPwAAAAAAAAAAAACAPwAAAAAAAAAAAAAAAAAAAAAAAAAAAAAAAAAAAAAAAAAAIgAAAAwAAAD/////RgAAABwAAAAQAAAARU1GKwJAAAAMAAAAAAAAAA4AAAAUAAAAAAAAABAAAAAUAAAA</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2026-08-13T20:35:27Z</xd:SigningTime>
          <xd:SigningCertificate>
            <xd:Cert>
              <xd:CertDigest>
                <DigestMethod Algorithm="http://www.w3.org/2001/04/xmlenc#sha256"/>
                <DigestValue>Z09FfJIPU49iaJ2dKwd8xo+ZniD7zuLQinbgiUeEqpk=</DigestValue>
              </xd:CertDigest>
              <xd:IssuerSerial>
                <X509IssuerName>C=PY, O=ICPP, OU=Prestador Cualificado de Servicios de Confianza, SERIALNUMBER=RUC 80113823-0, CN=CONFIRMA S.A.</X509IssuerName>
                <X509SerialNumber>6344096911337137794</X509SerialNumber>
              </xd:IssuerSerial>
            </xd:Cert>
          </xd:SigningCertificate>
          <xd:SignaturePolicyIdentifier>
            <xd:SignaturePolicyImplied/>
          </xd:SignaturePolicyIdentifier>
        </xd:SignedSignatureProperties>
      </xd:SignedProperties>
    </xd:QualifyingProperties>
  </Object>
  <Object Id="idValidSigLnImg">AQAAAGwAAAAAAAAAAAAAAKgBAADQAAAAAAAAAAAAAAC/HQAAqw4AACBFTUYAAAEAPBcBAMs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OMAAAAFAAAAMQEAABsAAADjAAAABQAAAE8AAAAXAAAAIQDwAAAAAAAAAAAAAACAPwAAAAAAAAAAAACAPwAAAAAAAAAAAAAAAAAAAAAAAAAAAAAAAAAAAAAAAAAAJQAAAAwAAAAAAACAKAAAAAwAAAABAAAAUgAAAHABAAABAAAA7////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MAAAAFAAAAMgEAABwAAAAlAAAADAAAAAEAAABUAAAAhAAAAOQAAAAFAAAAMAEAABsAAAABAAAAVVWPQSa0j0HkAAAABQAAAAkAAABMAAAAAAAAAAAAAAAAAAAA//////////9gAAAAMQAzAC8AOAAvADIAMAAyADYAAAAJAAAACQAAAAcAAAAJAAAABwAAAAkAAAAJAAAACQAAAAkAAABLAAAAQAAAADAAAAAFAAAAIAAAAAEAAAABAAAAEAAAAAAAAAAAAAAAqQEAANEAAAAAAAAAAAAAAKkBAADR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JAAAAAAAAABQAAAAIQDwAAAAAAAAAAAAAACAPwAAAAAAAAAAAACAPwAAAAAAAAAAAAAAAAAAAAAAAAAAAAAAAAAAAAAAAAAAJQAAAAwAAAAAAACAKAAAAAwAAAADAAAAJwAAABgAAAADAAAAAAAAAAAAAAAAAAAAJQAAAAwAAAADAAAATAAAAGQAAAAAAAAAAAAAAP//////////AAAAACQAAABAAQAAAAAAACEA8AAAAAAAAAAAAAAAgD8AAAAAAAAAAAAAgD8AAAAAAAAAAAAAAAAAAAAAAAAAAAAAAAAAAAAAAAAAACUAAAAMAAAAAAAAgCgAAAAMAAAAAwAAACcAAAAYAAAAAwAAAAAAAAAAAAAAAAAAACUAAAAMAAAAAwAAAEwAAABkAAAAAAAAAAAAAAD//////////0ABAAAkAAAAAAAAAFAAAAAhAPAAAAAAAAAAAAAAAIA/AAAAAAAAAAAAAIA/AAAAAAAAAAAAAAAAAAAAAAAAAAAAAAAAAAAAAAAAAAAlAAAADAAAAAAAAIAoAAAADAAAAAMAAAAnAAAAGAAAAAMAAAAAAAAAAAAAAAAAAAAlAAAADAAAAAMAAABMAAAAZAAAAAAAAAB0AAAAPwEAAHUAAAAAAAAAdAAAAEABAAACAAAAIQDwAAAAAAAAAAAAAACAPwAAAAAAAAAAAACAPwAAAAAAAAAAAAAAAAAAAAAAAAAAAAAAAAAAAAAAAAAAJQAAAAwAAAAAAACAKAAAAAwAAAADAAAAJwAAABgAAAADAAAAAAAAAP///wAAAAAAJQAAAAwAAAADAAAATAAAAGQAAAAAAAAAJAAAAD8BAABzAAAAAAAAACQAAABAAQAAUAAAACEA8AAAAAAAAAAAAAAAgD8AAAAAAAAAAAAAgD8AAAAAAAAAAAAAAAAAAAAAAAAAAAAAAAAAAAAAAAAAACUAAAAMAAAAAAAAgCgAAAAMAAAAAwAAACcAAAAYAAAAAwAAAAAAAAD///8AAAAAACUAAAAMAAAAAwAAAEwAAABkAAAACwAAAEUAAAAnAAAAcwAAAAsAAABFAAAAHQAAAC8AAAAhAPAAAAAAAAAAAAAAAIA/AAAAAAAAAAAAAIA/AAAAAAAAAAAAAAAAAAAAAAAAAAAAAAAAAAAAAAAAAAAlAAAADAAAAAAAAIAoAAAADAAAAAMAAABSAAAAcAEAAAMAAADW////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EUAAAAmAAAAcwAAAAEAAABVVY9BJrSPQQwAAAB0AAAAAQAAAEwAAAAEAAAACwAAAEUAAAAoAAAAdAAAAFAAAABYAAAAGwAAABYAAAAMAAAAAAAAACUAAAAMAAAAAgAAACcAAAAYAAAABAAAAAAAAAD///8AAAAAACUAAAAMAAAABAAAAEwAAABkAAAANgAAACgAAAA0AQAAcwAAADYAAAAoAAAA/wAAAEw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JwAAABgAAAAEAAAAAAAAAP///wAAAAAAJQAAAAwAAAAEAAAATAAAAGQAAAA2AAAAKAAAADQBAABvAAAANgAAACgAAAD/AAAASAAAACEA8AAAAAAAAAAAAAAAgD8AAAAAAAAAAAAAgD8AAAAAAAAAAAAAAAAAAAAAAAAAAAAAAAAAAAAAAAAAACUAAAAMAAAAAAAAgCgAAAAMAAAABAAAACEAAAAIAAAAYgAAAAwAAAABAAAASwAAABAAAAAAAAAABQAAACEAAAAIAAAAHgAAABgAAAAAAAAAAAAAAKkBAADR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CCdtPwAAAAAAAAAAfj9sPwAAWEIAACBCJAAAACQAAAAIJ20/AAAAAAAAAAB+P2w/AABYQgAAIEIEAAAAcwAAAAwAAAAAAAAADQAAABAAAAA2AAAAK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JUAAABNAAAAAAAAACEAAAAIAAAAYgAAAAwAAAABAAAAFQAAAAwAAAAEAAAAFQAAAAwAAAAEAAAAUQAAAHj6AAA2AAAAKAAAAL8AAABuAAAAAAAAAAAAAAAAAAAAAAAAAPkAAACAAAAAUAAAACgAAAB4AAAAAPoAAAAAAAAgAMwAlQAAAE0AAAAoAAAA+QAAAIAAAAABABAAAAAAAAAAAAAAAAAAAAAAAAAAAAAAAAAAOWdaa1pre29aa1prWmt7b1prWmtaa3tvWmt7b1pre297b3tvWmt7b1prWmtaa1prWmt7b1pre29aa1prWmtaa1prWmtaa3tvWmt7b1pre29aa1prWmtaazlnWmtaa1prWmtaa1prWmtaa3tvWmt7b1prWmtaa1prWmtaa1prWmtaa1prOWdaazlnWmtaa1prOWdaa1pre29aa1prWmtaa1pre29aa1prOWdaazlnWmtaa1prWmtaa1prWmtaa1prOWdaazlnWms5Z1prWmtaa1prWmtaa3tvWmtaa1prWms5Z1prWmtaa1prWmtaa1prOWdaa1prWms5Z1prOWdaa1prWms5Z1prOWdaazlnWms5Z1prOWdaazlnWms5Z1prOWdaa1prWmtaa1prOWdaazlnOWc5Z1prOWdaazlnWmtaa1prWmtaa1prWmtaa1prOWdaazlnWms5Z1prOWdaazlnWms5Z1prOWdaazlnWms5Z1prOWdaazlnWmtaa1prOWdaa1prWms5Z1prOWdaa1prWms5Z1prOWc5ZzlnWms5ZzlnOWc5ZzlnOWc5Z1prWms5Zzlne297b3tvOWdaazlnOWc5ZzlnOWc5ZzlnOWc5Z1prWmtaazlnOWc5Z3tvOWdaazlnOWc5ZzlnOWdaaxhjAAB7b1pre297b3tvWmt7b3tve29aa3tve297b1pre29aa3tve297b1prWmtaa3tvWmt7b1pre29aa3tvWmt7b1prWmtaa3tvWmt7b1pre29aa3tvWmtaa1prWmtaa1prWmt7b1pre29aa3tvWmt7b3tve29aa3tvWmtaa1pre29aa1prWmtaa1prWmtaa1prWmtaa1pre29aa3tvWmt7b1pre297b3tvWmtaazlnWmtaa1prWmt7b1pre29aa3tvWmtaazlnWmtaa1prWmtaa1prWmtaa3tvWmt7b1pre29aa1prWmt7b1pre29aa3tvWmtaa1pre29aa1prWmtaa1prWmtaa1prWmtaa1prWmtaa1prOWdaa1prWmtaa1prWmtaa1prWmtaa1prWmtaa1prWms5Z1prOWdaa1prWms5Z1prWmtaa1prWmtaa1prWmtaa1prWmtaa1prWmtaa1prWmtaa1prWmtaa1prWmtaa1prWmtaa1prWmtaa1prWmtaa1prWmtaa1prOWdaa1prWms5Z1prWmtaazlnWmtaa1prOWdaazlnOWc5Z1prWmtaazlnWmt7b3tvWmtaazlnWms5ZzlnOWc5ZzlnWms5Z1prWmt7b1prWms5Z1prWmtaazlnWms5Z1prOWdaazlnWmsAAFpre297b3tvWmt7b1pre29aa3tvWmt7b1pre29aa1prWmt7b1prWmtaa1prWmtaa1pre29aa1prWmtaa1prWmtaa1prWmtaa1prWmtaa1prWmtaa1prWmtaa1prWmtaa1pre29aa1prWmt7b1pre29aa3tvWmtaa1prWmtaa1prWmtaa1prWmtaa1prWmtaa1pre29aa1prWmtaa1prWmtaa3tvWmtaazlnWms5Z1prOWdaa1prWmtaa1prOWdaa1prWms5Z1prWmtaa1prWmtaa1prWmtaa1prWmtaa1prWmtaa1prWmtaa3tvWmt7b1prWmtaa1prWmtaazlnWmtaa1prWmtaa1prWmtaa1prOWdaa1prWmtaa1prWmtaa1prWms5Z1prOWdaazlnWms5Z1prOWdaazlnWms5Z1prWmtaazlnWmtaa1prOWdaazlnWms5Z1prOWdaazlnWms5Z1prOWdaazlnWms5Z1prWmtaa1prWms5Z1prOWdaazlnWms5Z1prOWdaazlnWmtaa1prOWdaazlnOWc5Z1prOWdaazlnOWc5Z1prOWdaazlnWmtaa3tvWmtaazlnWms5ZzlnOWc5ZzlnOWc5ZzlnOWdaazlnWms5ZzlnOWdaazlnWms5ZzlnOWc5ZzlnOWc5ZwAAe29aa3tve297b1pre29aa3tvWmt7b1pre29aa3tvWmtaa1prWmtaa3tvWmt7b1pre29aa3tvWmt7b1pre29aa1prWmtaa1prWmtaa1prWmt7b1prWmtaa1prWmtaa1pre29aa1prWmt7b3tve29aa3tvWmt7b1pre29aa3tvWmt7b1pre29aa3tvWmt7b1pre29aa1prWmtaa1prWmtaa3tvWmt7b1prWmtaa1prWmtaa1prWmtaa3tvWmtaazlne29aa1prWmt7b1pre29aa1prWmtaa1prWmtaa1prWmt7b1pre29aa3tvWmt7b1prWmtaa3tvWmtaa1prWmtaa3tvWmtaa1prWmtaa1prWmtaa1prWmtaa3tvWmtaa1prWmtaa1prOWdaazlnWmtaa1prWmtaazlnWmtaa1prOWdaa1prWmtaa1prWmtaa1prWmtaa1prWmtaa1prWmtaa1prWmtaa1prWmtaa1prWmtaa1prWmtaa1prWmtaazlnWms5Z1prOWdaa1prWmtaa1prWmtaa1prWms5Z1prOWdaa1prWms5Z1prWmtaa1prOWc5Z1prWmtaazlnWms5Z1prOWc5ZzlnWms5Z1prOWdaa1prWms5Z1prOWdaa1prWms5Z1prOWdaazlnWms5Z1prAABaa3tve297b1prWmtaa3tvWmtaa1pre29aa3tvWmt7bzlnWmtaa1prWmtaa1pre29aa1prWmtaa1prWmtaa3tvWmtaa1prWms5Z1prWmtaa1prWmtaa1prOWdaa1prWmtaa1prWmt7b1pre29aa3tvWmtaa1prWmtaa1prWmt7b1prWmtaa1prWmtaa1pre29aa1prWmtaazlnWms5Z1prWmtaa1pre29aa1prWmtaa1prWmtaa1prWmtaazlnWmtaa1prWmtaa1prWmtaa1prOWdaazlnWmtaa1prWmtaa1prWmtaa1prWmtaa1prWms5Z1prWmtaazlnWms5Z1prOWdaazlnWms5Z1prWmtaazlnWms5Z1prOWdaazlnWms5Z1prOWc5ZzlnWmtaa1prWmtaazlnWms5Z1prOWdaazlnWmtaa1prOWdaa1prWms5Z1prOWdaazlnWms5Z1prOWdaazlnWms5Z1prOWdaazlnWms5Z1prOWdaa1prWms5Z1prOWdaazlnWmtaa1prOWdaa1prWms5ZzlnOWdaazlnWms5Z1prOWdaazlnWmsYY1prWmtaazlnOWc5Z1prOWc5ZzlnOWc5ZzlnOWdaazlnWms5Z1prOWc5ZzlnWms5Z1prOWc5ZzlnOWc5Z1prOWcAAHtve2+cc3tve29aa3tve297b1pre297b3tvWmt7b1prWmtaa3tvWmt7b1pre29aa3tvWmt7b1pre29aa3tvWmtaa1pre29aa1prWmtaa1prWmtaa1prWmtaa1pre29aa3tvWmt7b1pre297b3tvWmt7b1pre29aa3tvWmt7b3tve29aa3tvWmt7b1pre29aa1prWmtaa1prWmtaa1prWmtaa1pre29aa1prWmtaa1pre29aa3tvWmtaa1prWmtaa3tvWmt7b1prWmtaa1prWmtaazlnWmtaa1prWmtaa1prWmtaa1prWmtaa1prWmtaa1prWmtaa1prWms5Z1prWmtaazlnWms5Z1prOWdaa1prWmtaa1prWmtaazlnWms5Z1prWmtaa1prWmtaa3tvWmtaa1prWmtaa1prWmtaazlnWmtaa1prWmtaa1prWmtaa1prWmtaa1prWmtaa1prWmtaa1prWmtaa1prWmtaa1prWms5Z1prOWdaa1prWmtaa1prOWdaa1prWmtaa1prWmtaa1pre29aa1prOWdaazlnWmtaa1prWmtaazlnWms5ZzlnWmtaazlnOWc5Z1prOWdaazlnWms5ZzlnOWdaazlnWms5Z1prOWc5ZzlnOWc5Z1prOWdaazlnWms5Z1prOWdaawAAe297b3tve297b3tvWmt7b1pre29aa3tvWmt7b1prWmtaa1prWmt7b1pre29aa1prWmtaa1prWmtaa3tvWmt7b1prWmtaa1prWmtaa1prWmtaa1prOWdaa1prWmtaa1prWmtaa1pre297b3tvWmtaa1pre29aa1prWmt7b1pre29aa1prWmtaa1prWmtaa1prWmtaa1prWmtaa1prWmtaa1prWmtaa3tvWmtaazlnWmt7b3tvWmtaa1prWmtaa1prWmtaa1prWmtaa1prOWdaazlnWms5Z1prWmtaa1prWmtaa1prWmtaa1prWmtaa1prOWdaa1prWmtaa1prOWdaazlnWms5Z1prOWdaa1prWmtaa1prWmtaa1prWms5Z1prOWdaazlnWmtaa1prWmtaa1prWms5Z1prWmtaazlnWms5Z1prOWdaazlnWms5Z1prOWdaazlnWms5Z1prOWdaazlnWms5Z1prOWdaazlnWms5Z1prOWdaazlnWms5Z1prOWdaazlnWms5Z1prOWdaazlne29aa1prOWdaazlnOWc5Z1prOWdaazlnWms5ZzlnOWdaazlnOWc5Z1prOWc5ZzlnWms5ZzlnOWc5ZzlnWms5Z1prOWc5ZzlnOWcYYzlnOWdaazlnOWc5ZzlnOWc5ZzlnAAB7b3tve297b3tvWmt7b1pre29aa3tvWmt7b1pre29aa3tvWmt7b3tve297b3tvWmt7b1pre29aa3tvWmt7b1pre29aa3tvWmt7b1prWmtaa1prWmtaa1prWmtaa3tvWmt7b1pre29aa3tve297b1pre29aa3tvWmt7b1pre297b3tvWmtaa1prWmtaa1prWmtaa1pre297b3tve297b1prWmtaa3tvWmt7b1prWmtaa5xze297b1prWmtaa3tvWmt7b1prWmtaa1prWmtaa1prWmtaa1prWmt7b1pre29aa3tvWmt7b1pre29aa1prWmtaa1prWmtaa1prWmtaa1prWmtaa1prWmtaa1pre29aa3tvWmtaa1pre29aa1prOWdaa1prWmtaa3tvWmt7b1pre29aa1prWmtaa1prWms5Z1prWmtaa1prWmtaa1prWmtaa1prWmtaa1prWmtaa1prWmtaa1prWmtaa1prWmtaa1prWmtaazlnWms5Z1prOWdaa1prWmtaa1prOWdaazlnWmtaa3tvOWdaazlnWms5Z1prOWdaazlnWms5ZzlnOWdaa1prWms5Z1prWmtaazlnWms5Z1prOWdaazlnWms5Z1prOWc5ZzlnOWc5ZzlnOWdaazlnWms5Z1prOWdaazlnOWcAAFprWmtaa3tvWmt7b1pre29aa3tvWmt7b1prWmtaa1prWmtaa1pre29aa1prWmtaa1prWmtaa1prWmtaa1pre29aa1prWmtaa1prWmtaa1prWmtaa1prWmtaa1prWmtaa1prWmtaa3tvWmtaa1prWmtaa1prWmtaa1prWmtaa1prWmtaa1pre29aa1prWmt7b1prWmtaa1prWmtaa1pre29aa1prWmtaa1prWmtaa1prWmtaa1prWmtaa1prWmtaa1prWmtaa1prOWdaazlnWmt7b3tvWmtaazlnWmtaa1prOWdaa1prWmtaa1prWmtaa1prWmtaa1prWmtaa1prWms5Z1prWmtaa1prWms5Z1prOWdaazlnWms5Z1prWmtaazlnWmtaa1prWmtaa1prWms5Z1prOWdaazlnWmtaa1prOWdaazlnWms5Z1prWmtaazlnWms5Z1prWmtaa1prWms5Z1prOWdaazlnWms5Z1prWmtaa1prWms5ZzlnOWc5ZzlnOWc5Z1prOWdaazlnWmtaa1prOWdaazlnWms5Z1prWmtaazlnOWc5Z1prOWdaazlnOWc5ZzlnOWc5ZzlnOWc5ZzlnOWc5ZzlnWms5Z1prOWc5ZzlnOWc5ZzlnOWc5ZzlnOWc5ZzlnOWc5ZzlnOWcYYwAAe29aa3tve297b1pre29aa3tvWmt7b3tve29aa3tvWmt7b1pre29aa3tvWmt7b1prWmtaa3tvWmt7b1pre29aa1prWmt7b1prWmtaa3tvWmtaa1pre29aa1prWmt7b1prWmtaa3tvWmtaa1prWmtaa1prWmtaa1prWmtaa3tvWmt7b1pre29aa3tvWmt7b1pre29aa3tvWmt7b1pre29aa3tvWmt7b1pre29aa3tvWmtaa1pre29aa1prWmt7b1prWmtaa1prWmtaa1prWmtaa3tvWmtaa1prWmtaa3tvWmtaa1prWmtaa1prWmt7b1prWmtaa3tvWmtaa1pre29aa1prWmtaa1prWmtaa1prWmtaazlnWms5Z1prWmtaa1prWms5Z1prWmt7b1pre29aa1prWmtaa1prWmtaa1prWmtaazlnWmtaa1prWmtaa1prWms5Z1prWmtaa1prWmtaa1prOWdaa1prWmtaa1prWmtaa1prWmtaa1prOWdaazlnOWc5Z1prOWdaa1prWmtaa3tvWmtaazlnWms5Z1prWmtaazlnWms5Z1prWmtaazlnWms5Z1prOWdaazlnWms5Z1prOWdaazlnWmtaa1prOWdaazlnWms5Z1prOWdaazlnWms5Z1prOWdaazlnWms5ZzlnAABaa3tvWmt7b1pre29aa1prWmt7b1pre29aa3tvWmt7b1pre29aa3tvWmtaa1prWmtaa1prWmtaa1pre29aa1prWmtaa1prWmtaa1prWmtaa1prWmtaa1prWmtaa1prWmtaa1prWmtaa1prWms5Z1prWmtaa1prWmtaa1prWmtaa1pre29aa1prWmt7b1prWmtaa3tvWmt7b1pre29aa3tvWmt7b1pre29aa3tvWmtaa1prWmtaa1prWmtaa1prWms5Z1prOWdaazlnWms5Z1prOWdaa1prWmtaa1prWmtaa1prWms5Z1prWmtaa1prWmtaa1prWmtaa1prWmtaa1prOWdaa1prWmtaa1prOWdaazlnWms5Z1prOWdaazlnWms5Z1prOWdaa1prWmtaa1prWmtaa1prWmtaa1prOWdaazlnWms5Z1prOWdaazlnWms5Z1prOWdaa1prWmtaa1prOWdaazlnWmtaa1prOWdaazlnWms5Z1prOWdaazlnOWc5ZzlnOWdaazlnWmtaa1prWmt7b1prWms5Z1prOWdaazlnWms5Z1prWmtaazlnWms5Z1prOWc5ZzlnWms5ZzlnOWdaazlnOWc5Z1prOWdaa1prWms5ZzlnOWdaazlnOWc5ZzlnOWc5ZzlnOWc5ZzlnOWcAAHtvWmt7b1pre29aa3tvWmt7b1pre29aa3tve297b1pre29aa3tvWmt7b1prWmtaa3tvWmt7b1pre29aa3tvWmt7b1prWmtaa3tvWmtaa1prWmtaa1prWmt7b1pre29aa1prWmtaa1prWmtaa1prOWdaa1prWmtaa1prWmtaa1pre29aa3tvWmt7b1pre29aa3tve297b3tve29aa3tvWmt7b1pre29aa3tvWmt7b1pre29aa1prWmt7b1prWmtaa1prOWdaazlnWmtaa1prWmtaa1pre29aa3tvWmtaa1prWmtaa1prWmtaa1prWmtaa1prWmtaa1prWmtaa1prWmtaa1prWmtaa3tvWmtaa1prWmtaa1prOWdaa1prWmtaa1prWmtaa1pre29aa1prWmt7b1prWmtaa1prWmtaa1prWmtaa1prWmtaazlnWms5Z1prWmtaa1pre29aa1prOWdaazlnWmtaa1prWmtaa1prWmtaa1prWmtaa1prWms5Z1prOWdaazlnWmtaa1prWmt7b1prWms5Z1prOWdaazlnWms5Z1prWmt7b1prWmtaa1prOWc5ZzlnWms5Z1prOWdaazlnWms5Z1prWmtaazlne29aa1prOWdaazlnWms5Z1prOWdaazlnWms5Z1prOWdaawAAWmtaa1pre29aa3tvWmt7b1prWmtaa3tvWmt7b1pre29aa3tvWmtaa1prWmtaa1prWmtaa1pre29aa1prWmtaa1prWmtaa1prWmtaa1prWmtaa1prWmtaa1prWmtaa1prWmtaa1prWmtaa1prWmtaazlnWmtaa1prWmtaa1prWmtaa1prWmt7b1prWmtaa3tvWmt7b1pre29aa3tvWmt7b1prWmtaa3tvWmtaa1prWmtaa1prWmtaa1prWmtaa1prOWdaazlnWms5Z1prWmtaa1pre297b3tvWmtaa1prWmtaa1prWmtaa1prWmtaa1prWmtaa1prWmtaa1prWmtaazlnWmtaa1prWmtaa1prWmtaa1prWmtaazlnWmtaa1prOWdaa1prWmtaa1prWmtaazlnWmtaa1prWmtaa1prWmtaa1prWmtaazlnWms5ZzlnOWdaazlnWmtaa1prOWdaazlnWms5Z1prOWdaazlnWms5Z1prOWdaazlnWms5Z1prOWc5ZzlnWms5Z1prWmtaa1prWmtaa1prOWdaazlnWms5Z1prWmtaa1prWmtaa1prOWc5ZzlnOWc5Z1prOWdaazlnWms5Z1prOWc5ZzlnWmtaa1prOWdaazlnOWc5ZzlnOWc5ZzlnOWc5ZzlnOWc5ZzlnAAB7b1pre297b3tvWmt7b1pre29aa3tve297b1pre29aa3tvWmt7b1prWmtaa3tvWmt7b1pre29aa3tvWmt7b1prWmtaa3tvWmtaa1pre29aa1prWmt7b1prWmtaa3tvWmt7b1pre29aa3tvWmtaa1prWmtaa1prWmtaa1prWmtaa3tvWmt7b1pre29aa3tvWmt7b1pre29aa3tvWmt7b1prWmtaa3tvWmt7b1pre29aa1prWmt7b1prWmtaa3tvWmtaa1prWmtaa1prWmtaa1prWmt7b5xze297b1prWmtaa1prWmt7b1prWmtaa1prWmtaa1prWmtaa1prWmtaa1prWmtaa3tvWmt7b1prWmtaa1prWmtaa1prWmtaa1prWmtaa1prWmtaa1prWmtaa1prWms5Z1prWmtaa1pre29aa1prWmtaa1prWms5Z1prOWdaa1prWmtaa3tvWmtaazlnWms5Z1prWmtaa1prWmtaa1prOWdaa1prWmtaa1prWmtaazlnWmtaa1prWmtaa1pre29aa1prWmtaazlnWmtaa1prWmtaa1prWms5Z1prWmtaazlnWms5Z1prWmtaazlnWms5Z1prWmtaazlnWmtaa1prWmtaazlnWms5Z1prOWdaazlnWms5Z1prOWdaazlnWmsAAFpre29aa3tvWmt7b1prWmtaa3tvWmt7b1pre29aa1prWmt7b1prWmtaa1prWmtaa1pre29aa1prWmtaa1prWmtaa1prWmtaa1prWmtaa1prWmtaa1prWmtaa1prWmtaa1prWmtaa1prWmtaazlnWms5Z1prOWdaa1prWmtaa1prWmt7b1prWmtaa3tvWmtaa1pre29aa1prWmt7b1pre29aa1prWmtaa1pre29aa1prWmtaa1prWmtaa1prWmtaa1prWmtaa1prWmtaa1prWms5Z1prWmt7b1prWms5Z1prWmtaa1prWmtaa1prOWdaa1prWms5Z1prWmtaazlnWmtaa1prWmtaa1prWmtaa1prWmtaa1prWmtaa1prOWdaa1prWmtaa1prWmtaazlnWms5Z1prOWdaazlnWms5Z1prWmtaazlnWms5Z1prOWdaazlnWms5Z1prWmtaazlnOWc5Z1prOWdaa1prWms5Z1prOWdaazlnWms5Z1prOWdaazlnWms5Z1prWmtaazlnWmtaa1prOWdaazlnWms5Z1prOWdaa1prWms5ZzlnOWdaazlnWms5ZzlnOWdaazlnWms5Z1prOWdaazlnOWc5Z1prWmtaazlnOWc5Z1prOWc5ZzlnOWc5ZzlnOWc5ZzlnOWc5ZwAAe29aa3tvWmt7b1pre29aa3tve297b1pre29aa3tvWmt7b1tre29aa1trWmt7b1pre29aa3tvWmt7b1prWmtaa3tvWmtaa1pre29aa1prWmtaa1prWmtaa3tvWmt7b1prWmtaa1prWmtba1prWms5Z1prWmtaa1prW2taa1trW2t8b1tre29aa3tvWmt6b1prWmtaa1trWmt7b1tre29aa3tvWmt7b1pre29aa3tvWmt7b1prWmtaa3tvWmtaa1pre29aa3tvWmt7b1prWmtaa1lrWWt6b1prWms5Z1prWmt7b1prWmtaa1prWmtaa1prWmtaa1prWmtaa1prWmtaa1prWmt7b1pre29aa1prWmt7b1prWmtaa1prWmtaa1prWmtaa1prWmt7b1prWmtaa1prWmtaazlnWms5Z1prOWdaa1prWmtaa1prWmtaazlnWmtaa1prWmt7b1prWms5Z1prOWdaa1prWmtaa1prWmtaa1prWmtaa1prWmtaazlnWmtaa1prWmtaa1prWmtaa1prWmtaa1prWmtaa1prWmtaa1prWms5ZzlnOWc5ZzlnWms5ZzlnOWdaa1prWms5Z1prWmtaa1prWms5Z1prOWdaazlnOWc5Z1prOWdaazlnWms5Z1prOWdaazlnWms5Z1prAABZa1prWmt6b1prem9aa3tvWmt7b1prem9aa1prWmtaa1trW29ba3tvWmtba1prW2taa3tvWmtaa3pve285Z1prOWdaa1prWmtaa3tvWms5Z1lrWmtaa1prWWtaa1lrWmtaa1prWmtbazpnWms5Z1prOWd6b3tvWms7aztnXW/ZXjRK2V6dc1trWmtZZ3pvem9aa3tvW2t7b1trW29aa3tvWmt7b1prWmtaa1prWmt7b1prWmtaa1prWmtaa1prWmtZa1prOWdaazlnWmtZa3pvWWdZa1lrWmtZa1prWmtaa1prWmtaa1prWmtaa1prWms5Z1prWmtaazlnWmtaa1prWmtaa1prWmtaa1prWmtaa1prWmtaa1prWmtaa1prWmtaa1prWmtaa1prWmtaa1prWmtaa1prWmtaa1prWmtaazlnWms5Z1prOWdaazlnWms5Z1prOWdaa1prWmtaa1prOWdaa1prWmtaa1prWmtaazlnWms5Z1prOWdaazlnWms5ZzlnOWdaazlnWms5Z1prOWdaa1prWmtaa1prOWdaazlnWms5Z1prOWdaazlnWms5Z1prOWdaazlnWms5ZzlnOWc5ZzlnWms5Z1prOWdaazlnOWc5ZzlnOWc5ZzlnWms5ZzlnOWdaazlnOWc5Z1prOWcAAFprWmt6b1pre29aa3tve297b3pve29aa3pvWmt6b1pre29ba3tvW2tbb1tre29aazlnWmt7b1pre29aa1prem97b1pre29aa1prWmt7b1prem9aa3pvWmtaa1lrWmtZa3prWmtba1prW2s6Z1trOWdaazlnWms5Z3xvG2faXm8xLSWxNVxrfG+cc3pvem9Za3tvW2t8b1tre29ba3tvWmt7b1pre29aa3tvWmt7b1prWmtaa3tvWmt7b1pre29aa1prWWtaa1lrWmtZa3pvWmtaa1lrWmtZa1prWmt6b1prWmtaa3tvWmt7b1prWmtaa1prWmtaa1prWmtaa1prWmtaa1pre29aa1prWmt7b1prWmtaa3tvWmtaa1prWmtaa1prWmtaa1prWmtaa1prWmtaa1prWmtaa1prWmtaa1prWms5Z1prOWdaazlnWmtaa1prWmtaa1prWmtaa1prOWdaa1prWmtaa1prWmt7b1prWms5Z1prWmtaa1prWmtaa1prOWdaa1prWmtaa1prOWdaazlnWmtaa1prWmtaazlnWms5Z1prOWdaazlnWmtaa1prOWdaa1prWms5Z1prOWc5ZzlnWmtaa1prWmtaa1prOWc5Z1prOWc5ZzlnWmtaa1prOWdaazlnWms5Z1prOWdaawAAWmtaa1prem9aa3tvWmt7b1pre29aa3pvWmt6b1prWmtaa1tvWmtba1prW2taa1trOmd7b1trW2tba1trOWd7b1prWmtaa3tvWmtaa1pre29aa3pvWmtaa1lrWms5Z1lrWWtaa1prWms6Z1trOmdaa1lrWWs5ZzlnXG87a3ZSqRTrIC0pGmNca1pre29Za3pvWmt7b1trW2tba1tvWmtaa1pre29aa3tvWmt7b1prWmtaa1prWmtaa1prWmtaa1prWWtaazlnWmtZa1prWWtaa1lrWmtZZ1prWWtaa1lrWmtaa1prWmtaa1prWms5Z1prWmtaazlnWmtaa1prOWdaa1prWmtaa1prWmtaa1prWmtaa1prWmtaa1prWms5Z1prWmtaa1prWmtaa1prWmtaa1prWms5Z1prOWdaazlnWms5Z1prOWdaazlnWms5Z1prWmtaazlnWmtaa1prOWdaazlnWms5Z1prWmtaa1prWms5Z1prOWdaazlnWms5Z1prWmtaazlnWmtaa1prOWdaazlnWms5Z1prWmtaazlnWms5Z1prOWdaa1prWms5Z1prOWdaazlnWms5Z1prOWc5ZzlnWms5Z1prOWdaazlnWms5Z1prOWc5ZzlnOWc5Z1prOWdaazlnOWc5Z1prOWc5ZzlnAAB7b1pre29aa3tvem97b3pve296b3tvWmt7b1prem9aa3tvW2t7b1tre29ba1tvW2ucc1trGWP4XltrW29ba1prW2s6Z1tre2+cc1pre297b3tvWmt6b1prWmtZa1prWWt6a1lrWmtaa1trWmtaazlnWmtZa3tvOWdbaztnuFrKGG8xLSlca1trOWd6b3pvm3N7b1tre29ba3tvW2t7b1pre29aa3tvWmt7b1prWmtaa1prWmt7b1pre29aa1prWmtaa1lrWmtZa1prWWtaa1lrWmtZa1prWWtaa1prWmtaa3tvWmt7b1pre29aa1prOWdaa1prWmtaa1prWmtaa1prWmtaa1prWmtaa1prWmtaa1prWmtaa1prWmtaa1prWmtaa1prWmtaa1prWmtaa1prWmtaa1prOWdaa1prWms5Z1prWmtaazlnWmtaa1prWmtaa1prWmtaa3tvWmtaazlnWmtaa1prWmtaa1prWmtaa1prWmtaa1prWmtaa1prOWd7b1prWmtaa3tvWmtaazlnWmtaa1prWmtaa1prWms5Z1prOWdaa1pre29aa1prOWdaazlnWms5Z1prOWdaazlnWms5Z1prOWdaazlnWms5Z1prOWdaazlnWms5Z1prOWdaazlnWms5Z1prOWdaazlnWmsAAFprem9aa3tvWmt7b1pre29aa3pvWmt6b1prWmtaa3pvWmtba1prW2taa1trW2tbb3xv+F4RQhFGt1pba1xrXG9ba1trOmt7b1tve29aa1prWmt7b1prWmtZa1prWWtZa1lrWWtZa1prOmdaazpnWms4ZzhnWms5ZxljO2fYWuocLSUMJTxrnXNaa3tvWWd6b1prW2tba1trWmtba1prWmtaa1prWmt7b1prWmtaa1prWmtaa1prWmtaa1prWmtaazlnWWs5Z1prOWdaa1lrWms5Z1prWWtaa1lrWmtZa1prWmtaa1pre29aa1prOWdaazlnWmtaa1prOWdaa1prWmtaa1prWmtaa1prWmtaa1prWmtaa1prWmtaa1prWmtaa1prWmtaa1prWmtaa1prWms5Z1prOWdaazlnWms5Z1prOWdaazlnWms5Z1prWmtaazlnWms5Z1prWmtaa1prWms5Z1prWmtaazlnWms5Z1prOWdaazlnWms5Z1prOWdaazlnWms5Z1prWmtaazlnWms5Z1prOWdaazlnWms5Z1prOWc5ZzlnWmtaa1prOWdaazlnOWc5Z1prOWc5ZzlnOWc5Z1prOWdaazlnWms5Z1prOWdaazlnWms5ZzlnOWdaazlnOWc5Z1prOWc5ZzlnWms5ZwAAe29aa3tvem97b3pve296b3tvWmt7b1pre29aa3tvWmt7b1pre29aa3tvW2t7b1trW2uVUq85jjF0ThpjXG98b31vfG98b1prW2tba3xvWmt7b1pre29aa3pvWWt6b1lrWWtZa1prWmtba1prW2taa3pvOGdaazlnW2tba9hehxQMJU0pXGt9c3tvem9aa1prem9aa3tvW2tbb1tre29aa3tvWmt7b1pre29aa1prWmtaa1pre29aa3tvWmt7b1prWmtZZ1prWmtaa1lrWmtZa1prWWtaa1prWmtaa3pvWmt7b1pre29aa3tvWmtaa1prWmtaa1prWmtaa1prWmtaa1prWmtaa1prWmtaa1prWmtaa1prWmtaa1prWmt7b1prWmtaa1prWmtaa1prWmtaa1prOWdaa1prWmtaa1prWmtaa1prWmtaa1prWmtaa1prWmtaa1prWmtaa1prWms5Z1prWmtaa1prWmtaa1prOWdaazlnWmtaa1prWmtaa1prWms5Z1prWmtaa1prWmtaa1prOWdaa1prWms5Z1prWmtaazlnWmtaa1prWmtaa1prWms5Z1prOWdaazlnWms5Z1prOWdaa1prWms5Z1prOWdaa1prWms5ZzlnOWdaazlnWms5Z1prOWdaazlnWms5Z1prAABaa3tvWmt7b1pre29aa3tvWmt6b1prem9aa3pvWmt6b1prWmtaa1prWmtbb1trW286Z/heM0oSQlRKllKWUrha+F5ba3xvW2s6Z1tvW29ba1prWmtaa1prWWt6b1lremtYa1lrWWdaazprW2s6Z1pre284Z1lrem9aa1trt1qHFCwl0jk7Z1xrWmtZa1lrem9aa1trWmtba1prW2taa1prWmt7b1prWmtaa1prWmtaa1prWmtaa1prWmtaa1prWms5Z1lrOWdaa1prWms5Z1prWmtaazlnWmtZa1prWWtaa1prWmtaa1prWmtaa1prWmtaa1prOWdaa1prWms5Z1prWmtaazlnWmtaa1prOWdaa1prWms5Z1prWmtaa1prWmtaa1prWmtaa1prWmtaa1prOWdaazlnWmtaa1prWmtaazlnWms5Z1prOWdaa1prWmtaa1prOWdaa1prWms5Z1prOWdaazlnWms5Z1prOWc5ZzlnWms5Z1prOWdaazlnWms5Z1prOWdaa1pre29aa1prOWdaazlnWms5Z1prOWdaazlnWms5Z1prWmtaa1prWms5Z1prOWc5ZzlnOWc5ZzlnOWc5ZzlnWms5Z1prOWdaazlnWms5Z1prOWc5ZzlnWms5Z1prOWc5ZzlnWms5ZzlnOWcAAHtve297b3pve296b3tvem97b1prem9aa3tvWmt7b1prem9aa3tvWmt7b1tre29ba1trW2s7Z7dadVLyQbA5sDlUSvlinXNcb1trfG98bzprW2taa1trWmt7b1pre296a1lrWWtaa1prW2taa1trWmt6bxdjem96b1prGWPYXsgY6yDyPTxrXGucc1lrem9ZZ3pvWmtba1trW29ba1trWmt7b1prWmtaa1prWmtaa1prWmtaa3tvWmt7b1prWmtaa1lrWWdaa1lrWmtaa1prOmdba1prWmtaa1prWmt6a1lrWmtaa1prWmt7b1prWmtaa1prWmtaa1prWmtaa1prWmtaa1prWmtaa1prWmtaa1prWmtaa1prWmtaa1prWmtaa1prWmtaa1prWmtaa1prWmtaa1prWmtaa3tvWmt7b1prWmtaa1prOWdaa1prWmtaa1prWmtaa1pre29aa1prOWdaa1prWmtaa1prWmtaazlnWmtaa1prWmtaa1prWms5Z1prWmtaa1pre297b3tvWmtaa1prWms5Z1prOWdaazlnWmtaa1prOWdaa1prWmtaa1prOWdaazlnWms5ZzlnOWc5ZzlnWms5Z1prWmtaa1prWmtaa1prOWdaazlnWms5Z1prOWdaazlnWms5Z1prOWc5ZwAAWmt6b1pre29aa3pvWmt7b1prem9aa3tvWmtaa1prWmtZZ1prWmt6b1prW2tba3xvOmtbaztnO2fYWlROjzUrJW0t0DlUThljO2tbazprW2s6a1trW297b1prWmtaa1prWWt5a1lrWmtaa1trOmc6azlnWms4Z3pvGGM5Z9dayRwMJbE5XGt8b1prem96a3prWmt7b1trW29ba3tvW2taa1prWmtaa3tvWmtaa1prWmtaa1prWmtaazlnWmtaa3pvOWdZZzlnWms6Z1trWmtbazlnW2s6Z1prWmtaa1lnm3NZa1prWmtaa1prWmtaa1prOWdaa1prWms5Z1prWmtaazlnWmtaa1prWmtaazlnWms5Z1prWmtaa1prWmtaa1prOWdaazlnWms5Z1prOWdaazlnOWc5Z1prWmtaazlnWms5Z1prOWdaa1prWmtaa1prWmtaa1prWms5Z1prWmtaazlnOWc5Z1prOWdaazlnWms5Z1prWmt7b1prWms5ZzlnOWdaa1prWmtaa1prWmtaazlnWms5Z1prOWdaazlnWms5Z1prOWdaazlnWms5Z1prGGM5ZzlnOWc5ZzlnOWdaazlnOWc5Z1prOWdaazlnWms5Z1prOWdaazlnOWc5ZzlnOWdaazlnOWc5ZzlnOWdaaxhjAAB7b1pre296b3tvWmt7b3pve29aa3tvem97b1prem9aa1prWmt7b1pre29aa3tvW298b1xrfG9caztr2F51UhJCKyVMLa41zzl0ThljfG86Zzpne298bzpnW2udd51zOWd6b3prWmtaa3xvO2c6Z3xvWmtaa1lrem85Zzpn+F7pHCwlkDV9b3xve29aa3pvWmt7b1pre29ba3tvW297b1prWmtaa3tvWmt7b1pre29aa3tvWmt7b1prWmtaa3tvWmtaa1lrWmtaa1prWmtba1trW2tba1trWmt7b1prWmtZa1prWmtaa1prWmtaa3tvWmtaa1prWmtaa1prWmtaa1prWmtaa1prWmtaa1prWmtaa1prWmtaa1pre29aa1prWmtaa1prWmtaa1prOWdaa1prWms5Z1prWmtaa1prWmtaa1prWmtaa1prWmtaa1prWmtaa1prWmtaa1prWmt7b1prWmtaa1prWmtaa1prWmtaa1prOWdaa1pre29aa1prOWdaa1prWmtaa1prWmtaa1prWmtaa1prWmtaa1prWmtaa1prWmtaa1prWmtaa1prWmtaazlnWmtaa1prOWdaazlnWms5Z1prWmtaazlnWms5Z1prOWdaazlnWms5Z1prOWdaazlnWms5Z1prOWdaazlnOWcAAFprem9aa3pvWmt6b1prem9aa3pvWmt6b1prem9aa1prWWt6a1premtaa1prWmt7b1trW2s6a1trW2tba/li+F5TSq41KiVMLY0x0D1UThpjfW86ZxljfG98bzpnOmd8bzhnem85Z1trfG/5XpVSGmM6a3xvOWd7bzlnWmv4Xgoh6yCQNVxrfG9aa3pvWWt6a1prW2s6a1trW2tbb1prWmtaa1prWmtaa1pre29aa1prWmt7b1prWmtaa1prWmtaa1lrWmtZa1prOmdaazpnW2tba1trOmc6a1prem9Za1lrOWdaazlnWmtaa1prWmtaazlnWmtaa1prWmtaazlnWms5Z1prWmtaa1prWms5Z1prOWdaazlnWmtaa1prWmtaa1prWms5Z1prOWdaazlnWms5Z1prOWdaazlnWms5Z1prWmtaa1prWmtaa1prOWdaazlnWms5Z1prWmtaa1prWmtaa1prWmtaa1prWmtaa1prOWdaazlnWmtaa1prOWdaa1prWmtaa1prWmtaa1prWmtaa1prOWdaa1prWms5Z1prOWdaazlnWms5Z1prOWdaa1prWmtaa1prOWc5ZzlnOWc5Z1prOWdaazlnWms5ZzlnOWdaazlnOWc5ZzlnOWc5ZzlnWms5ZzlnOWdaazlnWms5ZwAAe29aa3tvWmt7b1pre29aa3tvWmt7b1pre29aa3pvWmt6b1prem9aa3pvWmt7b1tre29aazprOmdba1prWms6ZxljGWO2Vo01KyltMdA5rzV0ThpjfW86ZztnfW+dczpne2+cc3tvW2s7axJCTCnQOVtrfG97b3tvW2taa/heKyXrIG8xXGt8b3tvWWt6a1pre29aa1trW2t7b1tre29aa1prWmtaa1pre297b3tvWmt7b1pre29aa1prWmtaa1lrWmtZa3prWmtbazpnXGtba3xvW2tba1prWmtaa3tvWWtaa1prWmtaa1prWmtaa1prWmtaa1prWmt7b1prWms5Z1prWmtaa1prWmtaa1prWmtaa1prWmtaa1prWmtaa1prWmtaa1prWmtaa1prWms5Z1prWmtaa1prWmtaa1prOWdaa1prWmtaa1prWmtaazlnWmtaa1prWmt7b1prWmtaa3tvWmt7b1pre29aa1prWmtaa1prWmtaa1prWmtaa1prWmtaa1prWmt7b1prWmtaa3tvWmtaa1prWmtaa1prWmtaa1prWmtaa1prWmtaa1prWmtaa1prWmtaazlnWms5Z3tvWmtaa1prWms5Z1prOWdaazlnWms5Z1prOWdaazlnWms5Z1prOWdaazlnWms5Z1prAABaa3pvWmt6b1prem9aa3pvWmtaa1pre29aa3pvWmt6b1lremtaa3pvWWtaa1pre29aa1prOWdaa1prWmtaa1prOmcYY/hiOWeVUq41KymNMW0tjjUzRjtnfW87Zztnvnc5Z3tvOmc7Z/lesDXJGG0t+V6cc1pre29aa1pr+F5tMcocTi0aY3xvWmtaa1lrem9aa1prOmdbb1trW2taa3tvOWdaa1pre29aa3tvWmt7b1pre29aa1prWmtaa1prWms4Z1lrWWtaazpnW2s7a1xr+F75YltrnHNaa1lrWmtZa1prWmtaa1prOWdaazlnWms5Z1prWmtaa1prWms5Z1prWmtaa1prWmtaa1prWmtaazlnWms5Z1prOWdaa1prWmtaa1prWmtaazlnWms5Z1prWmtaazlnWms5Z1prOWdaa1prWmtaa1prOWdaazlnWms5Z1prWmtaa1prWmtaa1prWmtaa1prWmtaa1prOWdaazlnWms5Z1prOWdaa1prWms5Z1prWmtaa1prWmtaa1prWmtaa1prWmtaa1prWmtaazlnWms5Z1prOWdaazlnWms5Z1prOWdaazlnOWc5Z1prWmt7b1prWmtaa1prOWdaazlnWms5Z1prOWc5ZzlnOWc5ZzlnOWc5ZzlnOWc5Z1prOWcAAHpvWmt7b1prem9aa3tvWmt6b1pre296b3tvWmt7b1prem9aa3tvemtaa1prem9aa3tvWmt6b1prem9aa3pvWmsYY1prfG8ZZxlj+F6VUtA5SyltLY41jzUzRtlaPGf5XlprW2tbaztr+mLROSwlbjHXWnxvfG9bb1trOmcaY7A56xwtKRpjW2t7b1prem9aa3tvWmtba3xvfHNba1tre29aa1pre29aa3tvWmt7b1pre29aa3tvWmt7b1prWmtZa1lrOWdaa1prW29ba1trO2fQOdA911p8c3tvWWt6b1lrem9aa3tvWmtaa1prWmtaa1prWmtaa1prWmtaa1prWmt7b1prWmtaa1prWmt7b1prWmtaa1prWmtaazlnWmtaa1prWmtaa1prWmtaa1prWmtaa1prWmtaa1prOWdaa1prWmtaa1prWmtaa1prWmtaa1prWmtaa1prWmtaa1prWmtaa1prWmtaa1prOWdaazlnWms5Z1prWmtaa1pre29aa1prWmtaa1prWmtaa1prWmt7b1pre29aa1prWmtaa1prWmtaa1prWmtaa1prWmtaazlnOWdaazlnWms5Z1prWmt7b1pre29aa1prWmtaazlnWms5Z1prOWdaazlnWms5Z1prOWdaazlnWms5Z1prWmtaawAAWmt6b1prWmtaa3pvWmtaa1prWmtaa3pvWmt7b1prem9aa3pvWmt6b1lrWmtZa3prWWtaa1lrWmtZa3pvWWtZa3tvOmcYY1trW2s6Z/heGWN1UvE9bS1uMW4xjzHRPXVOGWM6ZztnXGvZXtI9CyELJVVOXGtba3tvW2tbazpnE0bKHC0l2Fo6Z1prem9Za1prem9aa1prfHN8b3tvWmt7b1prWmtaa1prWmt7b1prWmtaa1prWmtaa1prWmtaa1prWWtZazhnWmtba1xrGmP5YuogCiESRltre29Za1prWmtZa1prWmtaa1prWmtaa1prWmtaazlnWms5Z1prWmtaa1prWmtaa1prWmtaa1prWmtaa1prOWdaazlnWms5Z1prWmtaa1prWmtaa1prOWdaazlnWms5Z1prOWdaazlnWms5Z1prOWdaa1prWms5Z1prWmtaa1prWmtaa1prOWdaa1prWmtaa1prOWdaazlnOWc5Z1prOWdaa1prWmtaa1prWmtaa1prWmtaa1prWmtaa1prWmtaa1prOWdaazlnWms5Z1prOWdaazlnWms5Z1prOWdaazlnWms5Z1prOWdaa1prWmtaa1prWmtaazlnOWc5Z1prOWc5ZzlnOWc5ZzlnOWc5ZzlnOWc5Z1prOWdaazlnAAB7b1prem9aa3tvWmt6b1prem9aa3pvWmt7b3pve29aa3tvWmt7b1prem9Za3prWWt7b3pvem9aa3pvWmt6b1lrWWtaa3tvWms6azpnOmcZYxlj+F63VhJCjjErJW0tjjWuNfA9llL6YvpeFEaQMU0tVEo7a1xvW2t8b1trW29UTusgDCXYWhpje296b3pvWWt7b1pre2+cc513e29ba1tre29aa3tvWmt7b1pre29aa1prWmt7b1pre29aa1trWmt6b1lrWWtaa3xvW2saZ9haTS0KIRJGW2t8bzlnemtZa1prWmtaa1pre29aa3tvWmt7b1prWms5Z1prWmtba1pre29aa1prWmtaa1pre29aa3tvWmtaazlnWms5Z1prOWd7b1prWmtaa1prWmtaa1prWmtaa1prOWdaa1prWmtaa1prWmtaa1prWmtaa1prWmt7b1prWmtaa1prWmtaa1pre29aa1prWmtaa1prWms5Z1prOWdaa1prWmtaa1prWmtaa1prWmtaa3tvWmtaa1prWmtaa1prWmtaazlnWms5Z1prWmtaa1prWmtaa1prWmt7b1pre29aa1prOWdaazlnWmtaa1prOWdaazlnWms5Z1prOWdaazlnWms5Z1prOWdaazlnOWc5Z1prOWdaa1prWmsAAFprem9aa3pvWmt6b1prem9Za1prWmtaa1prWmtaa3pvWmt6b1prWmtaa1prWmt6b1prem9aa3prWWtaa1lremtaa3tvWmtaa1prWmtaa1prOWc6Zxhj+F6UUhFCjDErJQslTSlOKZA10z3SPU4tLSWwNTtnGmN8b3xvWWt6a5RS6iAtKRNCfXNba3tvWWubb1lremtaa3pvWmt7a1tre29aa1prWmtaa1prWmtaa1prWmtaa1tre29aa1trOmtaa1lrWWs5Z1prOmtbaxpn+l5vMesgbi1dbzprWWt5a1lrOWdaa1pre29ba3tve297b1prW2taa1trOmdaazpnWmtaa1prWmtaa1prWmtaa1prOWdaa1prWms5Z1prWmtaazlnWmtaa1prOWdaa1prWms5Z1prWmtaa1prWms5Z1prWmtaazlnWms5Z1prWmtaa1prWmtaa1prOWdaazlnWms5Z1prOWdaazlnWms5Z1prOWdaa1prWms5Z1prWmtaa1prWmtaa1prOWdaazlnWmtaa1prWmtaazlnWms5Z1prOWdaazlnWms5ZzlnOWdaazlnWms5Z1prOWdaazlnWms5Z1prOWdaazlnWms5Z1prOWdaazlnWms5Z1prOWdaaxhjOWc5ZzlnGGM5ZzlnWmtaawAAe29aa3tvWmt7b1pre29aa1prWmt6b1prem9aa3tvWmt7b1pre29aa3pvWmt7b3pve29aa3tvWmtaa1prem9aa3tvWmt7b1prWmtaa1prWmtaa1pre29aa1pr917WWpVSM0YTQrE5LSkMIcoc6xzsIE4pdk7YWlxrnXM4Y1prtlbJHC0pM0Zcazpne29aazhnem9Za3pvWmt7b1pre29ba1trWmt7b1pre29aa3tvWmtba1tre29ba3tvWmtba1prWmtZa1prOWdba1trO2f5XpAxyhxOLTxnXGs5Z3lrWGtaa1pre29ba3tvW2t7b1pre29aa1tvW2tba1prW2s6a1trWmtaa1prWmtaa1prWmtaa1prWmtaa1prWmtaa1prWmtaa1prWmtaa1prWmtaa1prWmtaa1prWmtaa1prWmtaa1prWmtaa1prWmtaa1prWmtaa1prWmtaa1prWmtaa1prWmtaa1prWmtaa1prWmtaa1prWmtaa1prWmtaa1prWmtaa1prWmtaa1prWmtaa3tvWmtaa1prWms5Z1prWmtaa1prWms5Z1prOWdaazlnWmtaa1prWmtaazlnWms5Z1prWmtaa1prWmtaa1prWmtaazlnWms5Z1prOWdaazlnOWc5Z1prOWc5ZzlnWmtaa1prAABaa3pvWmt6b1prem9aa3pvWmtaa1prWmtaa3pvWmt6b1prem9aa1prWmt6b1prem9aa3pvWmtaa1prWmtaa1prWmtaa1prWmtaa1prWmtaazlnOWc5ZzlnOWc5ZxhjGGP4XvlellLyPW4tDCXKGMkY6xzROTRGG2ddaxpjOmcZY+sgTinROV1rGWOdczpnWmtZa3prWWt6a1pre2tba1trWmt7b1pre29aa3tvWmtaa1prW2taa1trWmtba1prWmtaa1prOWdaa1prW2saZ/pekDXrIAwl+l5bazlnOGdZa1lrW2taa1prWmtaa1prWmtaa1prWmtaa1prW2s6Z1prWmtaa1prWmtaa1prWmtaa1prWms5Z1prWmtaazlnWms5Z1prOWdaazlnWms5Z1prOWdaazlnWmtaa1prOWdaazlnWmtaa1prWmtaa1prWmtaa1prOWdaa1prWms5Z1prOWdaazlnWms5Z1prOWdaa1prWms5Z1prWmtaazlnWmtaa1prOWdaa1prWms5Z1prWmtaazlnWms5Z1prOWdaazlnWms5Z1prOWdaazlnWms5Z1prOWdaazlnWms5Z1prOWdaazlnWms5Z1prOWdaazlnWms5ZzlnOWc5ZzlnOWc5ZzlnOWc5ZzlnOWc5Z1prOWcAAHtvem97b1pre296b3tvWmt7b1prem9aa3tvWmt7b1pre29aa3tvWmt7b1pre29aa3tvWmt6b1prem9aa3pvWmt7b1prWmtaa3tvWmt7b1pre29aa1prOWdaazlnOWcYY1prOWc6Z/he2FpVSpA1qRRWSrE1LSmRNZhSG2M8Z7hWkDUtKZA1XW9ca3xvOmd7b3pvWmt6a1pre29aa3trW2t7b1pre29aa3tvWmt7b1pre29aa3tvWmt7b1prW2taa1prWmtaazlnW2tbaztn+mLyPQwlDCWXVn1vOmdZa1lrem9aa1prWmt7b1prWmtaa3tvWmtaa1prW2taa1prWmtaa1prWmtaa1prWmtaa1prWmtaa1prWmtaa1prWmtaa1prWmtaazlnWmtaa1prOWdaa1prWmtaa1prWmtaa1prWmtaa3tvWmt7b1prWmtaa1prWmtaa1prWmtaa1prWmtaa1prWmtaa1prWmtaa1prWmtaa1prWmtaa1prWmtaa1prWmtaa1prWmtaa1prWmtaa1prWms5Z1prOWdaazlnWmtaa1prOWdaazlnWms5Z1prWmtaazlnWms5Z1prOWdaa1prWmtaa1prWmtaa1prWms5ZzlnOWc5ZzlnOWc5Z1prOWdaazlnWms5Z1prOWdaawAAWmt6b1pre29aa3pvWmt7b1prem9aa3pvWmt6b1prem9aa3pvWmt6b1prem9aa3pvWmt6b1prWmtZa1prWmtaa1prWmtaa1prWmtaa1prWmtaa1prWmtaa1prWmtaa1prWGc3ZzhjOWcZY/leE0LrIG8t0z1XStQ9DSVwLdM9NkqRMQ0hTik8ZzxnfW8ZY1trWmtaa1prWmtaa1prWmtba1pre29aa3tvWmt7b1pre29aa1prWmtaa1prWmtaa1prOWdaa1lrWms6Z1trOmcbYxNCTinqHDRGXGtaa1lnem9Za1prWmtaa1prWms5Z1prWmtaa1prWmtaa1prWmtaa1prWmtaa1prWmtaa1prWms5Z1prWmtaazlnWmtaa1prOWdaazlnWms5Z1prOWdaazlnWmtaa1prWmtaazlnWms5Z1prWmt7b1pre29aa1prWmtaa1prWms5Z1prOWdaazlnWms5Z1prOWdaazlnWms5Z1prWmtaazlnWmtaa1prOWdaa1prWms5Z1prWmtaazlnWms5Z1prOWdaazlnWms5Z1prOWdaazlnOWc5Z1prOWdaazlnWms5ZzlnOWdaazlnWms5Z1prOWdaazlnWms5ZzlnOWc5ZzlnOWc5ZzlnOWc5ZzlnOWc5ZzlnOWc5ZzlnAAB7b3pve296b3tvem97b3pve29aa3tvem97b1pre29aa3pvWmt7b3pve29aa3tvWmt7b1pre29aa1prWmt6b1pre29aa3tvWmtaa1pre29aazlnOWdaa1prWms5Z1prWWdYazdneW9Zaxlj+F5VSgwhDSWSNbpW9UEPJVAtUC0OJQ4lyxxPLXdS+mJ9b51zW2tba1prW2taa1trWmtba1pre29aa3tvWmt7b1pre29aa3tvWmt6b1prWmtaa3pvWmtaa1prWmtZa1prWmtbaxpjVU6PMeocjzU7azprWmtZa3prWmt6b1prWmtaa1prWmtaa1prWmtaa1prWWt6a1prWmtaa1prWmtaa1prWmtaa1prWmtaa1prWmtaa1prWmtaa1prWmtaa1prWmtaa1prWmtaa1prWmtaa1prWmtaa1prWmtaa1pre29aa3tvWmtaa1prWmtaa1prWmtaa1prWmtaa1prWmtaa1prWmtaa1prWmtaa1prWmtaa1prWmtaa1prWmtaa1prWmtaa1prWms5Z1prOWdaazlnWmtaa1prWmtaazlnWms5Z1prOWdaazlnWms5Z1prOWdaazlnWmtaa1prWmtaa1prWmtaa1prOWdaazlnOWc5ZzlnOWdaazlnOWc5Z1prOWdaazlnWmsAAFpre29aa3tvWmt7b1pre29aa3tvWmt6b1prem9aa1prWmt6b1prem9aa3pvWmtaa1prem9aa1prWmtaa1prWmtaa3tvWmtaa1prWmtaa1prWmt7b1pre29aa1prOWdaa1hnWGuab5tvGWMaY1VKDCENJbM53F71QYoUDiUvKbM5LynMHA0lsTU1RthaXGtbazpnW2s6Z1prWmdbazpnWmtaa1trWmtba1prWmtaa1prWmt6b1lrWmtZa1prWWtaazlnWmtZa1lrOWdbazpnG2eXUtI9yRgsKRljW2taa1lrWWtaa1prWmtaa1prWmtaa1prWmtZa1prWWtaa1lrWmtZa1prWmtaa1prWmtaa1prWmtaazlnWmtaa1prOWdaa1prWmtaa1prWmtaa1prWms5Z1prOWdaa1prWms5Z1prOWdaazlnWmtaa1prWmtaa1prWms5Z1prWmtaazlnWms5Z1prOWdaazlnWms5Z1prWmtaazlnWmtaa1prOWdaazlnWms5Z1prWmtaa1prWms5Z1prOWc5ZzlnWms5Z1prOWdaazlnWms5Z1prOWdaazlnWms5ZzlnOWdaazlnOWc5Z1prOWdaazlnWms5Z1prOWc5ZzlnOWc5ZzlnOWc5ZzlnWms5ZzlnOWdaazlnOWc5ZwAAe296b3tvem97b3pve296b3tvem97b1pre29aa3tvWmt6b1pre296b3tvem96b1pre29aa3pvWmt6b1prem9aa3tvWmt7b1pre29aa1prWmtaa1prWmtaa1prWmt7b3pvmm84Z3lrWWs6Zztnl1ILIQ0lkTEeZ1dOLiUvKQ4lLikWRg4lDSUMJZAxjzGXUvleXGtba1trWmtba1prW2taa1trW2tba1pre29aa1trWmt7b1prWmtZa1prWWt6a1prWmtaa1prWWdaa1prW2saZ9laE0LqIAohGmNbb3tvWWt6a1prem9aa3tvWmtba1prW2taa1prWWt6a1lrWWtZa1prWmtaa1prWmtaa1prWmtaa1prWmtaa1prWmtaa1pre29aa1prWmt7b1prWmtaa1prWmtaa1prWmtaa1prWmtaa1prWms5Z1prWmtaa1prWmtaa1prWmtaa1prWmtaa1prWmtaa1prWmtaa1prWmtaa1prWmtaa1prWmtaa1prWmtaa1prWmtaa1prWmtaa1prOWdaazlnWms5Z1prWmtaa1prWms5Z1prOWdaazlnWms5Z1prOWdaazlnWms5Z1prWmtaa1prWmtaa1prWmtaazlnWms5Z1prOWc5ZzlnWms5ZzlnOWdaazlnOWc5Z1prAABaa3pvWmt6b1prem9aa3tvem97b3pve29aa3tvWmt7b3pvem9aa3tve297b1prWmtZa1prWmtaa1lrWmtaa1pre297b1prWmtaa1prWmtaa1prWmtaa1prWmtaa1prWms5Z3prOWdaZxpjO2e4Vk0pDCFOKbpa+17zPbE5kDFvLcscyxzsILE1FEJNKY4xTC3QOZZSGWM6ZxljW2t7a3xvGWNaa3tvfG9ba1prWmt7b1prWmtaa1prOWdZa1lrWms5Z1prWWtaazlnWms6ZztrG2fyQcocCyV1TltrOWd7bxhjnHMYY3tvW2sYY3xvOms6azlnWmt6bzhnWWtZa3prWWtaa1prWmtaa1prWmtaa1prWms5Z1prOWdaa1prWmtaa1prWmtaazlnWmtaa1prOWdaa1prWmtaa1prOWc5ZzlnWms5Z1prOWdaa1prWmtaa1prWmtaazlnWms5Z1prOWdaazlnWms5Z1prOWdaa1prWms5Z1prOWdaa1prWms5Z1prWmtaazlnWmtaa3tvOWdaazlnWms5Z1prOWdaazlnWms5Z1prOWdaazlnWms5Z1prOWdaazlnOWc5ZzlnOWc5ZzlnWms5ZzlnOWdaazlnWms5Z1prOWc5ZzlnOWc5ZzlnOWdaazlnOWc5ZzlnOWcAAHtvWmt7b1pre29aa3tve297b3tve297b3tvem97b3pve296b3tvem+bc3tve29aa1prWmt6b1prWmtaa3pvWmt7b3tve29aa1prWmtaa1prWmtaa3tvWmt7b1prWmtaa1prW2tbaztnO2c7Z9laTi0MJU0p2l48a7dWllKWUlRK6xwNJesc6xy4VvpeVUrxPY4xbS2uNTJG+F45ZzpnGWOec1trOmcZY1trW2t8b1trW2taa3tvWmtaazlnOWc4Z1prWWtaa1lrWms5Z1trO2c7ZzRGCyHqHDNGW2tbb1pre297bxhjWmtaazprW2t8b3tvWmucc3pvWWtZa3lvWWtaa1prWmtaa1prWmtaa1prWmtaa1prWmtaa1prWmtaa3tvWmtaa1prWmtaa1prWmtaazlnWms5ZzlnOWd7b3tvWms5Z1prWmtaa1prWmtaa1prWmtaa1prWmtaa1prWmtaa1prWmtaa1prWmtaa1prWmtaa1prWmtaa1prWmtaa1prWmtaa1prWmtaa3tvWmtaa1prWmtaa1prWmtaa1prWms5Z1prOWdaazlnWmtaa1prOWdaazlnWms5Z1prOWdaazlnWms5Z1prOWdaazlnWmtaa1prWmtaazlnWms5Z1prOWdaa1prWms5Z1prOWdaawAAWmt6b1prem9aa3tvWmt7b3pve296b3tvem97b1pre297b3tvWmt6b3tve29aa1prWmtaa1prWmtaa1prWmtaa1pre29aa1prWmtaa1prWmtaa1prWmtaa1prWmtaa1prOmdbazpnO2sbYzxn2VqPMesgTS23Vn1vGWMZY/he11puLescyhgMIbhWfm/ZWhpjllLxPUwpbC2NMa41EUK2VtheGmM7Z1xvW2tbazpnOmd7b3tvOmc5ZxljOWdaa5xzOWdaa1lnWWtZa1prOmc7axpjl1LqHMkYjzVca1trOmd7b1trOWdbbzpn+F7xQXROOmd7b1trWmtZa3lrWWtZa1lrWmtaa1prWmtaa1prWmtaa1prOWdaazlnWms5Z1prWmtaazlnWms5Z1prWmtaa1prWmtaa1prOWc5Zzlne285Z1prOWdaazlnWms5Z1prWmtaazlnWmtaa1prOWdaazlnWms5Z1prOWdaazlnWmtaa1prOWdaazlnWms5Z1prWmtaazlnWms5Z1prOWdaazlnWms5Z1prOWdaazlnWms5Z1prOWc5ZzlnWms5Z1prOWdaazlnWms5Z1prOWc5ZzlnWms5Z1prOWdaazlnWmtaa1prOWdaazlnWms5Z1prOWdaazlnWms5Z1prOWc5ZzlnAAB7b1pre29aa3tvem97b3pve297b3tvem97b3pve29aa3tvem97b1pre297b3tvWmt6b1prem9aa3pvWmt6b1pre29aa3tvWmt7b1pre29aa3tvWmt7b1pre29aa1prWmtba1trO2c7ZztnO2f6XtE56iBMKXVOfG9ba1prOWf3XnZS6hzqHG4tE0LZWn1vfm9ca/let1Z1TvE9TClsLa41rzUSQrdWGmM7aztrXG98bzpnOmt7b3tvfG9aa1prOWdaa1lrWmtZa1prWWtaaztnO2eXVusgyRxNLRpjfG86Z1tvWmt7b3xvW2vwPQkhCiH5YltrW2s5Z3prWWt6b1lremtaa1prWmtaa1prWmtaa1prWmtaa1prWmtaa1prWmtaa1prWms5Z1prWmtaa1prWmtaa1prOWdaa1prWmtaa1prWmtaa1prWmtaa1prWmtaa1prWmtaa1prWmtaa1prWmtaa1prWmtaa1prWmtaa1prWmtaa1prWmtaa1prWmt7b1prWmtaa1prWmtaa1prWmtaa1prWmtaa1prWmtaa1prWmtaazlnWms5Z1prOWdaa1prWms5Z1prOWdaazlnWms5Z1prOWdaazlnWms5Z1prWmtaazlnWms5Z1prOWdaazlnWms5Z1prOWdaazlnWmsAAFprem9aa3pvWmt6b1pre29aa3tvem97b1prem9aa3tvWmt7b1prem9aa3pvWmt6b1prWmtaa3pvWmtaa1prem9aa1prWmtaa1prWmtaa3tvWmtaa1prWmtaa1prWmtaazpnWms6Z1trGmM7Z/piE0aoFCsl8T18b3trnHNaa1pr+V7RPckcCyVNKXVOfm9caxpjOmc7Z1trGWO2VhJCzzltLW4tbi3QOTRK2FoaZ1xvW2tcb1trW286ZzpnOWdaazlnWmtZa1prWWtaa1prW2saZ5dW6hwLIQslt1Zba1trWmt7bztrO2fYXukc6iAKIZZSXGs6Z1prWmtZa3pvWWtZa1prWmtaa1prWmtaa1prOWdaa1prWms5Z1prWmtaazlnWms5Z1prOWdaazlnWms5ZzlnGGM5ZzlnWmtaa1prOWdaazlnWms5Z1prOWdaazlnWmtaa1prOWdaa1prWms5Z1prOWdaazlnWms5Z1prWmtaazlnWms5Z1prWmtaa1prWmtaa1prOWdaazlnWms5Z1prWmtaazlnWmtaa1prOWdaazlnWms5ZzlnOWdaazlnWms5Z1prOWdaazlnWms5ZzlnOWdaazlnWms5Z1prOWdaazlnWms5ZzlnOWdaazlnOWc5ZzlnOWc5ZzlnWms5ZwAAe29aa3tvWmt7b1pre297b3tvem97b3pve29aa3tvWmt7b3pve29aa3pvWmt7b1prem9aa3tvWmt6b1pre29aa3tvWmt7b1pre29aa3tvWmtaa1pre29aa3tvWmtaa1premtZZ1prW2s6ZxpjO2dUSsgYKyXPOVtrfG+cb3tvW2s6Z9daKyXpIG0trzW3Vn1vfW9cb1xrGmM7Z1trO2e3WnZSNEbRPW4xbjGvNRJCM0r5XvleOmc6Z1trW2t8b3xvWmtZa1prWWt6a1lrWmtbazxrl1YsJQwlKyU0SlxrW29ba1trXGs6Z3VOZgwsKUwpdU59b1xvW2t7bzlnmm9Za1prWmtaa1prWmtaa1prWmtaa1prWmtaa1prWmtaa1prWms5Z1prWmtaazlnWms5Z5xze29aazlnWmtaa1prWmtaa1prWmtaa1prOWdaazlnWmtaa1prWmtaa1prWmtaa1prWmtaa1prWmtaa1prWmtaa1prWmtaa1prWmtaa1prWmtaa1prWmtaazlnWmtaa1prWmtaa1prWmtaa1prWmtaa1prWms5Z1prOWdaazlnWmtaa1prWmtaazlnWms5Z1prOWdaa1prWmtaa1prWmtaazlnWms5Z1prOWdaazlnWms5Z1prOWc5ZzlnWms5Z1prAABaa3pvWmt6b1pre29aa3tvWmt7b1prem9aa3tvWmt6b1pre29aa1prWmtaa1prem9aa3pvWmt6b1prem9aa3pvWmt7b1prWmtaa1prWmtaa1prWmtaa1prWmtaa1prWWtZa1lrOGd6axljGWMaY5VSyBhMKY0xW2tba3xvOWdbazpnGWONMSslSyltLa81GWM7Z31vnXN8bztnW2s6ZxpjG2c8Z/ped1LRPY4xTS1uMW0x8T10TvliOmdbazpnOWc6Z1prWWdZa1lrWmtaa1trPGvYWk0pCyHqHPE9W2tcbztrW2tba1xrsDWHEOocTS3yQX1vW2tba3tvOWdZa1lrWWtaa1prWmtaa1prWmtaazlnWms5Z1prWmtaazlnWms5Z1prOWdaazlnOWc5Zzln9145ZzlnWms5ZzlnOWdaazlnWms5Z1prOWdaazlnOWc5Z1prOWdaa1prWmtaa1prOWdaazlnWms5Z1prOWdaa1prWms5Z1prOWdaazlnWms5Z1prOWdaazlnWms5Z1prWmtaa1prWmtaa1prWmtaa1prWms5Z1prOWc5ZzlnOWc5Z1prOWdaazlnWms5Z1prOWdaazlnWms5Z1prWmtaazlnWms5Z1prOWdaazlnWms5Z1prOWc5ZzlnOWc5Z1prOWcAAHtvWmt7b1pre296b3tvem97b3pve29aa3tvWmt7b1pre296b3tvWmt6b1prem96b3tvWmt7b1pre29aa3tvWmt7b1pre29aa3tvWmt7b1pre29aa3tvWmt7b1prWmtZa3pvWGtZa3prOWcZYzpnllLIGEwpjjE7Z3xvfG97a5xzfG/3WvE96RzpHBJCsDVuLRpjO2d9b1xrfW9cb31vXGtdazxrXWs8Zxtjl1YzRtA5TS1MLW0xjjUSQnVSGmNca1trWmtaa1prem9aa1trW2t9b/lejzXqHOkcrzV9b1trnXM6Z1xrXGsrJckY6iCwNdA5XGtbazpre284Z3tvWWtaa1prW2taa1tvWmtba1prWmtaa1trWmtbb1prWms6a1prWmtaazlrWms6ZzpnGWPwPVRK+V46Z1trOmdaa1prWmtZa1prWWdaazlnWms5Z1prWmtaa1prWmtaa1prWmtaa1prWmtaa1prWmtaa1prWmtaa1prWmtaa1prWmtaa1prOWdaazlnWmtaa1prWmtaa1prWmtaa1prWmtaa1prWmtaa1prOWdaazlnWms5Z1prWmtaa1prWmtaa1prOWdaazlnWms5Z1prWmtaa1prWmtaa1prOWdaa1prWmtaa1prWmtaazlnWms5Z1prWmtaawAAWmt7b1pre29aa3tvWmt7b1pre29aa3tvWmt7b1pre29aa1prWmtaa1prWmtaa3pvWmtaa1pre29aa3pvWmtaa1prWmtZa3pvem97b1prWmtaa3pvWmtaa1lrWmtZa1prWWtZazhnWWtZazln+GL4Xk0pCiGPMbdWfXNaa3tvem9ZazlnVE4KIeoc80GQNU4pbi1VTthaGmNca35vXWt+c31vfW9baztnOmc7Zxlj11p1TlRK8T2PMS0pTi2xNRRC+V4ZYxpjOmcaYzpnO2dcaztnGmPRPekcCiErJVtrW2t8b1trO2fYWocQCyELIbA10Dlba1trOmdaa1tre29bazprWms6a1trOmtaazprWms6a1prOmtbazprWms6a1prOWtZbzlrOms7a1xvGmO4Vgwl6hzRORtf+l47Y1xnGV9aZ1lnOWdaazlnWmc6Z1trOmdbazprWms5Z1prWWtaazlnWmtaa1prOWdaa1prWms5Z1prOWdaazlnWms5Z1prWmtaa1prWmtaa1prWmtaazlnWmtaa1prWmtaazlnWmtaa1prOWdaazlnWms5Z1prOWdaazlnWms5Z1prOWdaa1prWms5ZzlnOWdaa1prWms5Z1prOWdaazlnWms5Z1prOWc5ZzlnOWc5ZzlnOWc5ZzlnAAB7b1pre29aa3tvWmt7b1pre29aa3tve297b1pre297b3tvWmt7b1prem9aa3tvWmt6b1pre297b3tvem97b1pre29aa1prWmt7b3tve29aa3tvWmt6b1prWmtZa1prWmtZa1lrWWtZa1lrOWcZY/lesDnqHI81dk6ec1trm3N6b3pvGGO2VukcLCWxOVZKsjnzQW4xTS3xPflePGddb55zOmd7b713fG9bazpnW2s6Z1trGmf5XpdSNEaxNXAxLSksKa41dE75XlxrXGtcaztnXGsaYxJCpxTpHCslGmNca3tvOmdca3VOZhDJGLE5t1ZUSnxvfG9aZ3xvWmt8b1trW2s6a1tvWmtbbzprW2s6a1trOmtbbzprW2s6a1tvOms5azlrWm86a1trXG88Z9pacDFPKewcTim5Vn5rXWc7YzljWWubb1lnOWc6Z3trW2tba1prW2taa1prWmtaa1prWmtaa1prWmtaa1prWmtaa1prWmtaa1prWms5Z1prWmtaa1prWmtaa1prWmtaa1prWmtaa1prWmtaa1prWmtaa1prWmtaa1prWms5Z1prWmtaa1prWmtaa1prOWdaazlnWms5ZzlnOWdaa1prWmtaa1prOWdaazlnWms5Z1prOWc5ZzlnWms5ZzlnOWdaazlnWmsAAFpre29aa3tvWmt7b1pre29aa3tvWmt7b1pre29aa3tvWmt7b1prWmtaa1prWmtaa1pre29aa3tvem97b1prem9aa1prWWtaa3pve29aa1prWmt6b1prWmtZa1prWWtaazhnWWtZa1lrOWc5Z/hiGWMTQskcbi0TRn1vfG96b5tzem85Z9daCiEtJW8x2153TgwljzGwNW4xTCnyPdlafW9ba5xve297b3tvm296a1prGWM6ZxpjO2cbY9laVUoTQo4xjjFMKU0tjjETRpdWG2MbYzxndlLJHKgYCyFVTlxrW2tba1xrM0aHEMkY8j35XrdWfW9ba1pre2tbazpnW2s6a1prOmtaazprWms6azprOmtaazprWms6a1trOmtaazhnWWs5azprOmtcbztnG2N2TvI5DCHrGI8tmFI8Y31rOmNaZzlnWmc5Y1pnOmdba1pnWms6Z1prWmtaazlrWmtaa1prOWdaa1prWms5Z1prWmtaazlnWms5Z1prOWdaa1prWmtaa1prWmtaa1prWmtaa1prOWdaazlnWms5Z1prWmtaazlnWms5Z1prOWdaa1prWms5Z1prOWdaazlnWms5Z1prOWc5ZzlnWmtaa1prOWdaazlnWms5Z1prOWdaazlnWms5ZzlnOWdaazlnOWc5ZwAAe297b3tvWmt7b3tve29aa3tve297b1pre297b3tvWmt7b3pve29aa3pvWmt6b1pre296b3tvWmt7b3pve29aa3tvWmtaa1pre296b3tvWmt7b1prem9aa1prWmtaa1prWWtZa3prWWtZazlnOWcZY5ZSyRhuLdA5fG98b3pvem96bzlnGWNNLS0pLilea9teFEZNLU0trzWvNY4x8kFVTltrWmt7b3trm297b3tvWWd7a1pnWms6Z3xvO2saZ/let1pUSvE9bS1MKU0przXROTVKVk5WTuocyhzKHNI5HGdbazpnO2uOMckYDCG4VhtjGmNba1trOmd8b1trW2tba1trWmtbb1prW29aa1prOWtabzprWms6a1pvOmtaazprWWtZa1pvOmtba1trXGs7Zzxndk7ROU0l6xxOKXdOXWeebzpjGWNaZ3xvOmc5Z1pnWmtaa1prWWtaa1prWmtaa1prWmtaa1prWmtaa1prWmtaa1prWmtaa1prWmtaazlne29aa1prWmtaa1prWmtaa3tvWmtaazlnWmtaa1prWmtaa1prWms5Z1prOWdaazlnWmtaa1prWmtaa1prWms5Z1prOWdaazlnWmtaa1prWmtaazlnWms5Z1prOWdaazlnWms5Z1prOWdaazlnWms5Z1prAABaa3tvWmt7b1pre29aa3tvWmt7b1pre29aa3tvWmt7b1pre29aa3pvWmtaa1prem9aa1prWmtaa1prWmtaa3pvWmt6b1prem9aa3pvWmt6b1prem9aa1prWWtaa1lrWmtZa1lrOWdZa1lrWmsZYxljl1bqHCwljzUaY3xzWmt6bzlnWmv4XvFBDCVOKftiPWscZxJCTCltLa81E0byPW0t8D2VUjlnnHN6b1prWWubb5tvm29aa1prOWc6ZzpnOmcaYxpj+V7YWnVOE0KPNW4tLSUMJS0liBSqGMscLim6Wn1vfXM7ZwshiBAMJftiXGs7ZztnOmdaa1prW2s6Z3xvOmtaa1prWms5a1prOWdaazlnWms5a1prOWdaazlrWms5a1pvWmtaazlnWms6Z1trGmMbY/I9LSVOKS0hLiV3ShtjO2c7Z1trOmdaZzlnWWdZZ1lrWWtaazlnWms6a1prOWdaa1prWms5Z1prWmtaa1prWmtaa1prOWdaazlnWmtaa1prWmtaa1prWmtaa1prWmtaazlnWms5Z1prWmtaa1prWms5Z1prOWdaazlnWms5Z1prOWdaazlnWms5Z1prOWdaazlnWms5Z1prWmtaazlnWms5Z1prOWdaazlnWms5Z1prOWdaazlnWms5Z1prOWcAAHtve297b3tve297b3tve297b1pre297b3tvWmt7b3tve29aa3tvWmt7b1pre296b3pvWmt6b1prWmtaa3pvWmt7b1pre29aa3pvWmt7b1pre29aa3pvWmtaa1lrWmtaa3pvWWtZa1lrem9aazprGWPZXiwpLCWOMdhafG97b1lrWWtaaxlndVJNKU4pmFI9a/peXGvYWkwpxxiOMTNGrzUqJY0xdE45Y5xznHOcc3pvWWtZa3tve297b3pre297b1trW2tbazpnGmPYWrdWdk4TQk4tDSWpFOwc7BwNIdM9+l47ZxtnDCXKHAwhHGdca31vO2d8b1prW2t7a1trW2taa1lrWm9aa1prWWtaa1lrWmtZa1prWWtaa1lrWmtZa1pvWmtab1prWms5Z1prOmc6Y1tn2FryPZAxTykuJQ0hFEIbX79zXGcZY1prnG9ZZ1lrWWtZa1lrWmtaa1trWmtaa1prWmtaa1prWmtaa1prWmtaa1prWmtaa1prWmtaa3tvWmt7b1prWmtaa1prWmtaa1prWmtaa1prWmtaa1prWmtaa1prWmtaazlnWmtaa1prWmtaa1prWms5Z1prOWdaa1prWmtaa1prOWdaa1prWms5Z1prOWdaazlnWms5Z1prOWdaazlnWms5Z1prOWdaawAAWmt7b1pre29aa3tvWmt7b1pre29aa3tvWmt7b1pre29aa3pvWmtaa1pre29aa3tvWmt6b1prWmtaa1prWmt6b1pre29aa1prWmtaa1prem9aa3pvWmtaa1lrWmtZa1prWmtaazlnWWtZa1prOWc6Z/le0DnpHI4xdE58b3tvWmtZa1prOme3Wo8xbi3zQV5vXW9ca/ledE6NMQohbTGWVq41bC1sLTJG+F6cb3tvWmtaa3pve2+bc3pvemtZZ1prOWc6ZzpnW2s7ZztnGmP6XhtjuFYUQnAxDSHtIO0cTy2PMfE98j0LIS0lTikcY59zXGs6Z3tvWms6Z3xvOmdba1prWmtZa1prWWtaazlnWWtZZ1lrOWdZa1lnWWs5Z1lrWmtaazlnWWtZa1lrOWdZZ1pnOmdca/pe0jWyNZIxzBgMITVGG2M8ZxpjW2t6a1lnWGdZa1hnWWtZa1prOmtaa1prWms5Z1prWmtaazlnWmtaa1prWmtaa1prWms5Z1prWmtaa1prWmtaa1prOWdaazlnWms5Z1prWmtaazlnWmtaa1prOWdaazlnWms5Z1prWmtaazlnWms5Z1prOWdaazlnWmtaa1prOWdaazlnWms5Z1prOWdaazlnWms5Z1prOWdaazlnOWc5Z1prOWc5ZzlnAAB7b3tve297b3tve297b3tve297b3tvWmt7b3tve29aa3pvWmt6b1pre297b3tve297b3pvem9aa3pvWmt7b3pve296b3tvWmt6b1prem9aa3tvWmt6b1prWmtaa1prWmtaa1prem9Za1prOWdaazpnGmMSQuocbjFTSltvvXdaa3tvOWd8b9ha0j1OLdI5Xm9dbztrO2tba9darjXPOdhat1bxPUwpTCkSQrZWOmd8b3xvW2t6a1prem96a5tve297b3premtaa3tvW2tbaztnGmM8Z/tiFEYuJewcUClwLbE5bi0sJYgQDSXsIJhWG2NcaxljfG86ZzpnfG87ZzpnW2taa1prWmtaa1lrWms5Z1prWWtaa1lrWmtZa1lrWWtbazlnOWdZZ3pvWWtZazhnWWs5YzpjGl/6WlZK0zlxLaoULiVWSjxnnnNbZzlnWWd5a1hrWWtZa1prWmtba1prW2taa1prWmtaa1prWmtaa3tvWmtaa1prWmtaa1prWmt7b1pre29aa1prWmtaazlnWmtaa1prWmt7b1prWms5Z1prWmtaazlnWms5Z1prOWdaa1prWmtaa1prWmtaazlnWmtaa3tvWmtaazlnWmtaa1prOWdaazlnWms5Z1prOWdaazlnWms5Z1prOWdaazlnWmsAAHtve297b3tvWmt7b1pre29aa3tvWmt7b1pre29aa3tvWmt6b1prem9aa3pvWmt7b1pre29aa3pvWmt6b1pre29aa3tvem97b1pre29aa3pvWmtaa1lrWms5Z1prWWtaazlnWmtZa1prWWtZazlnOmv5YpdWqBhuLa41XG9aa5xzWmt7b1trO2dVSi0lbzEcZ31vXGtba1trGWMZYxljOmcaY7haM0avNSslbS0zRjtnXGt8b1tre29aa3trWmtaa1lnem96a3pvm297bzlnWms7Z31v+l77XsscyxztIC8pmFI1StE5yhjsIOwgkDFuMTNGtlY6Z3xvlVJUSlxrfG86ZzpnW2+dc1prOWc5Z3tvWmtaazlnOWc4Z1lrWWtaazpnWms5Z1lrOGdZa1lreWtZZ1pnOWM6YxtjHGN4TtM5cC2qFOscNEb6XjpnWmtZZzdjWWtZa3prWWdaazpnWms6Z1prWmtaazlnWms5Z1prOWdaa1prWms5Z1prWmt7b1prWmtaa1prWmtaa1prWms5Z1prWmtaa1prWmtaa1prOWdaa1prWms5Z1prWmtaa1prWms5Z1prOWdaazlnWmtaa1prOWdaazlnWms5Z1prOWdaazlnWms5ZzlnOWdaazlnWms5Z1prOWc5ZzlnOWc5ZwAAe297b3tve297b1pre297b3tvWmt7b3tve29aa3tve297b1pre29aa3tvWmt7b3pve296b3tvWmt6b1pre297b3tvem97b3tve29aa3tvWmt6b1prem9aa1prWmtaa1prWmtaa3pvWmt6a1lrWms6Zzpnl1bpHE0przU7a3xve297b1prW2s7Z5dSTi1vMZdWnnNcb3xve286azpnW2tbaztnG2P6YlVKrzUsJY4x8T0aYxpjW2tba3xvW2t8b3tvm296b3lrWWd6b3pre297a3xvW2tda9pe6xzLHMwcDSX7YvtimFINJQ0l7CAURvE9TCltLa41rjWNMUwpM0YaY1xvOmc6ZzpnW29ba1trOmtaazlnWmtaa3tvWmtaazlnWms6Z1prWWtZa1hneWtZa1lnWWdbazpnXGc8Z/ped06yNbE1qhQLIVVKfW86Zzlne285ZzlnWWdaa1lrW29bb1prWmtaa1prWmtaa1prWmtaa1prWmtaa1prWmtaa1pre29aa3tvWmtaa1prWmtaa1prWmtaa1prWmtaa1prWmtaa1prWmtaa1prWmtaa1prWmtaa1prWmtaazlnWmtaa1prWmtaazlnWms5Z1prWmtaazlnWmtaa1prOWdaazlnWms5Z1prOWdaazlnWms5Z1prAAB7b3tvWmt7b1pre29aa3tvWmt7b1pre29aa3tvWmt7b1pre29aa3pvWmt7b1pre29aa3tvWmt6b1pre29aa3tvWmt6b1prem9aa3tvWmt6b1prem9aa1prWmtaa1lrWmtaa1trWmt6a1lrWms5Z1prOme3WuogKyWONRpjW2t8b3pve286Z1truFqwNS0pE0J9b51zfG97b1pre29ba3xvW2tcaxtn+V6WUjNGjjErJY4xEkKWUhpjW2t8bztnWmdZa3pvWWtZa1lrm297b3tve2saY35vPGdOKS4lzRxPKbhWfnPaXk4p6xwMIblal1bQPdA5bC0qJSslCiEsJZdSGmNcaztnO2c7Z1trGmM6ZxljW2t7b3tvOWcZYxljWms5Z1prOWdZazlnWWtZZ1lrOGdaa1prOmc6Z1xrG2P6XphSby0tJcoYTCkSQlxrOmc5ZzpnWmt7b1prOWc5Z3pvWmtaa1prWmtaa1prOWdaazlnWms5Z1prOWdaazlnWmtaa3tvWmtaa1prWmtaa1prWmtaa1prWmtaa1prWmtaa1prWms5Z1prWmtaazlnWms5Z1prOWdaazlnWms5Z1prOWdaazlnOWc5Z1prOWc5ZzlnWms5Z1prOWdaazlnOWc5Z1prOWdaazlnOWc5ZzlnOWcAAHtve297b1pre297b3tve297b1pre29aa3tve297b3tve296b3tvWmt7b3pve296b3tvem97b1pre296b3tvWmtaa1prem9aa3tvWmt7b1pre29aa3tvWmt7b1prWmtaa1tvW2t7b1prem9aa1prWmtba9haTS3qIK8111p8b3tvm3N7b1trW2v6YtI9TSmPNVxrfHOcc1pre297b3tve298b1xrO2caZ1xrGmN2UtA5rzWOMW4tbS3QOVRKGWN8b3pre2+cc3pvWmt6a3tvOmd0ThJC2V48Z9M97SDuIC8pFEZ+cxtjLSnKHAwhXmsaYxpn11qVUo4xTCksJesgTi0sJdE9llLZXl1rfW9cazpnnXM7ZxljGWNba3xvfG9aZ1prWmtaa1lrWmtZa1prOWdaa1pre286ZzpnOmdbZzpj+lp3Tk0pLCGoFE0p8j1ca1trW2t8b1prWmtZa1lrOWtaa1prWmtaa1prWmtaazlnWmtaa1prWmtaazlnWmtaa3tvWmt7b1pre29aa3tvWmtaa1prWmtaa3tvWmtaa1prWmtaa1prWmtaa1prWmtaa1prOWdaazlnWmtaa1prWmtaazlnWms5Z1prOWdaazlnWmtaa1prOWdaazlnWms5Z1prWmtaazlnWms5Z1prOWdaawAAWmt7b1pre29aa3tvWmt7b1pre29aa3tvWmt7b1pre29aa3pvWmt6b1prem9aa3tvWmt6b1pre29aa3pvWmt7bzlnWmtaa3pvWmtaa1prem9aa1prWmt6b1prWmtaa1prWmtba1prem9Za1lrWWtaaztr+F6vNekcjjF1UnxvfG9aa3tvW2tca/piFEZNLY4x+V58b5xzem9aa3tvWmt7bzlne297a1prGmM6Z/le2FoTQvE9jjFMKSslbC2vNRFC+F5aa5xvfG85Z1trOmfXWislTSnSPR1nWE7NHO8gDiWxOZ5zHGdOLckYLCVebzxnXGsaYxpn8kHqHJA1Ty2JFAwlTSksJQwhbi00RthWPGcbY1xrXGt8bztnO2c6Z1pnWmd6a1premtaZ1pnOWdaZ1prW2taZ1pnOWdZazhnOWc6Y9laVEbqHAshqBRuLRNCPGt9bztnGWM5Z5tzem84ZzlnWmtaa1prOWdaazlnWms5Z1prOWdaazlnWms5Z1prWmt7b1pre29aa1prWmtaazlnWmtaa1prWmtaa1prWms5Z1prWmtaazlnWmtaa1prOWdaazlnWms5Z1prWmtaazlnWms5ZzlnOWc5ZzlnWms5Z1prOWdaazlnWms5Z1prOWdaazlnWms5ZzlnOWc5ZzlnAAB7b1pre29aa3tvWmt7b3tve29aa3tve297b1pre297b3tvWmt7b1pre29aa3tvem97b1pre296b3tvWmt7b1prWmtaa3pvWmt7b1pre29aa1prWmt7b1pre29aa1prWmtba1tre29aa3pvWWtaa1prW2v5XhNGyBiOMTJGnXN8b3pve297bztrPGdVTrA1bjGWVltrvXd6b5tze296b3tvemt5a3pvWWdaa1pnW2saY1tr+V51TtA5jjFMKUwpTCnwPVNKGmN9b31vnXNba1NKyRgMJXAxulbdXs4cMSnuIJAxO2c8a24t6xwtKV5vPGt9bxpjnnNUSuocsjlXTuwgDSFvLTVGFEJvLSwlbi1NKfI9dU4bY1xrXGcaY1xrfG9aa1lnemtaa3trWmdbazpnW2taZ1prWWd6a1lreWtYZ5xv+Fq3VrdWCyHKGOscDCE1StlafW9ca1prWmt6b1hrWmtaa1prWmtaa1prWmtaa1prOWdaa1prWms5Z1prWmt7b1pre29aa3tvWmt7b1prWmtaa1prWmtaa1prWmtaa1prWmtaa1prWmtaa1prWmtaazlnWms5Z1prWmtaa1prWms5Z1prOWdaazlnWms5Z1prOWdaazlnWms5Z1prWmtaa1prWmtaa1prOWdaazlnWmsAAFpre29aa1prWmt7b1pre297b3tvWmt7b1pre29aa1prWmt7b1prem9aa3tvWmt7b1prem9aa3tvem97b1prWmtaa3pvWmt6b1prem9aa1prWWtaa1prem9aa1prOWdaazprW2taa1prWWtZazlnWms6ZxljVEqoGG0x8T18b3xvWmucc1prO2s8a7hWsDVtLRJCOmecc3pvm3Obc1prm3Oab3hrN2d5a3tvm29aazpn+V46ZzpnO2f4XnROrzVMKSwlbi0TRthaGmOecztn8kGIFC0lLiXUOZtW8CTPHK0YLSnYWhtjbi3KHE4pHGd+b1xrO2dca5ZSyhhPLZpS1D0OJXAxeFL8YjVG0jmxNU4pLSUsJU0p8j24VlxrPGc6YzhjWGc4Z1pnWmdbazpnW2c7Z1prOWdZa1lreWtYa3lrOWNbZzpj2Fa4Vi0liBAtJewg8j3ZXn1vW2s5ZzdnWWtZa1prWmtaa1prWms5Z1prOWdaa1prWmtaa1prWmtaa1prWmtaa1prWmtaa1prWmtaa1prWmtaa1prWmtaa1prWmtaazlnWmtaa1prOWdaa1prWms5Z1prOWdaazlnWmtaa1prOWdaazlnWms5Z1prOWdaazlnWms5Z1prOWdaa1prWms5Z1prOWdaazlnOWc5ZwAAe29aa3tvWmt7b1pre297b5xze297b3tve29aa3tvWmt7b3pve29aa3tvem97b3pve29aa3tvem97b3pve29aa3tvem97b1pre29aa3pvWmtaa1prem9aa3tvWmtaazlnWmtaa1prWWt6a1lrWms5Z1trGWOWUqcUjjHPOX1zfG97b5tzW2s6Z31z2V7xPUwp0DkZY51zWmucc5tvWmuac5pzeW+ab5pvem84ZzlnW2ucb1trOmcZYzpn+F7XWpZS0T1tLW4trzU0ShtnPGcTQgwhcC2SMVEpnFZzMRElzhxPLZdWXWtvMesgLSn6Yn1vfW9ba3xv2FosJQ0l3Fq7WpIxDSEUQj1nXms9Z7lWTi2xNbE1sTVOKS0lTSnSOVRKGWMYYzpnOmdba1trXGtbZ1xrOmdba1lnWWtYZ3lreW9aazpjOmc7Z9lal1KwNYcQDCULIbA5t1Z8b1trWWtZa1prWmtaa1prWmtZa1prOWdaa1prWmtaa1trWmtba1pre29aa1trWmtba1prWmtaa1prWmtaa1pre29aa1prWmtaa1prWmtaa1prWmtaa1prWmtaa1prOWdaazlnWms5Z1prWmtaazlnWmtaa1prOWdaazlnWms5Z1prWmtaa1prWmtaa1prWmtaazlnWms5Z1prAABaa1prWmt7b1pre297b3tve297b3tve29aa3tve297b1prem9aa3pvWmt6b1prem9aa3pvWmt6b1prem9aa3pvWmtaa1prWms5Z1prWmtaa1lrem9aa3pvWWtaa1pre29ZZ1lrWWtaa1lrWmtaa1trGWM7Z3VS6RxtLfA9Gmd8b1tre29aa3tvW2s6Z3ZSTS2wOVVOn3dba3xvm3NYZ7t3em+bc3pve29aa1prWmtaa1tre29aa1trOmc5ZxljOWf4XnVOjjFNKW0t8j13TjVGDSEPJdU5lDGuFHxOrhQQIewcNUY9Z7E56hxNKTpnnXN7a1prOWcZYyslLSl4Uh5nszWSMXAtXmsbY3ZOCyHrHOwc7RwOIXEtkTFwLS0lDCULIW4x8j12UtleXGtcazxr+WJca3xvfG9aZ1prWmt7bzpnWmdaa1trOmc5Z5VSzzmFEEspKyVMKXROXGs7Z1trOmdaazlnOWc5Z3pvem9aazlnWmtaa1trWmtba1prW2s6Z1trOmtbazprW2taa1trWmtaa1prWmtaa1prWmtaazlnWmtaa1prWmtaa1prWmtaa1prOWdaazlnWms5Z1prOWdaa1prWms5Z1prOWdaazlnWms5ZzlnOWc5ZzlnWmtaa1prWmtaazlnWms5ZzlnOWcAAHtvWmt7b3tve297b5xze297b3tve297b3tve297b3tve29aa3tvWmt7b1pre29aa3tvWmt7b1pre29aa3tvWmt6b1prem9aa1prWmtaa1prWmtaa3tvWmtaa1lrWmtaa1prWWt6b1prWmtaa1tvW2s6aztrt1YJIW0t0DkaZ3xvfG97b1prWmt7bzlnt1aOMZA1NEafdzxrfHObb3lrmnObc3tvnHN7b3tvWmt7b1pre29aa3tvWmtaazlnWms5ZxhjGWP4WlRKrzUtJY8tLiXMGHEtOUa1NVMptjXwHBAh7SDTOV5rsTnrIEwpW2ucc5tvemtaaxljbTEsJVdKHWOZUm8pNUK4Vn1r8TnKGE4pTykOIc0czRwvJZIxNkqZVjVKby0MIS0pjzGPMRNCllJcaztnO2c6Z1trW2t8b3tve29aa1trOWc5Z1pnWmv3XpVSZAzoHK85CiGwNX9vXW+dczlnOmd7b5xzOWc4Z1lrWWtZa1prWmt7b1trW29ba1trWmtba1trW2taa1tvW2tba1prW2taa1prWmtaa1pre29aa3tvWmtaa1prWms5Z1prWmtaa1prWms5Z1prWmtaa1prWmtaa1prOWdaa1prWms5Z1prOWdaazlnWmtaa1prWmt7b1prWmtaa1prOWdaawAAWmt7b1pre297b3tve297b3tve297b3tvWmt7b1pre29aa3pvWmt6b1prem9aa3pvWmt6b1prem9aa3pvWmt6b1prWmtaa1prWmtaa1lrWmtZa1prWmtaa1lrWmtZa1prWWt6a1lrWmtaa1trWmtbazpnW2u3WkwpSymvOdhanXN7b5xzWWt7b1prOmvXWtA5LCkTQl1rXGtba5tzWGuac3pve297b3tvWmt7b1pre29aa3tvWmtaa1prWms5Z1prOWd7bzpnGWNUStA1TSmpFKoUcS04RvY9cy1zLa4UECHMGC8p/GKyNaoYTSkaZ3xve2+bczlnOWfQOSwl0z0dY/xesTXzOZdOf29vLcoYFELaWnhOkjUOJasY7CBwLfRBuVb7XphS0j0tKU0pLCksJW4trzUSQrZW+V46ZzpnW2saY1trXGt8b1trW2s6Zzpn+F63ViwlqBhOLS0lDSF3UvpiW2t7b1prOWd7b3pvem9ZZ1lrWWtaa1lrWmtZa1prOmtbazpnW2taa1trWmtaa1prWmtaa1prWmtaa1prWmtaa3tvWmtaa1prWms5Z1prWmtaazlnWms5Z1prOWdaazlnWms5Z1prOWdaazlnWms5Z1prOWc5ZzlnWms5Z1prOWdaazlnWms5Z1prOWc5ZzlnAAB7b3tve297b3tve2+cc3tvnHN7b3tve297b3tve29aa3tvem97b1pre296b3tvWmt7b1pre29aa3tvWmt7b1pre29aa3tvem97b1prem9aa3pvWmt7b1pre29aa3tvemt6b1prem9aa3tvWmt7b1trW2tba/lerjUrJY4xl1Z9c5xznHN6b3pve29aaxljE0YLJdE5HGdca3xvm3N6b3pve297b3tve297b3tve297b3tve297b1pre29aa1prWmt7b1prGWM6Zztn2FpVSi0lDSEuJRZCWUpSKbU1rhjvIO4gzBz9XrM5yhgtKTxnfG97b5tzWms5Z1RKCyGRNRxjHGOYUm8puVZeZ04pDSF3Tn5rHGO5VhRCkDUNJQ0h7CCyORRCuVocZ/peNEbROdE5bi1NLW0tbS2OMa41EUJ0ThpnO2dca1xrfG87ZztnXGs8a/pe2VrSOcsc7BxQLewgE0LZXn1vO2c6Z3tvnHNaa1prWWtZa1lremtZa1prWWtaa1prWmtaa1prWmtba1prW2taa1prWmtaa1prWmtaa1prWmtaa1prWmtaa1prWmtaa1prWms5Z1prOWdaazlnWmtaa1prOWdaazlnWmtaa1prOWdaazlnWms5Z1prOWc5ZzlnWms5Z1prWmtaazlnWmsAAFpre297b3tve297b3tve297b3tve297b1pre29aa3tvWmt6b1pre29aa3pvWmt7b1prem9aa3pvWmt6b1prem9aa3tvem97b3pve29aa3pvWmtaa1prem9aa3tvWmt6b1lrem9aa3pvWmtaa1prW2s6azpr+WIRQukcbS00Sp1ze2+cc1pre29aa1trGmd2UusgjzW4Vn1vW2ubc3pvmm9aa3tvWmt7b1pre297b3tvWmt7b1pre29aa3tvWmt7b1pre286Z3tvO2caY9laNUYtJQ0l0zUeY7Q1tDVyLc4cDyXNHHpS9UGqGE4pPGd9b1prnHM5ZzpnllIsJU4t+15cazxnby13TplScS3sHHdOG2M7ZztnGmO4VlVK0jmRMQwlDCFOLTVK2l4bY/piG2N2UlVK8T2vNUwpKyUqJUwpCiGOMfE9dlLZWrhal1L7YhxjXmt/c9xeUC3MHO4gDiUtJbE1dk48a11vW2sZYzlnWWtZa1lrWWtYa1lrWGtZa1lnWmtZa1prWWtaa1prWmtaa1prWmtaa1prWmtaa1prOWdaa1prWmtaa1prWmtaazlnWms5Z1prOWc5ZzlnWms5Z1prOWdaazlnOWc5Z1prOWdaazlnOWc5ZzlnOWdaaxhjWms5Z1prOWdaa1prWms5ZwAAe297b3tve297b3tve297b3tve297b3tve29aa3tve297b3pve296b3tvem97b3pve29aa3tvWmt7b1pre29aa3tve297b3tve296b3tvem9aa1prWmtaa3pvWmt7b1prem9aa3pvWmtaa1prWmtaa1trOWc6Z1RK6RxMLRJCfW98c5xze297b3tvW2tca7dWTSluLVVOXW98b3tvm3N6b3pvWmt7b3tve297b3tve297b3tve297b3tvWmt7b1prWmt6b3tve29baxpjO2e3Uk0pLSWyNT9nu1YvJThGixAxKc4c9kH2QasYLik8Z1xre297b1prOmf5XiwlTim4Vp5z+Fp2SrI1N0bUOe0cd059b3xvnHN6a1tr+l65VldOFEbyPW8xDCWQNZdSPGc8ZzxnG2P6Xtha2Fp1ThJCjzFtLW0tbi2PMbA1CyGpGAwlNkqZUh5nP2u7WtU9MSmrFO0g7CBwMRRG+l48a31vW2t7b1premtZa1lrWGt5a1lrWmtZa1prWWtaa1prem9aa1prWmtaa1prWmtaa1trWmt7b1pre29aa1prWmtaazlnWms5Z1prOWdaazlnWms5Z1prOWdaa1prWms5Z1prWmtaazlnWms5ZzlnOWdaazlnOWc5Z1prOWdaa1prWms5Z1prAABaa3tvWmt7b1pre29aa3tvWmt7b1pre29aa3tvWmt7b1pre29aa3tvWmt7b1pre29aa3pvWmt6b1prem9aa3pvem97b1prem9aa3pvWmt6b1prWms5Z1prWmt7b1prWmtaa3pvWmtaa1lrWms5Z1prW2s6ZxpnllboHG0t0Dl9b3tvnHN6b5xzem9ba1tr2F6OMU0p0Tlca1tre296b3pvWmt7b1pre29aa3tvWmt7b1pre29aa3tvWmt7b1prWmtZa3prOGdaa1pnW2tba9hajzEsIW8t+14dY7M10zmsGBAlECUxKfdBahAuJfpeXGt7a5tvWWdaaxljTCktJVVKfGv4WvpesTX2QfZB7RxWSnxve29Za1hrOWdbaxxnHGf7YlVKsDWPMU0pTSnRPdlaXW+ec11rO2cbYzxn+mLYWnVONEqOMW0tbi0LJS0lNUrsHHAtszk3SrtavFq1Oc4c7iDuJM0cDSWxNZhWO2d9b1trW2taa1lrWWdZa1lnWWtZa1lrWWdZa1lrWmtZa1prWWtaa1prWmtaa1prWmtaa1pre29aa1prWmtaazlnWms5Z1prOWc5ZzlnOWc5ZzlnOWdaazlnWms5ZzlnOWdaazlnWms5ZzlnOWc5ZzlnWms5Z1prWmtaazlnWmtaa1prOWcAAHtvWmt7b1pre297b3tve297b1pre29aa3tve297b3tve296b3tvem97b3pve296b3tvWmt7b1pre29aa3tvWmt7b3pvem9aa3pvWmt6b1pre29aa1prWmt7b3tve296b3tvWmtaa1prWmtZa1prOWd7bxlnW2u3WukgbS3ROV1vfG+bc3tvm3N7b1prfG/4XtA5LCWPNTxrfG97b3pvWWt7b3tve297b3tve297b3tve297b3tvWmt7b1pre29aa1prem96b1prWms6Z3xv+WJVSgshbi13Th1j+14uJS8lUi0yLfAgGEarGC8pHGd9b51ze296a1pnOmdMKS0pE0J7a3trPGdWSjhK1T0OIdI5fG96b5lveGtZa1trXWscZ35vG2eXVtE9jjFNLW4tbi1USvpefnNdazxrXGtdbztnO2c6Z/le2Fq4VtE5bzE1RrE5DSUOJS8pMClxMbQ5cjFSLe4gziAPJS8pTykURvpifW9ca1trWmtaa1lrWmtZa1prWWtaa1lremtaa3prWWtaa1prWmtaa1trWmtba1prWmtaa1prWmtaa1prWmtaa1prOWdaazlnWms5Z1prOWdaazlnWms5Z1prOWdaazlnWms5ZzlnOWc5ZzlnWms5Z1prWmtaa1prWmtaa1prOWdaawAAWmt7b1pre29aa3tvWmt7b1pre29aa3tvWmt7b3tve29aa3tvWmt7b1prem9aa1prWmt6b1prem9aa1prWmt7b1prem9aa3pvWmtaa1prWmtaa1prWWtaa1pre296b3tvWmt7b1prWms5Z1lnOWdZazpnWmsZY9he6SBMKdE5O2d8b3tve2+bc3tve286ZxpnVU4KIW4xdU47Z957WWt6b1pre29aa3tvWmt7b1pre29aa3tvWmt7b1pre29aa3pvWWt6b1lrem9aa1trOmc6Z9daTCksJbA1PWccY1ZKyxgQJTIpUzH3QWoQUC0cY31vfG9aa5xzW2sZY9E5TSmwNVpnems7YxxjOEqTMXEtLSUYX3pvunNXZ5pzWms7Z11r+l47ZztnG2OXUhJCbi0rJU0pjzUzRvpeXWtdazxnXGs7Z1trOmcaYxpj+l4TQiwlkDHTPbE1sjkNJQ0lqxjtIBAlzxxsFJQ1szmSNS4pTilVStleO2tbazpnW2tbb3xvOGdaa3pvm29Za1lrOWdaa1prWmtaa1prOWdaa1pre285Z1prWmtaazlnWmtaa1prWmtaa1prWms5Z1prOWdaazlnWmtaa1prOWdaazlnWms5ZzlnOWdaazlnOWc5ZzlnOWdaazlnWms5Z1prOWdaazlnAAB7b3tve297b3tve297b3tve29aa3tve297b3tve297b3tvWmt7b3tve296b3tvem97b1pre29aa3pvWmt7b3pve29aa3tvWmt6b1prem9aa3pvWmt6b1pre296b3tvem97b1pre29aa1prWWtaa1lrWmtaazpn+F5MLQsh0T35Xnxze297b3tvm3N6b1trOme3VuogjzUSQnxvnHN7b3pve297b3tve297b3tve297b3tve297b3tve29aa3tvWmt6b1lrem9ab3tvWmtbazpn+V7xPQsh0DX6XjxnuVYuKc4cdDEyKXQ17iAOJTxnfW+dc1prvXdbaxpj8kEsJY4xe2tZZ51vPWe6VvU9UC0tKZVSem94b3hvem85a31vPGuedztn+V4aY1xrGmN1Tq81jjEsJSwprzVVTtlaXWuec1tre2+dc1trW2saY5dS0T2QMbE1uVpWSjVGby2QMYoU7yQyKRAl7yTuIFAt0z3SOakYjzXYWlxrfW87ZztnOmedc1prOGcYYzlnWmt7b3tve29aa1prWmtaa1pre29aa1prWmtaa1prWmtaa1prWmtaa1prWmtaa1prOWdaazlnWmtaa1prWmtaazlnWms5Z1prOWdaa1prWms5Z1prOWdaazlnWmtaa1prWmtaa1prWmsAAFpre29aa3tvWmt7b1pre29aa3tvWmt7b1pre29aa3tvWmt6b1pre296b3tvem97b1prem9aa3pvWmt6b1prem9aa3pvWmtaa1prWmtaa1prWmtaa1prem96b3tvWmtaa1prW2taa3pvWmt6b1lrWmtaa3tvGWMZY681yRywObdWW2t7b3prem96b3tvWms6Z9haCyVuLbA1XG9bb3tvem9aa3tvWmt7b3tve29aa3tve297b3tve297b3tvWmt6b1lrWW9Za1pvWmt7bzpnOmsZY9da6RzQNXZOXWv6XvM9axCVNe8gECUvKQ0hG2N+b3xve2+cc3trGmN2Tuscbi0YX1lnnnM9Z/xieFIuKU0pzzl6bzdnmnM4Z1lrnHM7a3xvW2sZYzpnXGtca/hetlbxPa81TCkLJQohbjFVSjtnfG+cb1trXGt8b31v+l6WUgwlLSk1Rj1r2lrZWndOsjnuIO8grRwPJXExUC1PLQ0lsDUtKQoh0DnZWp5zfW87axljOmtba3xvWmtaazpnW2taa1trOWdaazlnWmtZa1prWmtaazlnWmtaa1prOWdaa1prWms5Z1prOWdaazlnOWdaa1prWmtaazlnWms5ZzlnOWc5ZzlnOWc5ZzlnOWc5ZzlnOWc5Z1prWmtaa1prWms5ZwAAe297b3tve297b3tve297b3tve297b3tve297b3tve297b3pve297b5tze297b3tve296b3tvWmt7b3pve29aa3tvem97b1pre29aa3pvWmt6b1prem96b3tve297b1prW2tba3tvem97b3prem9Za3pvWms5ZxljM0qnFLA1VEp8b3tvm3N6b3tvem97bzpnGmNMKUwpbjE7a1trnHNaa3tve297b3tve297b3tvWmucc3tve297b3tvWmt7b1prem9Za1prWWt7b1prW2s6azpnGWNtLW0tM0ZdazxnmFLNHDItESXOHDApDSEcZ31vfG97a5xzW2tba/leLCVuLZVSWmedcztnXm/aXrE5CyVtLfheem+bczhnWmuddzprOmdba5xze2s6ZxljOmc7Z1trllLQOU0tbS1NLW4tbS2VUvhenXOdc31vO2c8Zxtn8j0sJU0p+l48Z11r2Vq5VnhOkjXsIMscsTVvMbE5TSlNLU0tbjFNLU0pjzGWUn1vfW9baztrOmdba1trW2s6a1tvWmtaa1prWmtaa1prWmtaa1prWmtaa1prWmtaa1prWmtaa1prWmtaa1prWms5Z1prWmtaa1prWms5Z1prOWdaazlnWms5Z1prOWc5ZzlnWms5Z1prWmtaa1prWmtaa1prAABaa3tvWmt7b1pre29aa3tvWmt7b1pre29aa3tvWmt7b3pve297b3tvem97b1pre29aa3pvWmt7b1pre29aa3pvWmt6b1prem9aa1prWmt6b1lrWmtaa3tvem97b1prWmtaa1trW2t7b1prWmtZa1lrWWtaaxljGmd1TqgYbi3yPTpne2+bb5tvWWt6b1prW2v4Xq816hyPMbdWfXNba3tve297b3tve297b3tvWmt7b1pre29aa3tvWmtaa1prWmtZa1lvWWtab1prWm9aa1trOmcZYxJCKynQOTxrGmP7YlEtzhxRLe4g7SAuKRtjXG9ba3tve297bztnG2dOLU0p8D2cb1trO2d9bxtnVU4KIUwpVEqdd3tvOWt7c3pvWmtaa3tve297b1prWms6Zzpn+F46Zxpjt1bxPW0tKyVNLUwtzzlTSvleXGuec11rPGfZWpA16yCPMV1rXWs7Zzxn+2L7YlZOjzHQOTNGt1p1TvE9rzVMKSwpCyELJU0tsDmWUvleXGt9bztrOmc6Z1tvWmtba1prWms5Z1prWWtaazlnWmtaa1prOWdaa1prWms5Z1prOWdaazlnWms5Z1prOWdaa1prWms5Z1prOWc5ZzlnOWc5ZzlnOWc5ZzlnOWc5Z1prOWdaazlnWms5Z1prOWcAAHtve297b3tve297b3tve297b3tve297b3tve297b3tve297b5tze297b3pve29aa3tvWmt7b3tve296b3tvWmt7b1pre296b3tvWmt7b1prem9aa3tvem97b3pve29aa3tvW2t7b3pvem9Za1lrWWt6b1lrOmcaY7daCyFNKY81Omd7b5xze296b3pve29aa/liM0bqHI4xVEqdc1trfG97b3tvnHN7b3tve297b3tve29aa3tvWmt7b1pre29aa3pvWWtab1lrem9aa1tvWmtba/he11orJa81+V47YzxnN0qMFHIxDyXMHE8tPGdca5xve297b1prXGsbY/M9LCXPNZ1zW2tba31vO2caY0wpTS2vNZ5zO2t8b5tzeW9Za3tvemt7b3pre29ba1trOmdbaxpjGmMaYxpjt1YTRo4xTCkKIQshjzWXUhxjXm89axxjmFZvLQwhuVqfc35zXWsaY1trW2sZYxlj+F5aa/he+F6WVlRO8T2OMSslCyHqICwl0Tm4WjtnXW87a1xrW2tba1prW2taa1prWWt6a1lrWmtaa1prWmtaa1prWmtaa1prWmtaa1prWms5Z1prWmtaa1prWmtaa1prOWdaazlnWms5Z1prOWdaazlnWms5Z1prWmtaa1prWms5Z1prOWdaawAAWmt7b1pre29aa3tvWmt7b3tve29aa3tvWmt7b1pre29aa3tvWmt7b3pve29aa3pvWmt7b1pre297b3tvWmtaa1pre29aa3pvWmt6b1prem9aa3pvWmtaa1pre29aa1prW2t7b1prem9aa3pvWWt6b1prWmsZZxpnt1puMQshbjH4Xlpre296b1lrem9aa1trGWOXVuocbS3xPX1vOmt8b3tve297b3tve297b1pre29aa3tvWmtaa1pre29aa3pvWm96b1lrWmtaa1pvOmtaazpnOmf4Xo0xbS2WUjtnPWuaVu4g7iAvKewcTy07Z3xvnHOcc1pre2tcaxtjd04tKY4xOmdba3trWmdaaztnEkILJU4tuFpdb1tvnHNYa3lvWGt6a3prem9ZZ1prOmdbaxljW2tca1xrGmP5XrdWt1awNZA1bi1OKS0pkTVWSh1julo+a/RBbzGQMRxnG2M7Z3tvWWvWWnpvem9Za1lnemsXYxlj+GLYXnVSEkJNLeocbi0tKQshjzFVThtnW2tbazprW2s6a1prWmtaa1lrWWtZa1prOWdaa1prWms5Z1prOWdaazlnWms5Z1prOWdaazlnWms5Z1prWmtaazlnWmtaa1prOWc5ZzlnWms5Z1prOWdaazlnWmtaa1prOWdaazlnAAB7b3tve297b3tve297b3tve297b3tve297b3tve29aa3pvWmt7b1pre296b3tvem97b3pve297b5tze297b1pre296b3tvWmt7b1pre29aa3tvWmt6b1pre296b3tvWmt8b1tre29aa3tvem+bb3pvm29Za1prGmPYXtA5CyFuLdhaOWd7b3pvem96b3tvWms6Z9haLCUsJdA5W2tba3xvnHN7b5xze2+cc3tve29aa3tvWmt7b1pre297b3tvem97c3pvWm9aa1pvWmtaazlrWmtbaxhfzzlsLVNKfG9ca9taMCnMGC4lLiUuKTxrfG+9d5xze297b51zGmMcZ04tbi2XVn1ve285Z1pne2+3VuogLSkURn5vfG97b3lveW+bc3prWmtZa3pvemt7b1prnG9bazpnGmNba1trO2f5YhpjVUqwNU4tjzFvLU8tLinSOTVGVk4tKW4tNEZ+b31zem+bczhneW9Za5tzm284Z1prWmtbaxlnOmcZY7dWM0YsJU0tbjFNKU0pjzWWUlxrXGtba1trW2tbb1prWmtaa1prWmtaa1prWmtaa1prWmtaa1prWms6Z1prWmtaa1prWms5Z1prWmtaa1prWmtaa3tvWmtaazlnWms5Z1prWmtaazlnWmtaa1prWmtaa1prWmsAAFpre29aa3tvWmt7b1pre29aa3pvWmt7b1prem9aa3tve297b1pre29aa3tvem97b1pre296b3tvWmt7b1prem9aa3tvWmt6b1prWmtaa3pvWmt6b1pre29aa3pvWmtaa1trW2taa3tvWmt6b3pvem85Z3pvOmc6Z9le8kGHEI81dVK3WpxznHNZZ5tzWWt7b1tr+F6OMekcrzUZX3xrfG9ba3tve297b1pre29aa3tvWmt7b1pre297b3tvWmt7b1prWmtaa1prWWtaa1lrWmtZazlnOWcxRowxrjX4Xnxv+l5WTokU7CDsIC4pG2Oec3xvfG97b3tvOmc6Z9heVUpPLTZKXW+dcxhjvHf3XjpnbjHrHJE1PWsaZ5xzmnNZa1lrWms5Z1lrOWdaa1pre29aa1prOmdaazpnWms5ZzpnGmcaZ9hadU7QOW4xTClNKSwpLCULIQwlCyFvMVZOXW+cc1lrem+cc1lnWmt7a1trW2tba1pnWmc5YzlnGGM5Z/heM0ZtMUwpCyULJW0t8kG4WjtnXGs7aztnfG9bazpnOWdaa1pre285ZzlnOmd7b1prWms5ZzpnOmdaa1prW2s5Z1prOWdaazlnWmtaa1prOWdaazlnWms5ZzlnOWc5ZzlnWmtaa1prWmtaazlnOWc5ZwAAe296b3tvem97b3pve296b3tvWmt7b3pve29aa3tvem97b1prem9aa3tvem97b1pre296b3tve297b3pve29aa3tvWmt7b1prem9aa3tvWmt6b1pre296b3tvWmt6b1prfG9ba3tvW2t7b3pve296b1lrWmtbazpnGmMTRqkYjzFUSthenXd8b3pvem96a1pre2v5XvE96RyvMZZSfGt8b3xve297b3tve297b3tve297b3tve297b5xze297b1prW2taa1prWmtaa1lremtZa1prOGdZa1JKCCFsLVJKW2s7Z5dWCyHKGAwhDCX6Xl1vfXN8b5xze29ba1prGWN2UpEx1D1ea1xrWmubb1lnOmcTQusckDHaXn1vW2ubc1lrem9aa1prOWdaa1pre29aa3tvWmtaa1prWmtaa1prOmdaaxlnOmcZYxljt1YzRq85jjEsKQslCyHqIOsg0TmWUnxvWmubc3tve298b5xvWmd7b1trW2taa1prOWdZazlnWmv4YthelVLxPSwpCyUsJU0tNEYbZ11vXGs7a1xrW2tbb1prW2taa1prOWdaazpnW2s6Z1prOmdaa1prW2taa1prOWdaa1prWmtaa1prWmtaa1prWmtaa1prOWdaazlnWms5Z1prWmtaa1prWms5Z1prAAB6b3tvWmt7b3pve29aa3tvWmt7b1pre29aa3tvWmt7b1prWmtZa1prWmt7b1prWmtaa3tvWmt7b3pve29aa3pvWmt7b1prWmtaa3pvWmt6b1pre29aa3tvWmt6b1prWmtba3tvWmtaa1pre29aa3pvWWd6bzpnO2saY1VOyRyPNdA9GmN8b3tvem96b1prWmtbaxpjNEbqHG0pEkI6Y51ze297b3tve297b3tvWmt7b3tve297b3tve297b1prWmtaa1trWmtaa1lrWmtZa1lrOWc4ZzlnlFKFFCopbC1bazxr+mJuLYgU6yAMJbhaXGt8b3xve297b1pre286Z7haszmSNftiXGt7b3pvWmtaZ5dSLSktKVVKfW9aa3lreWt6a1prOWdaa1pre29aa3tvWmtaa1prWmtaa3tvWmtaazpnW2tba3xvW2s6Z/he2Fp1UjNG8T3RPW4xLCksKY81GWN8b3xvW2t7a51ze2taa1prW2taa1prWmtaa1prWmtaa1trOmtba/ledU6vNU0pCyEsJW4tM0b5Xn1zXG87a1trWms6Z1prOmt7b3tve29aa1prOWc6ZzpnWms6a1prOWdaazlnWms5Z1prOWdaazlnWms5Z1prOWdaazlnOWc5Z1prOWdaa1prWms5ZzlnOWcAAHtve297b3pve297b3tvem97b3pve296b3tvem97b3pvem9aa1prWmt7b3tve29aa3pvWmt7b3pve297b3tvem97b1pre29aa3tvWmt7b1pre296b3tvWmt7b1pre29aa3xvW2t7b1pre296b3pvWWt6b1prW2s6Zztnl1YsKY81jzUaZ3tvWmubc1lre29aa3xvGmO3UgohTCmvNTpjnW98b3tve297b3tve297b3tvnHN7b3tve297b3tve29aa3tvWmtaa1prem9aa1prWWs5ZzlnOmfWWgkh6BxsLTpnXW87Z/NBZxAMJS0l2Vpdb51zW297b3pve297b1tr+V4VRlAtuVZcb5xzWmt6bzlnGmOxNS0lsTUbZ1trem9Za3tvWmtaa1pre297b3tve297b1pre29aa3tve297b1pre29ba1trOmc6ZzpnW2tca1xrO2caY9leuFYzRo81KyWWUlxrnnNba3xvfG97b1tre29aa3trWmt7b1pre29ba1trOmc6ZzprfW9ca/ledU7QOW4xbS1MKY4x8T3YWn1zW2tba3tvOms6azpnW2taa3tvWmtaazlnWmtaa1prWmtaa1prWms5Z1prWmtaa1prWmtaa1prOWdaazlnWms5Z1prWmtaa1prWmtaa1prOWdaawAAem97b3pve296b3tvem97b1pre296b3tvWmt7b3pve29aa1prWmt7b3pve296b3tvWmtaa1pre29aa3tvWmt7b1prem9aa3pvWmt6b1pre29aa3tvWmt7b1prem9aa3tvW2t7b1tre29aa3pvWWtaa1prWms6ZzpnGmPYXm4tsDWOMRpnW2taa3pvWWt6a3tve2s6Z7hWTCkrJY4xGV+db3tve297b3tve297b3tve29aa3tvWmt7b3tve297b3tvWmtaa1prWmtZa1prWWtaazlne28ZYxljzzmnGG4x2Fo8azxrVUqIFOscLSmXUlxvfG97b1pre29aa1tvW2sbYzZGUC0TQn1ve2ubb1lnOmcaY1ZOLSVuLVVKfG96a3prWmtaa1prWmtaa3tvWmt7b1pre29aa3tvWmt7b3tve297b1prGGM6a3tvnHNaaxljGmdca1trO2cbZxpjM0ZNKY8xuFpda31vfG97b1pre29aa3prWmt6a1prW2taa1trWmt8b3tvW2s6Z1trO2tba/lillLwPY0xKiUrKa41Mkb4XltrnXOdc1trWms6Z1prWmtaazlnWms5Z1prWWtaazlnWms5Z1prOWdaazlnWms5Z1prOWdaazlnWms5Z1prOWdaazlnWms5Z1prOWdaazlnAAB7b3tve297b3tve297b3tve296b3tve297b3pve297b3tvem97b3tvnHN7b5tze296b1pre296b3tvWmt7b1pre29aa3tvWmt6b1pre296b3tvem97b3pve29aa3tve298b1tre29aa3tvWmt6b1lre29aa1trOmc7Z/lejzVuMa85+F58b3pvem9Za3pvemt8bzpn+V6PMUwlji0ZX3xvfG97b5xze297b3tve297b3tvWmt7b3tve297b3tve297b1pre29aa3pvWWtaa1prWmt7bzpnGWOWUqcUjzU0RlxvO2e4VsocyhwtKVVOG2edc1tre296b1prW2tbbxpjV05wLbA1O2d7b5xze2tbaztn2VqQNS0lsDk7Z3xvWmt7b1pre29aa3tve297b1pre29aa3tvWmt7b3tve297b3tvWmtaa1pre297b3tvOmc6Z1trW2sZYztrW2vXWtE9LSXzQfpefm++d3xve2t7b3tvemt7b1prW2taa1trW2t7b3tve29ba3tvW2tbbztn+WI6Z3xv+F4RQkspSylsLa41EkK2VvheW2t8b5xzW2t7b1prWmtZa1prWWtaa1lrWmtaa1prWmtaazlnWmtaa1prOWdaazlnWms5Z1prOWdaa1prWmtaa1prOWdaa1prWmsAAHtve296b3tve297b3pve296b3tvWmt7b3pve29aa3tvem97b3pve297b5tzem97b1prem9aa3pvWmt6b1prWmtaa3pvWmtaa1prem9aa3tve297b1prem9aa3tvWmt7b3tve29aa1prWmtaa1lrWWtaa1prWmtbazpnGmNtLQolbTF0Tjpre29Za3pvWWt7b1trXGv6XvI9KyGOMdhWfGt7b3tve297b3tve297b3tve297b1pre29aa3tvWmt7b1pre29aa1prWmtaa1prWmtba3tvOmcaY7haCyFNLfJBXGs7a9haTS2oGG4tM0YaY3xve29aa3tvWmt7b1trO2eYVpExTi23Vnxve29aa3tvO2cbYxNCLCVNKbdWfG97b1prWmtaa1prWmt7b1prWmtaa1prWmtaa1pre29aa1prOWd6b1prWmsYYzlnWmucc3tvfG9aazpnOmdba/hel1ZvMZExFUY8Z35vfG9aa3tvemt6b1premtaa1trW2tba1prWWs4Z3tvnHOcc1trOmdbazpnGWM6Zzpn914RQo0xCiErJUspzzmVUltrW2s6Z1prWms5Z1prWWtaa1lnWWtZa1prOWdaazlnWms5Z1prOWdaazlnWms5Z1prOWdaazlnWms5Z1prOWdaazlnWms5ZwAAm3N7b3tve2+bc3tve297b3tve297b3pve297b3tvem97b3tve297b5xze297b1pre296b3tvWmt7b1prem9aa3tvWmt6b1pre29aa3tvem+bc3tve29aa3tvem97b3tvnHN7b3tvWmt7b1prWms5Z3tvWmt7b1trW2sZY2wtxxhMKc85OWdaa1lrm3N6a3tvfGt8azxnNEYsJY4x2FZca5xze297b3tve297b3tve2+cc3tve29aa3tve297b1pre296b3tvWmt6b1prWmtaa3xvOmdcbxpj2V5OLU0p8kF9bzpnGmOvNckcjzFUShpnnXNaa3tve297b3tvfG87Z/tisTVuLVRKnXNaZ3tve2tcaxpjl1IsJU0pNEZ9b3xve29aa1prWmt7b3tve29aa3tvWmtaa1pre29aa3tvWmt7b1prWmtaa3tve29aazpne29aa1trW2tbazlnOmc7ZzZKcC2xOblaXWtca3xvem97b3pre29aa3tvW2t8b1xre296b5tze297bzlnWmt7b3tvW2taazlnOmcZZxlj+F51UvE9bTGOMZVSW2+dczlne29aa1prWWt6b1lrWWs5Z1prWmtaa1prWmtaa1prOWdaazlnWms5Z1prWmtaazlnWmtaa1prOWdaa1prWmtaa1prAABaa3tvWmt7b1pre296b3tvWmt7b3pve29aa3tvWmt7b1pre296b3tve297b3pve29aa3tvWmt7b1pre296b3tvOWdaa1pre29aa3tvWmt6b1prem9aa3pvWmt6b1pre297b3xve297b1prWmtZa1prWmtaazpnW2s6Z7ZarjXHGColU0paa5tzWWt6b3pve298b3xr+V6XUiwlji3xPZ1ve297b3tve297b3tve297b3tve29aa1prWmt7b1pre29aa3pvWmtaa1lrWmtaa3tvOmdbaztnO2f5XtE56hzxPbdWnXM7ZxJG6RwrJZZSfXN7b3tvem97b1pre29ba1xvG2PzQQshEUKdc1prWmt7bzpnGmPYWrA5CyWwNTxrnnNba3tvWmt7b1prWmtaa3tvWmt7b1pre29aa3tvWmt7b1lrWmtaa3prWWtaa1pre29aa1prWmtaa1prW2s6ZztnHGP0PS4psDXZXlxrfG9aa1prWmtaa3tvW2tba1trfG9aa3pvem96b1lrWms5Z1prWmt7b1prW2s6ZzpnOWc6Zxlj+WL4XhpjOmdba1prWmtaa1prWWtaa1lnWWtZa1prWWtaazlnWms5Z1prOWdaazlnWms5Z1prOWdaazlnWms5Z1prOWdaazlnWms5Z1prOWcAAHtve297b3tve296b3tve297b3pve297b3tvem97b3pve296b3tve297b3tve296b3tvem97b3pve296b3tve297b1pre296b3tvWmt7b1pre29aa3tvWmt7b1pre297b3xve298b3tve29aa3pvWmtaa1prWmtaa1trGWO2VjJGtlY6Z713m3N5a1lrem9aa51vXGsaY5dSTSluLRI+fW+cb3tvnHN7b5xze2+cc3tvnHN7b3tvWmt7b1pre29aa3tvWmt6b1prWmtaa3tvWmt8b1trW2s7Zxpj0T0LIdA5+F58bzpnEkIsKU0tt1Z8b3xve297b3pve29aa3tvXGs8Z1ZOLCltLfheW2udc1prfG87Zxpj0T1NKY8x+2J+c3xvWmt7b1pre29aa3tvWmt7b1pre297b3tvWmt7b1prWmtaa3pvWmtaa1prem9aa3tvWmtaa1pre29aa1prOmf7XrpasjmPMa81GmN8b3tve2t7b3xvWmt7a3tvfG9aa3tvem+bb3pvem9Za1prWWt6b1pre29aa3tvWmtbazprO2caZzpnOmdba1trW2taa1trWmtaa1lrWmtZa3prWWtaa1prWms5Z1prOWdaa1prWms5Z1prWmtaazlnWmtaa1prOWdaa1prWms5Z1prOWdaawAAe2+bc3tve296b3tvem97b1pre29aa3tvem97b1pre29aa3tvWmt7b3pve29aa3tvem97b1prem9aa3tvWmt7b3pve29aa3pvWmtaa1prWmtaa3pvWmt6b1pre29aa3tvW2t7b1pre29aa3tvWmt7b1pre29aazpnOWc6ZxljOWd7b5xze296b1hreWtZa3tvfGt8a/peuFZNKW4t0Tl9b3tve297b3tve297b3tve297b3tvWmtaa1pre29aa1prWmtaa1lrWmtZa1prWWtaa1prW2s6ZztnGmMSQuogjjHWWnxvW2vYXlROllI7a513e297b1prem9aa1prWmtbaztnuFpMKSslU0p8b5xvWmtba3xv+V7yQU0pTilWSn5vW2t7b1pre29aa3tvWmtaa1prWmtaa3tvWmt7b1prWmtZa1prWmtaa1lrWmtaa1prWmtaa1prWmtaa1prOWc6axpjHGe5WiwlTSnxPTtnfG9ba3tvW2t7a1tre29ba1trWmt7b1pre29Za1prWWdZa1lrem9aa3tvW2t7b1trW29ba1trO2dbazpnW2s6Z1prWmtaazlnWWtZa1prWWtaa1lrWms5Z1prOWdaazlnWms5Z1prOWdaazlnWms5Z1prOWdaazlnWms5Z1prOWdaazlnAACcc3tve297b3tve297b3pve297b3tve297b3tve296b3tvem97b3pve297b3tvem97b3tve29aa3tvem97b3pve297b3tvWmt6b1pre29aa3tvWmt7b1pre296b3tvem97b3tve29aa3tvWmt7b1pre297b3tvWms5ZxhjOWc5Z3xvWmtaa1lrem95a3pve298b1xrO2PZWo4tbi3ROVxrnHN7b3tve2+cc3tve297b5xze297b1pre29aa3tvWmt7b1prWmtaa1prWWtaa1lrWms6Z1trOmtba1RKTC1tMddaWmtbazpnGmcaY31ze297b3pvem9aa3pvWmtbaztrXGvYWm4tbC1TSntve29aa3tre286ZzNGsDUtJfQ9f3N8b3tve29aa3tvWmt7b1prWmtaa3tvWmt7b1prWmtaa1prWmt7b1prWmtaa1prWmt7b1pre29aa3tvWmtaazprXGs8a9leVEptLW4xVEpca51zO2dba3xvnHM6Z1pre297b3tve29aa3pvWmt6a1lrem9aa3tvW2t8b3tvfG9ba3xvW2t8b1trW2s6a1trWmtba1prWmtZa1prWmtaa1prWmtaa1prWmtaa1prWmtaa1prWmtaa1prWmtaa1prWmtaa1prWms5Z1prWmtaazlnWmsAAHpve296b3tvWmt6b1pre29aa3tvem97b3pve296b3tvWmt7b1pre29aa3tvWmt7b3pve296b3tvWmt6b1pre29aa3pvWmt6b1prem96b3tvWmt6b1prem9aa3pvWmt7b3tve297b3tvWmtaa1prW2taa1prWmt7b1prWmtaa3tvW29ba1prem95b3lvWWt7b1trXGsbY/pebi1uLbA1fWt7b3tve297b3tve297b3tve297b1prWmtaa1prWmtaa1prWmtaa1prWWtZa1lrWWtaa1prWmtba1tr2F4SRlNKOWd7bzlnOmcZYxpnXGtba1prem9Za3pvWWtaazprW2s7Z/lejjVMKfA9W2tba3tvWmt7bzpnllLROW8tsjmfd1xre29aa3tvWmtaa1pre29aa1prWmtaa1prWmtaa1prWmtaa1prWmtaa1prWmt7b1prWmtaa3tvWmtaa1prWmtbazpn+F4aZxJCbS1tLXVOO2dca3xvfG9aa1prWmt6b1tre29aa3tvWmt6b1lrWmtZa3prWmt7b1trW2tba1xrWmtba1trW2s6Z1prOmtbazpnWms6Z1prOWdaa1prWmtaa1prWmtaazlnWms5Z1prOWdaa1prWms5Z1prWmtaazlnWms5Z1prOWdaazlnWms5ZwAAe296b3tvem97b3pve297b3tve2+bc3tve297b3tve297b3pve29aa3tvWmt7b3tve297b3tvem97b1pre296b3tvWmt7b1pre296b3tve297b1pre29aa3tvWmt7b3tve297b3tve297b1pre29aa3tvWmtaa1pre296a3tve298b1tve296b3pvWWt6b3tve2tca1xnG2OPMU0p0Tlca5xve2+cc3tve297b3tve297b1pre29aa3tvWmt7b1prW2taa3tvWmt6b1lrWmtZa3tvWWtaazlnWms6Z/hiOmd7b5tzW2tbb3xvW2udc1tre296b3pvWWt6b1prW2tba1trO2czRgohrzU6Z5xze296a1prW2vXWhNCkTGyNX9vfG9aa3tvWmt7b1pre29aa1prWmt7b1pre29aa3tvWmtba1pre29aa1trWmt7b1trW2taa3tvWmt7b1pre29aa3pvGGOcbxljGmOvNY8xTSm3Vlxrv3dbazlnm2+bczhje29ba3tve297b3pvem9Za3pvWmt7b1tre29ba1xrW2tba1prW2taa1trWmtba1prWms6Z1prWmtaa1prW2taa1prWmt7b1prWmtaa1prWmtaa1prWmtaa1prWmtaa1prWmtaa1prWmtaazlnWmtaa1prAABaa3tvWmt7b3pve296b3tvem97b3pve297b3tvem97b3pve29aa3pvWmt7b1pre297b3tvWmt7b1prem9aa3pvWmt7b1pre296b3tvWmt7b1prem9aa3pvWmt7b1pre296b3tvWmt7b1tre29aa1tre29aazlnWmtaa1prOWdaa1pre29aa1lrWWt5b3pre29ba3xrPGcbY28tTSmwMX1rfG97b3tve297b3tvWmt7b1prWmtaa1prWmt7b1prWmtaa1trWmt6b1premtZa1lrWWtZZ1lrOWcYY1prOWeccxhjWWs5Z3xvfG9ba1trOmt6b3pvWWt6b1prWms6a1trO2dba7dWrzVTSlxre2t7b1prWmtaa/le80GyOVEtHWdca3tvWmt7b1pre29aa1prWmtaa1prWmtaa1prWmtaa1prW2taa1trWmtba1prW2taa1trWmt7b1prWmtaa3pvOGd6bxhjnG/YWtlesDUtKbE5uFY7Z1trOWd7b3pvWGd7b3tvWmt7b3pve29Za1prWmt6b1pre29ba1trO2tba1prWms5ZzlnWmtbazpnWms6Z1prOmc6azpnW2s6a1trWmtaa1prWmtaa1prOWdaazlnWms5Z1prOWdaazlnWmtaa1prOWdaazlnWms5Z1prWmsAAHtvem97b3pvm3N7b5xze297b3tve297b5tze297b3tve296b3tvWmt7b1pre296b5tze297b3pve29aa3tvWmt7b3tve297b3tvem96b1pre29aa3tvWmt7b3pve296b3tvWmt7b1pre297b3tve297b1prWmt6b3tvWmtaa1prW297b5xzem96b3pvem85Z3tvXGtcaxpjjzFMKbA1fGucc3tve297b3tve297b1pre29aa1prWmt7b3tve29aa3tvW2t7b1pre29aa3prWWtZZ1lnnHNaa1prWms6Z1prnHN7b1prW2tbazpnfG97b3tvem96b3pre29aa1trWmtbaxpjW2u2VlxrfG9aa3prnHNaa3xvGWMzRtI5kDH6Xnxve297b1pre29aa3tvWmt7b1pre29aa3tvWmt7b1prW2tba3tvWmtba1prW2taa1trWmt7b1tre29aa3tvWmt6a1lnWmsYY3xvGmOXUpA1LSmxObhWXG+dczlnWWuab3tvW297b1pre297b3pvWWt6b1pre29ba3xvW2t8b1tre29aazlnOWdaa1prWms5Z1prOmdaazpnW2taa1trWmtba1pre29aa3tvWmtaazlnWms5Z1prOWdaazlnWms5Z1prWmtaa1prWmtaa1prWmtaawAAem97b3pve296b3tve297b1pre297b5tzem97b3pve29aa3tvWmt7b1pre297b3tvWmt7b3tve297b3tve297b3tve297b3tve297b3tve29aa1prWmtaa1pre29aa1pre297b3tve29aa3tve297b1pre297b3tvWmtaa1pre29aa3tvWmt6b1prWmtaa3tvWmtba1trGWPPOegcrjU5Z3tve297b3tve297b1pre29aa3tvWmt7b1pre29aa3tvWmt7b1pre29aa1prOWdZazhnWmtaa1prOWd7b3tvWmtaa1prWmtba1prW2taa1prWmt6b1pre29aa3tvW2t7bzpnOmcZZ1prW2t8b1trWmtaa5xzOWc6Z9dajjFMKfleWmtaa1pre29aa1prWmtaazlnWmtaa3tvWmt7b1prWmtaa1prWmt7b1pre29aa3tvWmt7b3tve29aa1prWmt7bzlnWmtaa1prOmc7a/leuVrLHC4pTi0bY11vW2taa3tvWmt7b1pre29aa1prWmtaa1lrWmtaa1prWmtaa1prW2taa1prWmtaa1prWmtaa1prOWdaazpnWms6Z1prWmtaa1prWmtaa1prOWdaa1prWmtaa1prOWdaazlnWmtaa1prOWdaa1prWms5Z1prWmtaazlnAAB7b3tve297b3tve2+bc3tve297b5xze2+bc3tve297b3tve297b3tve297b3tve297b3tve297b3tve297b3tve297b3tve297b3tvnHN7b3tvWmt7b1pre297b3tve2+cc3tve297b3tve297b3tvWmtaa5xze2+cc3tve297b3tvWmt7b1pre29aa3tve297b1prWmsYY7VWUkrWWntve297b3tve297b3tve29aa3tvWmt7b3tve29aa3tve297b1pre297b3tvWmtaa1prWmtaa3tvWmtaa3tvnHNaa3tvWmt7b1pre29aa3tvWmt7b1pre29aa3tvWmt7b1prWms5Z1prWmt7b3tve29aa3tvnHN7b1prWmtzTnNOe297b1pre29aa3tvWmt7b1prWmtaa3tve297b1pre29aa1prWmt7b1pre29aa3tvWmtaa1pre29aa3tvWmtaa1prWmtaa1prWmtba1trO2fZXtI96yCxOdI9XWt9b3xvWmt7b1pre29aa3tvWmt7b1prWmtaa3tvWmtaa1pre29aa1prWmtaa1prWmtaa1prWmtaa1prWmtaa1prWmtaa1prWmtaa1prWmtaa1pre29aa1prWmtaa1prWmtaa1prWmtaa1prWmtaa1prWmtaa1prWmsAAHpve296b3tve297b3tve297b5tze2+bc3tve296b3tve297b1pre29aa3tvWmt7b1pre29aa3tve297b3tve29aa3tvWmt7b3tve297b3tve297b1pre29aa3tvWmt7b3tve297b3tvWmt7b1pre285Z3tve2+cc5xznHNaa3tvWmt7b1pre29aa1prWmt7b3tve285ZzlnGGNaa3tve297b3tvWmt7b3tve29aa3tvWmt7b1pre29aa3tvWmt7b1pre29aa3tvWmtaazlnWmtaa3tvWmtaa1pre297b1prWmtaa1prWmtaa1prWmtaa1pre29aa1prWmtaa1prWmtaa1prOWdaa1prWmtaa3tvOWd7b1prWmtaazlnOWecc1pre29aa1prWmtaa1pre29aa1prWmt7b1pre29aa1prWmtaa1prWmtaa3tvWmtaa1prWmtaa1prWmtaazlnWms5Z1prWWtaa1pre287ZxtnmFbSPU4tby00Sp1zW2t7b1pre29aa1prWmt7b1prWmtaa1prWmtaa1prWmtaa1prWmtaa1prWmtaa1prWmtaazlnWms5Z1prOWdaazlnWmtaa1prOWdaa1prWmtaa1prWmtaazlnWms5Z1prOWdaa1prWms5Z1prWmtaazlnWmtaawAAe297b3tve2+bc3tvm3N7b5tze2+cc3tvm3N7b3tve297b3tve29aa3tve297b3tve297b3tve297b3tve297b3tve297b3tve297b5xze297b3tve29aa1prWmt7b3tvnHN7b3tve297b1pre29aa1pre2+cc5xznHN7b3tvWmt7b3tve29aa3tvWmt7b3tve297b5xzWmtaa1pre29aa3tve297b3tve297b3tvWmt7b3tve29aa3tve297b1pre297b3tvWmt7b1prWmtaa1pre297b1pre297b3tvWmt7b1pre29aa3tvWmt7b1pre297b3tvWmt7b1prWmtaa3tvWmt7b1prWmtaa3tve297b1pre29aa1prWmt7b1pre297b3tvWmtaa1pre297b3tvWmt7b1pre29aa3tvWmt7b1pre29aa3tvWmt7b1prWmtaa3tvWmt7b1prWmtaa1prWmtaa1lre29ba1trO2cbZ/pebzFuLY81t1acc3tve29aa3tvWmt7b1pre29aa3tvWmtaa1pre29aa1prWmt7b1prWmtaa1prWmtaa1prWmtaa1prWmtaa1prWmtaa1prWmtaa1prWmtaa1prWmtaa1prWms5Z1prWmtaazlnWmtaa1prWmtaa1prWmtaa1prAAB6b3tvem97b3pve297b3tvWmt7b3tve29aa3tvWmt7b1pre29aa3tvWmt7b3tve29aa3tvWmt7b1pre297b3tvWmt7b1pre297b3tve297b1pre29aa3tvWmtaa1pre297b3tve297b1prWmtaa3tve297b3tvnHN7b3tvWmt7b1pre297b3tvWmtaa1pre29aa3tve297b1prWmt7b5xzWmt7b1pre297b3tvWmt7b1pre29aa3tvWmt7b1pre29aa3tvWmt7b1prWmtaa1prWmtaa1prWmtaa1prWmtaa1prWmtaa3tvWmtaa1pre297b3tvWmt7b1prWmtaa1prWmt7b1prWms5Z1prWmt7b3tvWmtaa3tvOWdaa1prWmtaa3tvWmtaa1prWmtaa3tvWmtaa1pre29aa1prWmtaa1prWmtaa3tvWmtaa1prWmtaa3tvWmt7b1prWmtaa3tvWmtaa1lrWmtZa1prOmtbaxtnG2dVSm4x0T1TSpxzWWtaa1prWmtaa1prWmtaa3tvWmtaa1prWmtaa1prWmtaa1prWmtaa1prWmtaa1prWms5Z1prOWdaazlnWms5Z1prOWdaazlnWms5Z1prWmtaazlnWms5Z1prOWdaazlnWms5Z1prWmtaazlnWmtaa1prOWcAAHtve297b3tve297b5tze297b3pvm3N7b3tvWmt7b3pve297b3tve297b3tve297b3tvWmt7b3tve297b3tve297b3tve297b3tve297b3tve297b5xze297b1pre297b5xze297b3tve29aa3tvWmucc3tvnHN7b3tvWmt7b3tve297b3tve297b1pre297b3tvWmtaa3tvnHN7b5xznHN7b1pre297b3tve297b1pre29aa3tve297b1pre297b3tvWmt7b1prWmtaa3tvWmt7b1pre29aa1prWmtaa1prWmtaa3tve29aa1pre297b3tve297b3tve29aa3tvWmt7b3tve29aa1prWmt7b3tve29aa3tve297b1pre297b3tvWmt7b1pre29aa3tve297b1pre29aa3tvWmt7b1pre29aa3tvWmt7b1pre29aa3tvWmt7b3tve29aa3tvWmt6b1lrWmtZa3prWWdaa1trXGv6YhtnVEqWUjpnWWtaa1prWmt7b1pre29aa3tvWmtaa1pre29aa1prWmt7b1pre29aa3tvWmtaa1prWmtaa1prOWdaa1prWmtaa1prWmtaazlnWmtaa1prWmtaa1prWmtaa1prWmtaa1prWmtaa1prWmtaa1prWmtaa1prWmtaawAAem97b3pve297b3tve297b1pre297b3tvem97b1pre297b3tvWmt7b1pre29aa3tvWmt7b1pre29aa3tvWmt7b3tve29aa3tvWmt7b1pre29aa3tve2+cc3tve29aa3tve297b1pre29aa3tvWmt7b3tve297b3tvWmt7b1pre29aa3tvWmt7b1pre29aa3tve297b1prWmt7b5xzWmtaa1pre29aa3tve297b1pre29aa3tvWmt7b1pre29aa3tvWmt7b1prWmtaa1prWmtaa1pre29aa1prWmtaazlnWmtaa3tve297b1prWmtaa3tvWmt7b1pre29aa3tvWmt7b1pre29aa3tvWmt7b1pre285Z1prWmtaa1pre29aa3tvWmt7b1pre29aa3tvWmt7b1pre29aa1prWmtaa1prWmtaa3tvWmt7b1prWmtaa1prWmt7b1pre29aa1prWmtaa1prWWtZZ3lvWWtZazlnW29ca1trGmdba/he3ns4Y3pvWWtaa1prWmtaa1prWmtaa1prWmtaa1prWmtaa1prWmtaa1prWmtaa1prWms5Z1prOWdaazlnWms5Z1prOWdaazlnWms5Z1prOWdaazlnWmtaa1prWmtaa1prWmtaa1prWmtaazlnWmtaa1prOWdaazlnAAB7b3tve297b5tze2+bc3tve297b5xze2+bc3tve297b3tve297b1pre297b3tve297b1pre29aa3tve297b3tvnHN7b3tve297b3tve29aa1pre2+cc3tve29aa1prWmt7b3tve29aa3tvWmt7b1pre297b3tve297b3tve29aa3tve297b3tve29aa3tve29aa3tvnHN7b3tvnHOcc1pre29aa3tvWmt7b3tve29aa3tve297b1pre297b3tvWmt7b1pre29aa1prWmt7b1pre297b3tvWmt7b1prWmtaa1pre297b3tve29aa3tve297b1pre29aa3tvWmt7b1pre297b3tve297b3tve29aa1prnHN7bzlnWmt7b1prOWd7b1pre297b3tve297b1pre29aa3tvWmt7b1pre29aa3tvWmt7b1pre29aa1prWmtaa1pre29aa3tvWmtaa1prWmtZa1lreW96b1lremt7b1trXG87azpnfG/3XptzWWtaa1prWmtaa3tvWmt7b1pre29aa1prWmt7b1prWmtaa3tvWmt7b1prWmtaa1prOWdaazlnWms5Z1prWmtaazlnWmtaa1prOWdaa1prWmtaa1prWmt7b1pre29aa1prWmtaa1prWmtaa1prWmtaa1prWmsAAHtve297b3tvem97b3tve297b3tve297b3pve297b5tzWmt7b1pre29aa3tvWmt7b3tve29aa3tve297b1prWmtaa3tve297b1pre29aa3tvWmt7b1pre29aa3tvWmt7b1prWmtaa1prWmt7b3tve297b3tve297b3tve29aa3tvWmt7b1pre29aa3tvWmt7b1pre29aa3tvWmt7b3tve29aa3tvWmt7b1pre29aa3tvWmtaa1pre29aa3tvWmt7b1pre29aa3tvWmtaa1pre29aa1prWmt7b1prWmtaa1prWmt7b3tve29aa1prWmt7b1pre29aa3tvWmt7b1pre29aa1prWmtaa1prWmtaa3tvWmtaa1prWms5Z1prWmt7b1pre297b3tvWmt7b1prWmtaa3tvWmtaa1prWmtaa3tvWmt7b1pre29aa1prWmtaa1prWmtaa1prWmtaa1prWms5Z1prWWt5a1hrWWtZa1prWmtbaztnW2taa1prWWt6b1pre29aa1prOWdaa1prWmtaa1prWmtaa1prWmtaa1prWmtaa1prWms5Z1prOWdaazlnOWc5Z1prOWdaa1prWms5Z1prOWc5ZzlnWmtaa1prWmtaa1prWmtaa1prWmtaazlnWmtaa1prOWdaa1prWms5ZwAAm3N7b5tze297b3tvnHN7b5tze2+bc3tve297b5tze297b3tve297b3tve297b3tve297b3tvWmt7b1pre29aa3tve297b3tve297b3tvWmt7b3tve297b3tvWmt7b1pre29aa1prWmt7b3tve297b3tve297b3tve297b3tve297b3tve297b3tve297b3tve29aa3tve297b3tve297b3tvWmt7b3tve297b3tvWmt7b1pre29aa3tvWmt7b3tve29aa3tvWmt7b1pre29aa3tvWmt7b1pre29aa3tvWmt7b3tvnHN7b1prWmt7b3tve29aa3tvWmt7b1pre29aa1prWmt7b1pre29aa3tvWmtaa1pre29aa1prWmt7b1pre297b3tvWmtaa1pre29aa3tvWmt7b1prWmtaa3tvWmt7b1pre29aa3tvWmt7b1pre29aa3tvWmtaa1prWmtaa1prWmt6b1lreWtZa3prWWt7b1trW2taa1trWmt6b1lrem9aa3tvWmtaa1prWmtaa3tvWmt7b1pre29aa3tvWmtaa1prWmtaa1prWmtaa1prWms5Z1prWmtaa1prWmtaa1prWmtaazlnWms5Z1prWmtaa1prWmtaa1prWmtaa1prWmtaa1prWmtaa1prWmtaa1prAAB6b3tvem97b3tve297b5tze297b3tve297b3tve297b1pre29aa3tvWmt7b1pre297b3tvWmt7b1pre29aa3tvWmt7b1pre297b3tvWmt7b3tve297b3tve297b1pre29aa3tvWmtaa1pre29aa3tve297b3tve297b3tvWmt7b3tve29aa3tvWmt7b1prWmtaa3tvWmt7b3tve29aa3tvWmt7b1pre297b3tvWmt7b1pre29aa3tvWmt7b1pre29aa3tvWmtaa1pre29aa3tve297b1prWmtaa1prWmtaa1pre29aa3tvWmtaa1pre29aa1prWmtaa1prWmtaa1prWmtaa1prWmtaa3tvWmtaa1prWmtaa1prWmtaa1pre297b3tvWmtaa1pre29aa1prWmtaa1prWmtaa1prWmtaa1pre29aa1prWmtaa1prWmtaa3tvWmtaa1prWmtaa1prWmtaa1lrWWtZa3lrWGtaa1prW2s6Z1prWmt6a1lrWWtZa1prWmtaa1prWmtaa1prWmt7b1prWmtaa3tvWmtaa1prWms5Z1prOWdaazlnWms5Z1prOWdaa1prWms5Z1prOWdaazlnOWc5Z1prOWdaa1prWms5Z1prWmtaazlnWmtaa1prOWdaa1prWms5Z1prOWcAAHtve297b3pvm3N7b5xze2+bc3tvm3N7b5xze2+bc3tve297b3tve297b3tve297b5xze297b3tvnHN7b5xze297b3tve297b3tve297b1pre297b3tve297b3tve297b3tve297b1pre297b3tvWmt7b3tve297b3tve297b1pre297b3tve297b1pre29aa3tvWmt7b3tve297b3tvWmt7b3tve297b3tve297b3tve29aa3tvWmt7b1pre29aa3tvWmt7b1pre29aa3tve2+cc3tve29aa3tvWmt7b1prWmtaa3tvWmt7b1pre29aa3tvWmtaa1pre29aa1prWmt7b1pre29aa3tvWmt7b1prWmtaa1prWmtaa1pre297b3tve297b1pre297b3tvOWdaa1prWmtaa3tvWmtaa1pre29aa3tvWmt7b1pre29aa3tvWmt7b1pre29aa1prWmtba1prWmtZa3lvWWt5a1lre29ba1trWmt7b1prWWtZa1prWmtaa1pre29aa1prWmt7b1pre29aa3tvWmt7b1pre29aa1prWmtaa1prWmtaa1prWmtaa1prWmtaa1prWmtaa1prWms5Z1prWmtaa1prWmtaa1prWmtaa1prWmtaa1prWmtaa1prWmtaa1prWmtaawAAWmt7b1pre296b3tve2+cc3pve297b5tze297b3tve29aa3tvWmt7b1pre29aa3tvWmt7b3tvnHOcc5xze297b1pre29aa3tvWmt7b1pre297b3tve297b3tve29aa3tvWmt7b1pre29aa3tvWmt7b1pre29aa3tvWmt7b1pre29aa3tve297b1prWmtaa1prWmtaa1pre29aa3tvWmt7b1pre297b3tvWmt7b1pre29aa3tvWmt7b1pre29aa3tvWmtaa1prWmtaa3tvWmt7b3tve29aa1prWmtaa1prWmtaa1prWmt7b1prWmtaa3tvWmtaa1prWmtaa1prWmtaa1prWmtaa3tvWmtaa1prWms5Z1prWmtaa1prWmtaa3tvWmt7b1prWmtaa3tvWms5ZzlnWmtaa1prWmtaa1prWmtaa1prWmtaa1prWmtaa3tvWmt7b1pre29aa1prWmtba1prW2taa3prWWt5a1lrWmtaa1trWmtba1prWmtZa1lrOWdaa1prWmtaa1prWmtaa1prWmtaa1prWmtaa1prWmtaa1prWmtaazlnWms5Z1prOWdaa1prWmtaa1prWmtaazlnWms5Z1prOWdaa1prWms5Z1prWmtaazlnWmtaa1prOWdaa1prWms5Z1prWmtaazlnAAB7b3pve297b3tve2+bc3tve297b5xze2+cc3tvm3N7b3tve297b3tve297b3tve297b1pre297b5xze297b1pre29aa3tve297b3tve297b3tve297b3tve297b3tve297b3tve297b3tvWmt7b3tve29aa3tve297b3tve297b3tve297b3tve29aa3tvWmt7b1pre297b3tvWmt7b3tve29aa3tve297b1pre29aa3tvWmt7b1pre29aa3tvWmt7b1pre29aa3tvWmt7b3tve29aa3tvWmtaa1pre29aa3tvWmt7b1pre29aa3tvWmt7b1pre29aa3tvWmt7b1pre29aa3tvWmt7b1pre29aa1prWmt7b1prWmtaa3tve297b1pre29aa3tve29aaxhjWmtaa3tvWmt7b1pre29aa3tvWmt7b1pre29aa3tvWmt7b1pre29aa3tvWmt7b1prW2tba3tvWmt6b1lrem9Za3tvWmtba1tre29aa3prWWtaa1prWmtaa1prWmtaa1prWmtaa3tvWmtaa1pre29aa1prWmtaa1prWmtaa1prWmtaa1prWmtaa1prWmtaa1prWms5Z1prWmtaa1prWmtaa1prWmtaa1prWmtaa1prWmtaa1prWmtaa1prWmtaa1prWmsAAHpve29aa3tvem97b3pve296b3tve2+bc3tvm3N6b3tvWmt7b1pre29aa3tvWmt7b1pre29aa3tve297b3tve29aa3tvWmt7b3tve29aa3tvWmt7b1pre29aa3tvWmtaa1pre297b3tvWmt7b1pre29aa3tvWmt7b1pre29aa3tvWmt7b1pre29aa3tvWmtaa1pre29aa3tvWmt7b1pre29aa3tvWmt7b1pre29aa1prWmt7b1pre29aa3tvWmtaa1pre29aa1prWmt7b1pre29aa1prOWdaa1prWmtaa1prWmt7b1prWmtaa1prWmtaa1pre29aa1prWmt7b1prWmtaa3tvWmtaa1prWmtaa1prWmtaa1prWmtaa1prWmt7b1pre29aa1prWmt7bzlnGGNaa1prWmt7b3tve29aa3tvWmtaa1prWmtaa3tvWmt7b1pre29aa3tvWmt7b1prW2tba1xrWmtaa1lreW9Za1prWmtbazprW2taa3pvWWtZazlnWms5Z1prOWdaa1prWmtaa1prWmtaa1prWmtaa1prWmtaazlnWms5Z1prOWdaa1prWmtaa1prWmtaazlnWms5Z1prOWdaazlnWms5Z1prOWdaazlnWms5Z1prOWdaa1prWms5Z1prWmtaazlnWms5ZwAAm3N7b3tvem97b3tve297b3tve2+bc3tvnHN7b3tvem97b3tve297b3tve297b3tvnHN7b3tvWmt7b3tvnHN7b3tvWmt7b3tve297b3tve297b3tve297b3tvWmt7b1pre297b5xze297b1pre29aa3tvWmt7b3tve297b3tve297b1pre29aa3tve297b1pre29aa3tvWmt7b3tve29aa3tvWmt7b1pre29aa3tvWmt7b3tve29aa3tvWmt7b1pre297b3tvWmt7b1pre29aa1prWmtaa1pre29aa1prWmt7b1pre29aa3tvWmtaazlne29aa3tvWmt7b1pre29aa3tvWmt7b1pre29aa1prWmt7b1pre29aa1prWmtaa1pre29aa1prOWd7b3tvWmsYY1prWmt7b3tvnHN7b3tvWmt7b1pre29aa3tvWmt7b1pre297b3tvWmt7b1pre29aa1tvW2t7b1prem9Za3pvWWtaa1prW2tba3tvem96b1lrWmtaa1prOWdaa1prWmtaa1prWmtaa1prWmtaa1prWmt7b1prWmtaa1prWmtaa1prWmtaa1prWmt7b1prWmtaa1prOWdaa1prWmtaa1prWmtaa1prWmtaa1prWmtaa1prWmtaa1prWmtaa1prWmtaa1prAAB7b3tve297b1pre297b3tve297b3tve297b3tve2+cc1pre29aa3tvWmt7b1pre29aa3tve297b3tve297b3tvWmt7b3tve297b3tve297b1pre29aa3tvWmtaa1prWmtaa3tve297b3tve29aa3tve297b1pre29aa3tve297b1prWmt7b3tve297b1prWmtaa1prWmt7b1pre29aa3tvWmtaa1prWmtaa1prWmtaa1prWmtaa3tvWmt7b1pre29aa1prWmt7b1pre29aa3tvOWdaa1pre29aa1prWmtaa1prWmtaa3tvWmtaa1prWmtaa1prWmtaa1prWmtaa1prWmtaa1pre29aa1prWmtaa1prWmtaa1prWmtaa1pre29aa1prWmtaa1prWmtaa3tvWmt7b1pre29aa1prWmtaa1prWmtaa3tvWmt7b1pre29aa3tvWmt7b1prWmtaa1prWmtba1tre29aa3pvWmtaa1prWms5Z1prWmt7b1prWmtaa1prWmtaa1prWmtaa1prWmtaa1prWms5Z1prOWdaa1prWmtaa1prWmtaa1prWms5Z1prWmt7bzlnWms5Z1prOWdaazlnWms5ZzlnOWdaazlnWms5Z1prOWdaazlnWmtaa1prWmtaazlnWmtaa1prWmsAAHtve297b3tve297b3tve297b3tvnHN7b5xze2+cc3tve29aa3tvWmt7b1pre297b3tve297b3tve297b3tve297b3tve297b3tve297b3tve297b3tve297b1pre29aa3tve297b3tve297b3tvWmt7b3tve297b3tve297b3tvWmtaa3tve297b3tve29aa3tvWmt7b3tve297b3tve297b1pre29aa3tvWmt7b1pre29aa3tvWmt7b1pre297b3tvWmt7b3tve29aa3tvWmtaa1pre29aa1prWmt7b1pre29aa3tvWmt7b1pre29aa3tvWmt7b1prWmtaa1prWmt7b1pre29aa3tvWmt7b1pre29aa3tvWmtaa1pre29aa3tvWmt7b1prWmtaa3tvWmt7b3tve297b3tvWmt7b1prWmtaa3tvWmt7b1pre297b3tvWmt7b1pre29aa3tvWmt7b1pre297b3tvWmt7b1prWmtaa1prWmt7b1pre29aa1prWmtaa1prWmtaa1prWmtaa1prWmtaa1prWmtaa1prWmtaa1prWmtaa1prWmtaa1prWmt7b1prWms5Z1prWmtaa1prWms5Z1prOWdaazlnWmtaa1prWmtaa1prWmtaa1prWmtaa1prWmtaa1prWmtaawAAWmt7b1pre297b3tve297b3tve297b3tve297b3tve297b3tvWmt7b1pre29aa3tvWmt7b1pre29aa3tvWmt7b3tve29aa3tve297b1pre29aa3tvWmt7b3tve29aa3tvWmt7b1pre29aa3tvWmt7b3tve29aa3tvWmt7b1pre29aa3tvWmt7b3tve29aa1prWmt7b1pre29aa3tvWmt7b1prWmtaa1prWmtaa1prWmtaa3tvWmt7b1pre29aa3tvWmt7b1pre29aa3tvWmtaa1prWmtaa1prWmtaa1prWmtaa1prWmtaa1pre29aa1prWmt7b1prWmtaa1prWmtaa1prWmtaa1prWmt7b1pre29aa1prWmtaa1prWmtaa1prWmtaa1prWmtaa1prWmtaa1pre29aa3tvWmt7b1pre29aa1prWmtaa1pre29aa3tvWmt7b1prWmtaa1prWmtaa1pre29aa3tvWmt7b1prWmtaa1prOWdaa1pre29aa1prWmtaa1prWmtaa1prWmtaa1prWms5Z1prOWdaazlnWmtaa1prWmtaa1prWmtaa1prOWdaa1prWmtaa1prOWdaa1prWms5Z1prOWdaazlnWms5Z1prOWdaazlnWms5Z1prWmtaazlnWmtaa1prWmtaa1prAAB7b3tve297b3tve2+cc3tve297b3tve2+cc3tvnHN7b3tve297b1pre297b3tve297b1pre29aa3tve297b3tve297b3tve297b3tve297b3tve297b3tvnHN7b3tve297b1pre29aa3tve297b1pre297b3tve297b3tve297b3tvWmt7b3tve297b3tvWmt7b1pre29aa3tve297b1pre29aa3tvWmt7b1pre29aa3tvWmt7b1pre29aa3tvWmt7b1pre29aa3tvWmt7b1pre29aa3tvWmt7b1prWmtaa3tvWmt7b1pre29aa3tvWmt7b1pre29aa3tvWmtaa1prWmtaa1prWmt7b1pre29aa3tvWmtaa1pre29aa3tvWmt7b1prWmtaa3tvWmt7b1pre29aa3tvWmt7b3tve297b3tvWmt7b1pre29aa3tvWmt7b1pre29aa3tvWmt7b1pre29aa3tvWmt7b1prWmtaa3tvWmt7b1pre29aa1prWmtaa1prWmtaa1prWmtaa1pre29aa1prWmtaa1prWmtaa1prWmtaa1prWmtaa1prWmtaa1prWmtaa1prWmtaa1prWmtaa1prOWdaa1prWmtaa1prWmtaa1prWmtaa1prWmtaa1prWmtaa1prWmtaa1prWmsAAFpre29aa3tve297b3tvnHNaa3tve297b3tve297b3tve297b3tve29aa3tvWmt7b1pre29aa3tvWmt7b1pre297b3tve297b1pre29aa3tvWmt7b1pre297b5xze297b1prWmtaa3tvWmt7b1pre29aa3tvWmt7b1pre29aa3tvWmt7b1pre29aa3tvWmt7b1prWmtaa3tvWmt7b1prWmtaa1prWmtaa1prWmtaa1prWmt7b1pre29aa3tvWmt7b1prWmtaa3tvWmt7b1pre29aa3tvWmt7b1prWmtaa3tvWmtaa1pre29aa1prWmtaa1pre29aa3tvWmtaa1prWmtaa1prWmtaa1prWmtaa3tvWmtaa1prWmtaa1prWmtaa1prWmtaa1prWmtaa1pre285Z1prWmtaa1pre29aa3tvWmtaa1prWmtaa1prWmt7b1prWmtaa1prWmtaa1pre29aa1prWmt7b1prWmtaa1prWmtaa1prWmtaa1prWmtaa1prWmtaa1prWmtaa1prWmtaa1prWmtaazlnWms5Z1prWmtaa1prWmtaa1prWmtaazlnWms5Z1prOWdaa1prWms5Z1prOWdaazlnWms5Z1prOWdaazlnWms5Z1prOWdaazlnWms5Z1prOWdaa1prWms5ZwAAe297b3tve297b3tvnHN7b3tve297b3tve297b5xze2+cc3tve297b3tvWmt7b3tve29aa3tve297b3tve297b3tve297b3tve29aa3tvWmt7b1pre297b5xze2+cc3tve29aa3tvWmt7b1pre297b3tve297b3tve297b3tve297b1pre297b3tvWmt7b1pre29aa3tvWmt7b1pre29aa1prWmt7b1prWmtaa3tvWmt7b1pre29aa3tvWmt7b1pre29aa3tve297b1pre29aa3tve297b1prWmtaa3tve297b1pre29aa3tvWmt7b1pre29aa3tvWmt7b1pre29aa3tvWmt7b1pre29aa3tvWmt7b1prWmtaa1prWmt7b1prWmtaa1prWmtaa1pre29aa1prWmtaa1pre29aa3tvWmt7b1pre29aa3tvWmt7b1pre29aa3tvWmt7b1pre29aa3tvWmt7b1prWmtaa3tvWmt7b1pre29aa1prWmtaa1prWmtaa1prWmtaa1prWmtaa1prWmtaa1prWmtaa1prWmtaa1prWmtaa1prWmtaa1prWmtaa1prOWdaa1prWmtaa1prWmtaa1prWmtaa1prWmtaa1prWmtaa1prWmtaa1prWmtaa1prWmtaa1prWmtaa1prAAB7b3tvWmt7b3tve297b3tve297b1pre297b3tve297b3tve297b3tvWmt7b1pre29aa3tvWmt7b3tve297b3tve297b1pre29aa3tvWmtaa1prWmtaa3tve2+cc3tve297b3tvWmt7b1pre29aa3tvWmt7b1pre297b3tvWmt7b1pre29aa3tvWmt7b1pre29aa3tvWmt7b1prWmtaa1prWmtaa1prWmtaa1prWmtaa1pre29aa3tvWmt7b1prWmtaa3tvWmt7b1pre29aa1pre297b1prWmtaa1prWmt7b1prWmtaa1prWmt7b1prWmtaa3tvWmt7b1pre29aa1prWmt7b1prWmtaa1prWmtaa1prWmtaa1prWmtaa1prWmtaa1prOWdaa1prWmtaa3tvWmtaa1prWmtaa3tvWmt7b1prWmtaa1prWmtaa1prWmtaa1prWmtaa1pre29aa3tvWmt7b1prWmtaa1prWmtaa1prWmtaa1prWmtaa1prWmtaa1prWmtaa1prWmtaa1prWmtaazlnWms5Z1prOWdaa1prWmtaa1prWmtaa1prWmtaa1prOWc5Z1prWmtaa1prOWdaazlnWms5Z1prWmtaazlnWms5Z1prOWdaazlnWmtaa1prOWdaazlnWms5Z1prOWcAAHtve297b3tve297b3tve297b3tve297b3tve297b3tvnHN7b3tve297b3tve297b3tve297b3tve297b3tve297b3tve297b3tvWmt7b1pre29aa1prWmucc5xznHN7b5xze297b1pre297b3tve297b3tve297b3tve297b1pre297b3tvWmt7b3tve29aa3tvWmt7b1pre29aa1prWmtaa1prWmtaa1prWmtaa1pre297b3tvWmt7b1pre29aa3tvWmt7b1pre29aa3tvWmt7b3tve29aa1prWmt7b1pre29aa3tvWmt7b1pre29aa3tve297b1pre29aa3tvWmt7b3tve29aa3tvWmtaa1pre29aa1prWmtaa1prWmtaa1prWmtaa1prWmtaa3tvWmt7b1pre29aa3tvWmt7b1pre29aa3tvWmt7b1prWmtaa3tvWmt7b1pre29aa3tvWmt7b1pre29aa1prWmtaa1prWmtaa3tvWmtaa1prWmtaa1prWmtaa1prWmtaa1prWmt7b1prWmtaa1prWmtaa1prWmtaa1prWmtaa1prWmtaa3tvWmtaazlnWmtaa3tvWmtaa1prWms5Z1prWmtaa1prWmtaa1prWmtaa1prWmtaa1prWmtaazlnWms5Z1prOWdaawAAWmt7b3tve297b3tve297b1pre29aa3tvWmt7b3tve297b3tve297b3tve29aa3tve297b3tve297b5xze297b3tve297b3tvWmt7b1pre297b3tvWmt7b3tvnHN7b3tve297b3tve29aa3tvWmt7b1pre297b3tve297b3tve29aa3tvWmt7b1pre297b3tvWmt7b1pre29aa1prWmt7b1prWms5Z3tvWmtaa1pre29aa1prWmtaa1prWmtaa3tvWmt7b3tve29aa3tvWmt7b1pre29aa3tvWmt7b1pre29aa3tvWmt7b1prWmtaa3tvWmt7b1pre29aa1prWmt7b1pre29aa3tvWmtaa1pre29aa1prWmtaa1prWmtaa1prWmtaa1prWmtaa1prWmt7b1prWmtaa1prWmtaa1prWmtaa1prWmtaa1prWmtaa1prWmtaa1prWms5Z1prWmtaa1prWms5Z1prOWdaa1pre285Z1prWmtaa1prWmtaa1prWmtaa1prWmtaa1prWmtaa1prWms5Z1prOWdaa1prWmtaa1prOWdaazlnWms5Z1prOWdaazlnWms5Z1prWmtaazlnWmtaa1prOWdaa1prWms5Z1prOWdaazlnWms5Z1prOWdaazlnWms5Z1prOWdaazlnAAB7b3tvnHN7b5xze2+cc3tve297b3tve297b3tvnHN7b3tve2+cc3tve297b3tvWmt7b3tve297b5xze2+cc3tve297b3tve297b1pre297b3tve297b3tvnHN7b5xze2+cc3tvnHN7b3tve297b3tve29aa3tve297b3tve297b3tve297b3tve297b3tve297b1pre29aa1prWmt7b1pre29aa1prWmt7b1prWmt7b1prWmt7b1pre29aa3tvWmt7b1pre297b3tve297b3tve29aa3tvWmt7b1pre29aa3tvWmt7b1pre29aa3tvWmt7b1pre29aa3tvWmt7b1pre29aa3tvWmt7b1pre29aa1prWmt7b1prWmtaa3tvWmtaa1prWmtaa1prWmt7b1prWmtaa3tvWmt7b1pre29aa1prWmt7b1prWmtaa3tvWmtaa1prWmtaa1prWmt7b1prWmtaa1prWmtaa1pre29aa1prWmt7b1pre29aa3tvWmt7b1pre29aa1prWmt7b1pre29aa1prWmtaa1pre29aa1prWmtaa1prWms5Z1prWmtaazlnWmtaa1prWmtaa1prWmtaa1prWmtaa1prWmtaa1prWmtaa1prWms5Z1prOWdaazlnWms5Z1prOWdaazlnWmsAAHtve297b3tve2+cc3tve297b3tve297b3tve297b5xze297b3tve297b3tvWmt7b3tve29aa3tve297b3tve297b3tvWmt7b1pre29aa3tve297b1pre297b3tve297b3tve297b3tve297b1pre29aa3tvWmt7b1pre29aa3tvWmt7b1pre29aa3tvWmt7b1pre29aa1prWmtaa1prWmtaa1prOWdaa1prWmtaa3tvWmtaa1prWmtaa3tvWmtaa1pre29aa3tvWmt7b1pre29aa3tvWmtaa1pre29aa1prWmt7b1prWmtaa3tvWmt7b1pre29aa1prWmt7b1pre29aa3tvWmtaa1prWmtaa1prWmtaa1prWmtaa1prWmtaa1prWmtaa1prWmtaa1prWmtaa1prWmtaa1prWmtaa1prWmtaa1prWmtaa1prWmtaa1prWmtaa1prWmtaa1prWmtaa1prOWdaa1prWmtaa1prWmtaa1prWmtaa1prWmtaa1prWmtaa1prWmtaa1prWmtaa1prWmtaazlnWmtaa1prWmtaazlnWms5Z1prOWdaazlnWms5Z1prOWdaazlnWmtaa1prOWdaa1prWms5Z1prWmtaazlnWms5Z1prOWdaazlnWms5Z1prOWdaazlnOWc5ZwAAe297b3tve2+cc3tve297b5xze297b3tve297b3tve297b3tve297b3tve297b1pre297b3tvWmt7b3tve29aa3tve297b3tve297b3tve297b3tve297b3tve297b3tve297b3tve297b3tve29aa3tvWmt7b1pre29aa3tvWmt7b3tve29aa3tve297b1pre29aa3tvWmt7b1prWmtaa3tvWmtaa1pre29aa1prWmtaa1prWmtaa3tvWmt7b1pre29aa3tvWmt7b3tve29aa3tvWmt7b1pre29aa3tvWmt7b1pre29aa3tvWmt7b1pre29aa3tvWmt7b1pre29aa3tve297b1pre29aa1prWmtaa1prWmtaa3tvWmt7b1prWmtaa1prWmtaa1prWmtaa1prWmt7b1pre29aa1prWmtaa1prWmtaa3tvWmt7b1prWmtaa1prWmt7b1prWmtaa1prWmtaa1prWmtaa1prWmtaa1prWmtaa3tvWmt7b1prWmtaa1prWmtaa1pre29aa3tvWmtaa1prWmtaa3tvWmtaa1prWms5Z1prOWdaazlnWms5Z1prOWdaa1prWmtaa1prWmtaa1prWmtaa1prWmtaa1prWmtaa1prWmtaazlnWmtaa1prOWdaazlnWms5Z1prAABaa3tvWmt7b3tve297b3tve297b1pre29aa3tvWmt7b1pre297b3tve297b1pre297b3tvWmt7b1pre29aa3tvWmt7b1pre29aa3tve297b1pre297b3tvWmt7b3tve29aa3tvWmt7b1pre29aa3tvWmt7b1pre29aa1prWmt7b1pre29aa3tvWmt7b1pre29aa3tvWmt7b1pre29aa1prWmtaa1prWmtaa1prWmtaa1prWmtaa1prWmtaa1prWmtaa1prWmt7b1pre29aa1prWmtaa1prWmtaa1prWmtaa1prWmtaa1prWmtaa1pre29aa3tvWmt7b1pre29aa3tvWmt7b1prWmtaa1prWmtaa1prWmtaa1prWmtaa1prWmtaa1prWmtaa1prWmtaa1prWmtaa1prWmtaa1prWmtaa1prWmtaa1prWmtaa1prWmtaa1prWmt7b1prWmtaa1prOWdaa1prWmtaa1prWmtaazlnWmtaa1prWmtaa1prWms5Z1prWmtaazlnWmtaa3tvWmtaa1prWmtaa1prWmtaa1prWms5Z1prOWdaazlnWms5Z1prOWdaazlnWmtaa1prOWdaa1prWms5Z1prWmtaazlnWms5Z1prOWdaazlnWms5Z1prOWdaazlnWms5Z1prOWcAAHtvWmt7b3tve297b3tve297b3tve29aa3tvWmt7b3tve297b3tve297b3tve297b3tve297b3tve297b3tvWmt7b1pre297b3tve297b3tve297b5xze297b1pre297b3tve297b3tve29aa3tve297b1pre29aa3tvWmt7b1pre297b3tve297b1pre29aa3tve297b3tve297b3tvWmtaa1pre29aa1prWmt7b1prWmtaa1prWmtaa1pre29aa1prWmt7b1pre29aa3tvWmt7b1pre29aa3tvWmt7b1prWmtaa1prWmtaa1pre297b3tvWmt7b1pre29aa3tve297b1pre29aa1prWmtaa1prWmtaa3tvWmtaa1pre29aa1prWmtaa1prWmtaa1prWmtaa1pre29aa3tvWmt7b1prWmtaa3tvWmtaa1pre29aa1prWmt7b1pre29aa3tvWmtaa1prWmtaa1prWmt7b1prWmtaa3tvWmt7b1pre29aa1prWmt7b1prWmtaa3tve29aa1pre29aa1prWmt7b1prWmtaa1prWmtaazlnWmtaa1prOWdaa1prWmtaa1prWmtaa1prWmtaa1prWmtaa1prWmtaa1prWmtaazlnWms5Z1prOWdaazlnWms5Z1prOWdaawAAWmt7b1pre297b3tvWmt7b3tve29aa3tvWmt7b1pre29aa3tve297b3tve29aa3tve297b1pre297b3tvWmt7b1pre29aa3tve297b1pre29aa3tve297b1pre29aa3tvWmt7b1pre29aa3tvWmt7b1pre29aa3tvWmt7b1prWmt7b3tvWmt7b1prWmtaa1prWmt7b1pre297b3tvWmtaa1pre29aa1prWmt7b1prWmtaa1prWmtaa1prWmtaa1prWmtaa1prWmtaa1prWmtaa1prWmtaa1prWmtaa1prWmtaa1prWmtaa1pre29aa3tvWmt7b1prWmtaa3tvWmt7b1pre29aa1prWmtaazlnWmtaa1prWmtaa1prWmtaa1prWmtaa1prWmtaa1prOWdaa1prWmtaa1prWmtaa1prWmtaa1prWmtaa1prWmtaa1prWmtaa1pre29aa3tvWmtaazlnWmtaa1prWmtaa1prWmtaa1prWmtaa1prWmtaa1prWmt7b1prWms5Z1prWmt7b1prWmtaa1prWmtaazlnWmtaa1prOWdaazlnWms5Z1prOWdaazlnWms5Z1prOWdaa1prWms5Z1prWmtaazlnWmtaa1prOWdaazlnWms5Z1prOWdaazlnWms5Z1prOWc5ZzlnAAB7b3tve297b5xze297b3tvnHN7b3tve297b3tve297b3tve297b3tvnHN7b3tve2+cc3tve297b3tve297b1pre297b3tve297b3tve297b3tve2+cc3tve29aa3tve297b3tve29aa3tve297b3tve297b3tve297b1pre29aa3tve297b1pre29aa1prWmt7b1pre297b3tvWmtaa1prWmt7b3tvWmtaa1pre285Z1prWmtaa1prWmtaa1prWmtaa1pre29aa3tvWmtaa1pre29aa1prWmt7b1prWmtaa1prWmtaa1pre29aa3tvWmt7b1pre29aa3tvWmt7b3tve297b3tvWmtaa1prWmtaa1prWmtaa1pre29aa3tvWmtaa1prWmtaa1prWmtaazlnWmtaa3tvWmt7b1prWmtaa1prWmtaa1pre29aa3tvWmtaa1pre29aa3tvWmtaa1prWmtaa1prWmt7b1prWmtaa1prWmtaa1pre29aa3tvWmtaa1pre29aa1prOWdaa1prWmtaa1prWmtaa1prWms5Z1prWmtaazlnWms5Z1prOWdaazlnWms5Z1prWmtaa1prWmtaa1prWmtaa1prWmtaa1prWmtaa1prWmtaa1prOWdaa1prWms5Z1prOWdaazlnWmsAAEYAAAAUAAAACAAAAEdESUMDAAAAIgAAAAwAAAD/////IgAAAAwAAAD/////JQAAAAwAAAANAACAKAAAAAwAAAAEAAAAIgAAAAwAAAD/////IgAAAAwAAAD+////JwAAABgAAAAEAAAAAAAAAP///wAAAAAAJQAAAAwAAAAEAAAATAAAAGQAAAAAAAAAfAAAAKgBAADMAAAAAAAAAHwAAACpAQAAUQAAACEA8AAAAAAAAAAAAAAAgD8AAAAAAAAAAAAAgD8AAAAAAAAAAAAAAAAAAAAAAAAAAAAAAAAAAAAAAAAAACUAAAAMAAAAAAAAgCgAAAAMAAAABAAAACcAAAAYAAAABAAAAAAAAAD///8AAAAAACUAAAAMAAAABAAAAEwAAABkAAAADgAAAHwAAAA/AQAAkgAAAA4AAAB8AAAAMgEAABcAAAAhAPAAAAAAAAAAAAAAAIA/AAAAAAAAAAAAAIA/AAAAAAAAAAAAAAAAAAAAAAAAAAAAAAAAAAAAAAAAAAAlAAAADAAAAAAAAIAoAAAADAAAAAQAAAAlAAAADAAAAAEAAAAYAAAADAAAAAAAAAASAAAADAAAAAEAAAAeAAAAGAAAAA4AAAB8AAAAQAEAAJMAAAAlAAAADAAAAAEAAABUAAAAqAAAAA8AAAB8AAAAnAAAAJIAAAABAAAAVVWPQSa0j0EPAAAAfAAAAA8AAABMAAAAAAAAAAAAAAAAAAAA//////////9sAAAASAB1AG0AYgBlAHIAdABvACAAQwBvAGwAbQBhAG4AAAAMAAAACgAAAA8AAAAKAAAACQAAAAYAAAAGAAAACgAAAAUAAAALAAAACgAAAAQAAAAPAAAACQAAAAoAAABLAAAAQAAAADAAAAAFAAAAIAAAAAEAAAABAAAAEAAAAAAAAAAAAAAAqQEAANEAAAAAAAAAAAAAAKkBAADRAAAAJQAAAAwAAAACAAAAJwAAABgAAAAEAAAAAAAAAP///wAAAAAAJQAAAAwAAAAEAAAATAAAAGQAAAAOAAAAmQAAAD8BAACvAAAADgAAAJkAAAAyAQAAFwAAACEA8AAAAAAAAAAAAAAAgD8AAAAAAAAAAAAAgD8AAAAAAAAAAAAAAAAAAAAAAAAAAAAAAAAAAAAAAAAAACUAAAAMAAAAAAAAgCgAAAAMAAAABAAAACUAAAAMAAAAAQAAABgAAAAMAAAAAAAAABIAAAAMAAAAAQAAAB4AAAAYAAAADgAAAJkAAABAAQAAsAAAACUAAAAMAAAAAQAAAFQAAACgAAAADwAAAJkAAAB+AAAArwAAAAEAAABVVY9BJrSPQQ8AAACZAAAADgAAAEwAAAAAAAAAAAAAAAAAAAD//////////2gAAABWAGkAYwBlAHAAcgBlAHMAaQBkAGUAbgB0AGUACwAAAAQAAAAIAAAACQAAAAoAAAAGAAAACQAAAAcAAAAEAAAACgAAAAkAAAAKAAAABgAAAAkAAABLAAAAQAAAADAAAAAFAAAAIAAAAAEAAAABAAAAEAAAAAAAAAAAAAAAqQEAANEAAAAAAAAAAAAAAKkBAADRAAAAJQAAAAwAAAACAAAAJwAAABgAAAAEAAAAAAAAAP///wAAAAAAJQAAAAwAAAAEAAAATAAAAGQAAAAOAAAAtgAAAJoBAADMAAAADgAAALYAAACNAQAAFwAAACEA8AAAAAAAAAAAAAAAgD8AAAAAAAAAAAAAgD8AAAAAAAAAAAAAAAAAAAAAAAAAAAAAAAAAAAAAAAAAACUAAAAMAAAAAAAAgCgAAAAMAAAABAAAACUAAAAMAAAAAQAAABgAAAAMAAAAAAAAABIAAAAMAAAAAQAAABYAAAAMAAAAAAAAAFQAAABQAQAADwAAALYAAACZAQAAzAAAAAEAAABVVY9BJrSPQQ8AAAC2AAAAKwAAAEwAAAAEAAAADgAAALYAAACbAQAAzQAAAKQAAABGAGkAcgBtAGEAZABvACAAcABvAHIAOgAgAEgAVQBNAEIARQBSAFQATwAgAEEAUgBJAEUATAAgAEMATwBMAE0AQQBOACAAQwBBAFMAVABJAEwATABPAAAACAAAAAQAAAAGAAAADwAAAAkAAAAKAAAACgAAAAUAAAAKAAAACgAAAAYAAAAEAAAABQAAAAwAAAAMAAAADwAAAAoAAAAJAAAACgAAAAkAAAANAAAABQAAAAsAAAAKAAAABQAAAAkAAAAIAAAABQAAAAsAAAANAAAACAAAAA8AAAALAAAADQAAAAUAAAALAAAACwAAAAkAAAAJAAAABQAAAAgAAAAIAAAADQAAABYAAAAMAAAAAAAAACUAAAAMAAAAAgAAAA4AAAAUAAAAAAAAABAAAAAUAAAA</Object>
  <Object Id="idInvalidSigLnImg">AQAAAGwAAAAAAAAAAAAAAKgBAADQAAAAAAAAAAAAAAC/HQAAqw4AACBFTUYAAAEArCEBANI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A4AAAAEAAAAJwAAAB0AAAAOAAAABAAAABoAAAAaAAAAIQDwAAAAAAAAAAAAAACAPwAAAAAAAAAAAACAPwAAAAAAAAAAAAAAAAAAAAAAAAAAAAAAAAAAAAAAAAAAJQAAAAwAAAAAAACAKAAAAAwAAAABAAAAFQAAAAwAAAADAAAAcgAAAKAJAAAPAAAABAAAACYAAAAbAAAADwAAAAQAAAAYAAAAGAAAAAAA/wEAAAAAAAAAAAAAgD8AAAAAAAAAAAAAgD8AAAAAAAAAAP///wAAAAAAbAAAADQAAACgAAAAAAkAABgAAAAYAAAAKAAAABgAAAAYAAAAAQAgAAMAAAAACQAAAAAAAAAAAAAAAAAAAAAAAAAA/wAA/wAA/wAAAAAAAAAAAAAAAAAAAAAAAAAAAAAAAAAAAAAAAAAAAAAAAAAAAAAAAAAAAAAAAAAAACkrprMeH3eAAAAAAAAAAAAAAAAAAAAAAAAAAAAAAAAAAAAAAAAAAAAeH3eAKSumswAAAAAAAAAAAAAAAAAAAAAAAAAAAAAAAAAAAAAYGRluAAAAAAAAAAAAAAAAAAAAAB4fd4A7Pe3/Hh93gAAAAAAAAAAAAAAAAAAAAAAAAAAAAAAAAB4fd4A7Pe3/Hh93gAAAAAAAAAAAAAAAAAAAAAAAAAAAAAAAAAAAAAA5OjrRODo63gsLCzEAAAAAAAAAAAAAAAAeH3eAOz3t/x4fd4AAAAAAAAAAAAAAAAAAAAAAHh93gDs97f8eH3eAAAAAAAAAAAAAAAAAAAAAAAAAAAAAAAAAAAAAAAAAAABERUXdQ0VF/jw+PvgVFhZgAAAAAAAAAAAAAAAAHh93gDs97f8eH3eAAAAAAAAAAAAeH3eAOz3t/x4fd4AAAAAAAAAAAAAAAAAAAAAAAAAAAAAAAAAAAAAAAAAAAAAAAABERUXdkZKS/5ucnP84Ojr/ISIilyEiIpc6OztvAAAAAB4fd4A7Pe3/Hh93gB4fd4A7Pe3/Hh93gAAAAAAAAAAAAAAAAAAAAAAAAAAAAAAAAAAAAAAAAAAAAAAAAAAAAABERUXdkZKS//r6+v/HyMj/S01N/EtNTfzAwcH4VFRUVgAAAAAeH3eAOz3t/zs97f8eH3eAAAAAAAAAAAAAAAAAAAAAAAAAAAAAAAAAAAAAAAAAAAAAAAAAAAAAAAAAAABERUXdkZKS//r6+v/6+vr/5eXl/+Xl5f/w8PD1VFRUVgAAAAAeH3eAOz3t/zs97f8eH3eAAAAAAAAAAAAAAAAAAAAAAAAAAAAAAAAAAAAAAAAAAAAAAAAAAAAAAAAAAABERUXdkZKS//r6+v/6+vr/+vr6//Dw8PVUVFRWAAAAAB4fd4A7Pe3/Hh93gB4fd4A7Pe3/Hh93gAAAAAAAAAAAAAAAAAAAAAAAAAAAAAAAAAAAAAAAAAAAAAAAAAAAAABERUXdkZKS//r6+v/6+vr/8PDw9VRUVFYAAAAAHh93gDs97f8eH3eAAAAAAAAAAAAeH3eAOz3t/x4fd4AAAAAAAAAAAAAAAAAAAAAAAAAAAAAAAAAAAAAAAAAAAAAAAABERUXdkZKS//r6+v/w8PD1VFRUVgAAAAAeH3eAOz3t/x4fd4AAAAAAAAAAAAAAAAAAAAAAHh93gDs97f8eH3eAAAAAAAAAAAAAAAAAAAAAAAAAAAAAAAAAAAAAAAAAAABERUXdkZKS//Dw8PVUVFRWAAAAAB4fd4A7Pe3/Hh93gAAAAAAGBgYcAAAAAAAAAAAAAAAAAAAAAB4fd4A7Pe3/Hh93gAAAAAAAAAAAAAAAAAAAAAAAAAAAAAAAAAAAAABERUXde319/4OEhOYAAAAAAAAAACkrprMeH3eAAAAAAExNTYJAQUHOAAAAAAAAAAAAAAAAAAAAAAAAAAAeH3eAKSumswAAAAAAAAAAAAAAAAAAAAAAAAAAAAAAAAAAAABERUXdODo6/2ZnZ/+np6fQAAAAAAAAAAAAAAAAT09PdkNFRf5ERUXdAAAAAAAAAAAAAAAAAAAAAAAAAAAAAAAAAAAAAAAAAAAAAAAAAAAAAAAAAAAAAAAAAAAAAAYGBhw8Pj74e319//r6+v/6+vr/wcHBxQAAAABUVFRW8PDw9Xt9ff88Pj74BgYGHAAAAAAAAAAAAAAAAAAAAAAAAAAAAAAAAAAAAAAAAAAAAAAAAAAAAAAAAAAAAAAAAB4fH4phYmL6+vr6//r6+v/6+vr/+vr6/8vLy8/w8PD1+vr6//r6+v9hYmL6Hh8figAAAAAAAAAAAAAAAAAAAAAAAAAAAAAAAAAAAAAAAAAAAAAAAAAAAAAAAAAAAAAAAD5AQO6mp6f/+vr6//r6+v/6+vr/+vr6//r6+v/6+vr/+vr6//r6+v+mp6f/PkBA7gAAAAAAAAAAAAAAAAAAAAAAAAAAAAAAAAAAAAAAAAAAAAAAAAAAAAAAAAAAAAAAADg6Ov+9vb3/+vr6//r6+v/6+vr/+vr6//r6+v/6+vr/+vr6//r6+v+9vb3/ODo6/wAAAAAAAAAAAAAAAAAAAAAAAAAAAAAAAAAAAAAAAAAAAAAAAAAAAAAAAAAAAAAAADg6Ov+9vb3/+vr6//r6+v/6+vr/+vr6//r6+v/6+vr/+vr6//r6+v+9vb3/ODo6/wAAAAAAAAAAAAAAAAAAAAAAAAAAAAAAAAAAAAAAAAAAAAAAAAAAAAAAAAAAAAAAADk6OtGHiIj/+vr6//r6+v/6+vr/+vr6//r6+v/6+vr/+vr6//r6+v+RkpL/OTo60QAAAAAAAAAAAAAAAAAAAAAAAAAAAAAAAAAAAAAAAAAAAAAAAAAAAAAAAAAAAAAAABgZGW5BQ0P81dXV//r6+v/6+vr/+vr6//r6+v/6+vr/+vr6/+Xl5f9BQ0P8GBkZbgAAAAAAAAAAAAAAAAAAAAAAAAAAAAAAAAAAAAAAAAAAAAAAAAAAAAAAAAAAAAAAAAAAAAAyMzPKVFZW+tXV1f/6+vr/+vr6//r6+v/6+vr/1dXV/1RWVvoyMzPKAAAAAAAAAAAAAAAAAAAAAAAAAAAAAAAAAAAAAAAAAAAAAAAAAAAAAAAAAAAAAAAAAAAAAAAAAAAGBgYcMTIyvjg6Ov94enr8kZKS/5GSkv94enr8ODo6/zEyMr4GBgYcAAAAAAAAAAAAAAAAAAAAAAAAAAAAAAAAAAAAAAAAAAAAAAAAAAAAAAAAAAAAAAAAAAAAAAAAAAAAAAAAAAAAABISElEkJiamREVF3URFRd0kJiamEhISUQAAAAAAAAAAAAAAAAAAAAAAAAAAAAAAAAAAAAAAAAAAAAAAAAAAAAAAAAAAAAAAAAAAAAAAAAAAAAAAAAAAAAAAAAAAAAAAAAAAAAAAAAAAAAAAAAAAAAAAAAAAAAAAAAAAAAAAAAAAAAAAAAAAAAAAAAAAAAAAAAAAAAAAAAAAAAAAACcAAAAYAAAAAQAAAAAAAAD///8AAAAAACUAAAAMAAAAAQAAAEwAAABkAAAANgAAAAUAAACrAAAAGwAAADYAAAAFAAAAdgAAABcAAAAhAPAAAAAAAAAAAAAAAIA/AAAAAAAAAAAAAIA/AAAAAAAAAAAAAAAAAAAAAAAAAAAAAAAAAAAAAAAAAAAlAAAADAAAAAAAAIAoAAAADAAAAAEAAABSAAAAcAEAAAEAAADv////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NgAAAAUAAACsAAAAHAAAACUAAAAMAAAAAQAAAFQAAACoAAAANwAAAAUAAACqAAAAGwAAAAEAAABVVY9BJrSPQTcAAAAFAAAADwAAAEwAAAAAAAAAAAAAAAAAAAD//////////2wAAABGAGkAcgBtAGEAIABuAG8AIAB2AOEAbABpAGQAYQAAAAgAAAAEAAAABgAAAA8AAAAJAAAABQAAAAoAAAAKAAAABQAAAAgAAAAJAAAABAAAAAQAAAAKAAAACQAAAEsAAABAAAAAMAAAAAUAAAAgAAAAAQAAAAEAAAAQAAAAAAAAAAAAAACpAQAA0QAAAAAAAAAAAAAAqQEAANE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kAAAAAAAAAFAAAAAhAPAAAAAAAAAAAAAAAIA/AAAAAAAAAAAAAIA/AAAAAAAAAAAAAAAAAAAAAAAAAAAAAAAAAAAAAAAAAAAlAAAADAAAAAAAAIAoAAAADAAAAAMAAAAnAAAAGAAAAAMAAAAAAAAAAAAAAAAAAAAlAAAADAAAAAMAAABMAAAAZAAAAAAAAAAAAAAA//////////8AAAAAJAAAAEABAAAAAAAAIQDwAAAAAAAAAAAAAACAPwAAAAAAAAAAAACAPwAAAAAAAAAAAAAAAAAAAAAAAAAAAAAAAAAAAAAAAAAAJQAAAAwAAAAAAACAKAAAAAwAAAADAAAAJwAAABgAAAADAAAAAAAAAAAAAAAAAAAAJQAAAAwAAAADAAAATAAAAGQAAAAAAAAAAAAAAP//////////QAEAACQAAAAAAAAAUAAAACEA8AAAAAAAAAAAAAAAgD8AAAAAAAAAAAAAgD8AAAAAAAAAAAAAAAAAAAAAAAAAAAAAAAAAAAAAAAAAACUAAAAMAAAAAAAAgCgAAAAMAAAAAwAAACcAAAAYAAAAAwAAAAAAAAAAAAAAAAAAACUAAAAMAAAAAwAAAEwAAABkAAAAAAAAAHQAAAA/AQAAdQAAAAAAAAB0AAAAQAEAAAIAAAAhAPAAAAAAAAAAAAAAAIA/AAAAAAAAAAAAAIA/AAAAAAAAAAAAAAAAAAAAAAAAAAAAAAAAAAAAAAAAAAAlAAAADAAAAAAAAIAoAAAADAAAAAMAAAAnAAAAGAAAAAMAAAAAAAAA////AAAAAAAlAAAADAAAAAMAAABMAAAAZAAAAAAAAAAkAAAAPwEAAHMAAAAAAAAAJAAAAEABAABQAAAAIQDwAAAAAAAAAAAAAACAPwAAAAAAAAAAAACAPwAAAAAAAAAAAAAAAAAAAAAAAAAAAAAAAAAAAAAAAAAAJQAAAAwAAAAAAACAKAAAAAwAAAADAAAAJwAAABgAAAADAAAAAAAAAP///wAAAAAAJQAAAAwAAAADAAAATAAAAGQAAAALAAAARQAAACcAAABzAAAACwAAAEUAAAAdAAAALwAAACEA8AAAAAAAAAAAAAAAgD8AAAAAAAAAAAAAgD8AAAAAAAAAAAAAAAAAAAAAAAAAAAAAAAAAAAAAAAAAACUAAAAMAAAAAAAAgCgAAAAMAAAAAwAAAFIAAABwAQAAAwAAANb///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RQAAACYAAABzAAAAAQAAAFVVj0EmtI9BDAAAAHQAAAABAAAATAAAAAQAAAALAAAARQAAACgAAAB0AAAAUAAAAFgAAAAbAAAAFgAAAAwAAAAAAAAAJQAAAAwAAAACAAAAJwAAABgAAAAEAAAAAAAAAP///wAAAAAAJQAAAAwAAAAEAAAATAAAAGQAAAA2AAAAKAAAADQBAABzAAAANgAAACgAAAD/AAAATAAAACEA8AAAAAAAAAAAAAAAgD8AAAAAAAAAAAAAgD8AAAAAAAAAAAAAAAAAAAAAAAAAAAAAAAAAAAAAAAAAACUAAAAMAAAAAAAAgCgAAAAMAAAABAAAACcAAAAYAAAABAAAAAAAAAD///8AAAAAACUAAAAMAAAABAAAAEwAAABkAAAANgAAACgAAAA0AQAAbwAAADYAAAAoAAAA/wAAAEg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IQAAAAgAAABiAAAADAAAAAEAAABLAAAAEAAAAAAAAAAFAAAAIQAAAAgAAAAeAAAAGAAAAAAAAAAAAAAAqQEAANE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IJ20/AAAAAAAAAAB+P2w/AABYQgAAIEIkAAAAJAAAAAgnbT8AAAAAAAAAAH4/bD8AAFhCAAAgQgQAAABzAAAADAAAAAAAAAANAAAAEAAAADYAAAAo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lQAAAE0AAAAAAAAAIQAAAAgAAABiAAAADAAAAAEAAAAVAAAADAAAAAQAAAAVAAAADAAAAAQAAABRAAAAePoAADYAAAAoAAAAvwAAAG4AAAAAAAAAAAAAAAAAAAAAAAAA+QAAAIAAAABQAAAAKAAAAHgAAAAA+gAAAAAAACAAzACVAAAATQAAACgAAAD5AAAAgAAAAAEAEAAAAAAAAAAAAAAAAAAAAAAAAAAAAAAAAAA5Z1prWmt7b1prWmtaa3tvWmtaa1pre29aa3tvWmt7b3tve29aa3tvWmtaa1prWmtaa3tvWmt7b1prWmtaa1prWmtaa1pre29aa3tvWmt7b1prWmtaa1prOWdaa1prWmtaa1prWmtaa1pre29aa3tvWmtaa1prWmtaa1prWmtaa1prWms5Z1prOWdaa1prWms5Z1prWmt7b1prWmtaa1prWmt7b1prWms5Z1prOWdaa1prWmtaa1prWmtaa1prWms5Z1prOWdaazlnWmtaa1prWmtaa1pre29aa1prWmtaazlnWmtaa1prWmtaa1prWms5Z1prWmtaazlnWms5Z1prWmtaazlnWms5Z1prOWdaazlnWms5Z1prOWdaazlnWms5Z1prWmtaa1prWms5Z1prOWc5ZzlnWms5Z1prOWdaa1prWmtaa1prWmtaa1prWms5Z1prOWdaazlnWms5Z1prOWdaazlnWms5Z1prOWdaazlnWms5Z1prOWdaa1prWms5Z1prWmtaazlnWms5Z1prWmtaazlnWms5ZzlnOWdaazlnOWc5ZzlnOWc5ZzlnWmtaazlnOWd7b3tve285Z1prOWc5ZzlnOWc5ZzlnOWc5ZzlnWmtaa1prOWc5Zzlne285Z1prOWc5ZzlnOWc5Z1prGGMAAHtvWmt7b3tve29aa3tve297b1pre297b3tvWmt7b1pre297b3tvWmtaa1pre29aa3tvWmt7b1pre29aa3tvWmtaa1pre29aa3tvWmt7b1pre29aa1prWmtaa1prWmtaa3tvWmt7b1pre29aa3tve297b1pre29aa1prWmt7b1prWmtaa1prWmtaa1prWmtaa1prWmt7b1pre29aa3tvWmt7b3tve29aa1prOWdaa1prWmtaa3tvWmt7b1pre29aa1prOWdaa1prWmtaa1prWmtaa1pre29aa3tvWmt7b1prWmtaa3tvWmt7b1pre29aa1prWmt7b1prWmtaa1prWmtaa1prWmtaa1prWmtaa1prWms5Z1prWmtaa1prWmtaa1prWmtaa1prWmtaa1prWmtaazlnWms5Z1prWmtaazlnWmtaa1prWmtaa1prWmtaa1prWmtaa1prWmtaa1prWmtaa1prWmtaa1prWmtaa1prWmtaa1prWmtaa1prWmtaa1prWmtaa1prWms5Z1prWmtaazlnWmtaa1prOWdaa1prWms5Z1prOWc5ZzlnWmtaa1prOWdaa3tve29aa1prOWdaazlnOWc5ZzlnOWdaazlnWmtaa3tvWmtaazlnWmtaa1prOWdaazlnWms5Z1prOWdaawAAWmt7b3tve29aa3tvWmt7b1pre29aa3tvWmt7b1prWmtaa3tvWmtaa1prWmtaa1prWmt7b1prWmtaa1prWmtaa1prWmtaa1prWmtaa1prWmtaa1prWmtaa1prWmtaa1prWmt7b1prWmtaa3tvWmt7b1pre29aa1prWmtaa1prWmtaa1prWmtaa1prWmtaa1prWmt7b1prWmtaa1prWmtaa1pre29aa1prOWdaazlnWms5Z1prWmtaa1prWms5Z1prWmtaazlnWmtaa1prWmtaa1prWmtaa1prWmtaa1prWmtaa1prWmtaa1pre29aa3tvWmtaa1prWmtaa1prOWdaa1prWmtaa1prWmtaa1prWms5Z1prWmtaa1prWmtaa1prWmtaazlnWms5Z1prOWdaazlnWms5Z1prOWdaazlnWmtaa1prOWdaa1prWms5Z1prOWdaazlnWms5Z1prOWdaazlnWms5Z1prOWdaazlnWmtaa1prWmtaazlnWms5Z1prOWdaazlnWms5Z1prOWdaa1prWms5Z1prOWc5ZzlnWms5Z1prOWc5ZzlnWms5Z1prOWdaa1pre29aa1prOWdaazlnOWc5ZzlnOWc5ZzlnOWc5Z1prOWdaazlnOWc5Z1prOWdaazlnOWc5ZzlnOWc5ZzlnAAB7b1pre297b3tvWmt7b1pre29aa3tvWmt7b1pre29aa1prWmtaa1pre29aa3tvWmt7b1pre29aa3tvWmt7b1prWmtaa1prWmtaa1prWmtaa3tvWmtaa1prWmtaa1prWmt7b1prWmtaa3tve297b1pre29aa3tvWmt7b1pre29aa3tvWmt7b1pre29aa3tvWmt7b1prWmtaa1prWmtaa1pre29aa3tvWmtaa1prWmtaa1prWmtaa1pre29aa1prOWd7b1prWmtaa3tvWmt7b1prWmtaa1prWmtaa1prWmtaa3tvWmt7b1pre29aa3tvWmtaa1pre29aa1prWmtaa1pre29aa1prWmtaa1prWmtaa1prWmtaa1pre29aa1prWmtaa1prWms5Z1prOWdaa1prWmtaa1prOWdaa1prWms5Z1prWmtaa1prWmtaa1prWmtaa1prWmtaa1prWmtaa1prWmtaa1prWmtaa1prWmtaa1prWmtaa1prWmtaa1prOWdaazlnWms5Z1prWmtaa1prWmtaa1prWmtaazlnWms5Z1prWmtaazlnWmtaa1prWms5ZzlnWmtaa1prOWdaazlnWms5ZzlnOWdaazlnWms5Z1prWmtaazlnWms5Z1prWmtaazlnWms5Z1prOWdaazlnWmsAAFpre297b3tvWmtaa1pre29aa1prWmt7b1pre29aa3tvOWdaa1prWmtaa1prWmt7b1prWmtaa1prWmtaa1pre29aa1prWmtaazlnWmtaa1prWmtaa1prWms5Z1prWmtaa1prWmtaa3tvWmt7b1pre29aa1prWmtaa1prWmtaa3tvWmtaa1prWmtaa1prWmt7b1prWmtaa1prOWdaazlnWmtaa1prWmt7b1prWmtaa1prWmtaa1prWmtaa1prOWdaa1prWmtaa1prWmtaa1prWms5Z1prOWdaa1prWmtaa1prWmtaa1prWmtaa1prWmtaazlnWmtaa1prOWdaazlnWms5Z1prOWdaazlnWmtaa1prOWdaazlnWms5Z1prOWdaazlnWms5ZzlnOWdaa1prWmtaa1prOWdaazlnWms5Z1prOWdaa1prWms5Z1prWmtaazlnWms5Z1prOWdaazlnWms5Z1prOWdaazlnWms5Z1prOWdaazlnWms5Z1prWmtaazlnWms5Z1prOWdaa1prWms5Z1prWmtaazlnOWc5Z1prOWdaazlnWms5Z1prOWdaaxhjWmtaa1prOWc5ZzlnWms5ZzlnOWc5ZzlnOWc5Z1prOWdaazlnWms5ZzlnOWdaazlnWms5ZzlnOWc5ZzlnWms5ZwAAe297b5xze297b1pre297b3tvWmt7b3tve29aa3tvWmtaa1pre29aa3tvWmt7b1pre29aa3tvWmt7b1pre29aa1prWmt7b1prWmtaa1prWmtaa1prWmtaa1prWmt7b1pre29aa3tvWmt7b3tve29aa3tvWmt7b1pre29aa3tve297b1pre29aa3tvWmt7b1prWmtaa1prWmtaa1prWmtaa1prWmt7b1prWmtaa1prWmt7b1pre29aa1prWmtaa1pre29aa3tvWmtaa1prWmtaa1prOWdaa1prWmtaa1prWmtaa1prWmtaa1prWmtaa1prWmtaa1prWmtaazlnWmtaa1prOWdaazlnWms5Z1prWmtaa1prWmtaa1prOWdaazlnWmtaa1prWmtaa1pre29aa1prWmtaa1prWmtaa1prOWdaa1prWmtaa1prWmtaa1prWmtaa1prWmtaa1prWmtaa1prWmtaa1prWmtaa1prWmtaazlnWms5Z1prWmtaa1prWms5Z1prWmtaa1prWmtaa1prWmt7b1prWms5Z1prOWdaa1prWmtaa1prOWdaazlnOWdaa1prOWc5ZzlnWms5Z1prOWdaazlnOWc5Z1prOWdaazlnWms5ZzlnOWc5ZzlnWms5Z1prOWdaazlnWms5Z1prAAB7b3tve297b3tve29aa3tvWmt7b1pre29aa3tvWmtaa1prWmtaa3tvWmt7b1prWmtaa1prWmtaa1pre29aa3tvWmtaa1prWmtaa1prWmtaa1prWms5Z1prWmtaa1prWmtaa1prWmt7b3tve29aa1prWmt7b1prWmtaa3tvWmt7b1prWmtaa1prWmtaa1prWmtaa1prWmtaa1prWmtaa1prWmtaa1pre29aa1prOWdaa3tve29aa1prWmtaa1prWmtaa1prWmtaa1prWms5Z1prOWdaazlnWmtaa1prWmtaa1prWmtaa1prWmtaa1prWms5Z1prWmtaa1prWms5Z1prOWdaazlnWms5Z1prWmtaa1prWmtaa1prWmtaazlnWms5Z1prOWdaa1prWmtaa1prWmtaazlnWmtaa1prOWdaazlnWms5Z1prOWdaazlnWms5Z1prOWdaazlnWms5Z1prOWdaazlnWms5Z1prOWdaazlnWms5Z1prOWdaazlnWms5Z1prOWdaazlnWms5Z1prOWd7b1prWms5Z1prOWc5ZzlnWms5Z1prOWdaazlnOWc5Z1prOWc5ZzlnWms5ZzlnOWdaazlnOWc5ZzlnOWdaazlnWms5ZzlnOWc5ZxhjOWc5Z1prOWc5ZzlnOWc5ZzlnOWcAAHtve297b3tve29aa3tvWmt7b1pre29aa3tvWmt7b1pre29aa3tve297b3tve29aa3tvWmt7b1pre29aa3tvWmt7b1pre29aa3tvWmtaa1prWmtaa1prWmtaa1pre29aa3tvWmt7b1pre297b3tvWmt7b1pre29aa3tvWmt7b3tve29aa1prWmtaa1prWmtaa1prWmt7b3tve297b3tvWmtaa1pre29aa3tvWmtaa1prnHN7b3tvWmtaa1pre29aa3tvWmtaa1prWmtaa1prWmtaa1prWmtaa3tvWmt7b1pre29aa3tvWmt7b1prWmtaa1prWmtaa1prWmtaa1prWmtaa1prWmtaa1prWmt7b1pre29aa1prWmt7b1prWms5Z1prWmtaa1pre29aa3tvWmt7b1prWmtaa1prWmtaazlnWmtaa1prWmtaa1prWmtaa1prWmtaa1prWmtaa1prWmtaa1prWmtaa1prWmtaa1prWmtaa1prOWdaazlnWms5Z1prWmtaa1prWms5Z1prOWdaa1pre285Z1prOWdaazlnWms5Z1prOWdaazlnOWc5Z1prWmtaazlnWmtaa1prOWdaazlnWms5Z1prOWdaazlnWms5ZzlnOWc5ZzlnOWc5Z1prOWdaazlnWms5Z1prOWc5ZwAAWmtaa1pre29aa3tvWmt7b1pre29aa3tvWmtaa1prWmtaa1prWmt7b1prWmtaa1prWmtaa1prWmtaa1prWmt7b1prWmtaa1prWmtaa1prWmtaa1prWmtaa1prWmtaa1prWmtaa1pre29aa1prWmtaa1prWmtaa1prWmtaa1prWmtaa1prWmt7b1prWmtaa3tvWmtaa1prWmtaa1prWmt7b1prWmtaa1prWmtaa1prWmtaa1prWmtaa1prWmtaa1prWmtaa1prWms5Z1prOWdaa3tve29aa1prOWdaa1prWms5Z1prWmtaa1prWmtaa1prWmtaa1prWmtaa1prWmtaazlnWmtaa1prWmtaazlnWms5Z1prOWdaazlnWmtaa1prOWdaa1prWmtaa1prWmtaazlnWms5Z1prOWdaa1prWms5Z1prOWdaazlnWmtaa1prOWdaazlnWmtaa1prWmtaazlnWms5Z1prOWdaazlnWmtaa1prWmtaazlnOWc5ZzlnOWc5ZzlnWms5Z1prOWdaa1prWms5Z1prOWdaazlnWmtaa1prOWc5ZzlnWms5Z1prOWc5ZzlnOWc5ZzlnOWc5ZzlnOWc5ZzlnOWdaazlnWms5ZzlnOWc5ZzlnOWc5ZzlnOWc5ZzlnOWc5ZzlnOWc5ZxhjAAB7b1pre297b3tvWmt7b1pre29aa3tve297b1pre29aa3tvWmt7b1pre29aa3tvWmtaa1pre29aa3tvWmt7b1prWmtaa3tvWmtaa1pre29aa1prWmt7b1prWmtaa3tvWmtaa1pre29aa1prWmtaa1prWmtaa1prWmtaa1pre29aa3tvWmt7b1pre29aa3tvWmt7b1pre29aa3tvWmt7b1pre29aa3tvWmt7b1pre29aa1prWmt7b1prWmtaa3tvWmtaa1prWmtaa1prWmtaa1pre29aa1prWmtaa1pre29aa1prWmtaa1prWmtaa3tvWmtaa1pre29aa1prWmt7b1prWmtaa1prWmtaa1prWmtaa1prOWdaazlnWmtaa1prWmtaazlnWmtaa3tvWmt7b1prWmtaa1prWmtaa1prWmtaa1prOWdaa1prWmtaa1prWmtaazlnWmtaa1prWmtaa1prWms5Z1prWmtaa1prWmtaa1prWmtaa1prWms5Z1prOWc5ZzlnWms5Z1prWmtaa1pre29aa1prOWdaazlnWmtaa1prOWdaazlnWmtaa1prOWdaazlnWms5Z1prOWdaazlnWms5Z1prOWdaa1prWms5Z1prOWdaazlnWms5Z1prOWdaazlnWms5Z1prOWdaazlnOWcAAFpre29aa3tvWmt7b1prWmtaa3tvWmt7b1pre29aa3tvWmt7b1pre29aa1prWmtaa1prWmtaa1prWmt7b1prWmtaa1prWmtaa1prWmtaa1prWmtaa1prWmtaa1prWmtaa1prWmtaa1prWmtaazlnWmtaa1prWmtaa1prWmtaa1prWmt7b1prWmtaa3tvWmtaa1pre29aa3tvWmt7b1pre29aa3tvWmt7b1pre29aa1prWmtaa1prWmtaa1prWmtaazlnWms5Z1prOWdaazlnWms5Z1prWmtaa1prWmtaa1prWmtaazlnWmtaa1prWmtaa1prWmtaa1prWmtaa1prWms5Z1prWmtaa1prWms5Z1prOWdaazlnWms5Z1prOWdaazlnWms5Z1prWmtaa1prWmtaa1prWmtaa1prWms5Z1prOWdaazlnWms5Z1prOWdaazlnWms5Z1prWmtaa1prWms5Z1prOWdaa1prWms5Z1prOWdaazlnWms5Z1prOWc5ZzlnOWc5Z1prOWdaa1prWmtaa3tvWmtaazlnWms5Z1prOWdaazlnWmtaa1prOWdaazlnWms5ZzlnOWdaazlnOWc5Z1prOWc5ZzlnWms5Z1prWmtaazlnOWc5Z1prOWc5ZzlnOWc5ZzlnOWc5ZzlnOWc5ZwAAe29aa3tvWmt7b1pre29aa3tvWmt7b1pre297b3tvWmt7b1pre29aa3tvWmtaa1pre29aa3tvWmt7b1pre29aa3tvWmtaa1pre29aa1prWmtaa1prWmtaa3tvWmt7b1prWmtaa1prWmtaa1prWms5Z1prWmtaa1prWmtaa1prWmt7b1pre29aa3tvWmt7b1pre297b3tve297b1pre29aa3tvWmt7b1pre29aa3tvWmt7b1prWmtaa3tvWmtaa1prWms5Z1prOWdaa1prWmtaa1prWmt7b1pre29aa1prWmtaa1prWmtaa1prWmtaa1prWmtaa1prWmtaa1prWmtaa1prWmtaa1pre29aa1prWmtaa1prWms5Z1prWmtaa1prWmtaa1prWmt7b1prWmtaa3tvWmtaa1prWmtaa1prWmtaa1prWmtaa1prOWdaazlnWmtaa1prWmt7b1prWms5Z1prOWdaa1prWmtaa1prWmtaa1prWmtaa1prWmtaazlnWms5Z1prOWdaa1prWmtaa3tvWmtaazlnWms5Z1prOWdaazlnWmtaa3tvWmtaa1prWms5ZzlnOWdaazlnWms5Z1prOWdaazlnWmtaa1prOWd7b1prWms5Z1prOWdaazlnWms5Z1prOWdaazlnWms5Z1prAABaa1prWmt7b1pre29aa3tvWmtaa1pre29aa3tvWmt7b1pre29aa1prWmtaa1prWmtaa1prWmt7b1prWmtaa1prWmtaa1prWmtaa1prWmtaa1prWmtaa1prWmtaa1prWmtaa1prWmtaa1prWmtaa1prOWdaa1prWmtaa1prWmtaa1prWmtaa3tvWmtaa1pre29aa3tvWmt7b1pre29aa3tvWmtaa1pre29aa1prWmtaa1prWmtaa1prWmtaa1prWms5Z1prOWdaazlnWmtaa1prWmt7b3tve29aa1prWmtaa1prWmtaa1prWmtaa1prWmtaa1prWmtaa1prWmtaa1prOWdaa1prWmtaa1prWmtaa1prWmtaa1prOWdaa1prWms5Z1prWmtaa1prWmtaa1prOWdaa1prWmtaa1prWmtaa1prWmtaa1prOWdaazlnOWc5Z1prOWdaa1prWms5Z1prOWdaazlnWms5Z1prOWdaazlnWms5Z1prOWdaazlnWms5ZzlnOWdaazlnWmtaa1prWmtaa1prWms5Z1prOWdaazlnWmtaa1prWmtaa1prWms5ZzlnOWc5ZzlnWms5Z1prOWdaazlnWms5ZzlnOWdaa1prWms5Z1prOWc5ZzlnOWc5ZzlnOWc5ZzlnOWc5ZzlnOWcAAHtvWmt7b3tve29aa3tvWmt7b1pre297b3tvWmt7b1pre29aa3tvWmtaa1pre29aa3tvWmt7b1pre29aa3tvWmtaa1pre29aa1prWmt7b1prWmtaa3tvWmtaa1pre29aa3tvWmt7b1pre29aa1prWmtaa1prWmtaa1prWmtaa1pre29aa3tvWmt7b1pre29aa3tvWmt7b1pre29aa3tvWmtaa1pre29aa3tvWmt7b1prWmtaa3tvWmtaa1pre29aa1prWmtaa1prWmtaa1prWmtaa3tvnHN7b3tvWmtaa1prWmtaa3tvWmtaa1prWmtaa1prWmtaa1prWmtaa1prWmtaa1pre29aa3tvWmtaa1prWmtaa1prWmtaa1prWmtaa1prWmtaa1prWmtaa1prWmtaazlnWmtaa1prWmt7b1prWmtaa1prWmtaazlnWms5Z1prWmtaa1pre29aa1prOWdaazlnWmtaa1prWmtaa1prWms5Z1prWmtaa1prWmtaa1prOWdaa1prWmtaa1prWmt7b1prWmtaa1prOWdaa1prWmtaa1prWmtaazlnWmtaa1prOWdaazlnWmtaa1prOWdaazlnWmtaa1prOWdaa1prWmtaa1prOWdaazlnWms5Z1prOWdaazlnWms5Z1prOWdaawAAWmt7b1pre29aa3tvWmtaa1pre29aa3tvWmt7b1prWmtaa3tvWmtaa1prWmtaa1prWmt7b1prWmtaa1prWmtaa1prWmtaa1prWmtaa1prWmtaa1prWmtaa1prWmtaa1prWmtaa1prWmtaa1prOWdaazlnWms5Z1prWmtaa1prWmtaa3tvWmtaa1pre29aa1prWmt7b1prWmtaa3tvWmt7b1prWmtaa1prWmt7b1prWmtaa1prWmtaa1prWmtaa1prWmtaa1prWmtaa1prWmtaazlnWmtaa3tvWmtaazlnWmtaa1prWmtaa1prWms5Z1prWmtaazlnWmtaa1prOWdaa1prWmtaa1prWmtaa1prWmtaa1prWmtaa1prWms5Z1prWmtaa1prWmtaa1prOWdaazlnWms5Z1prOWdaazlnWmtaa1prOWdaazlnWms5Z1prOWdaazlnWmtaa1prOWc5ZzlnWms5Z1prWmtaazlnWms5Z1prOWdaazlnWms5Z1prOWdaazlnWmtaa1prOWdaa1prWms5Z1prOWdaazlnWms5Z1prWmtaazlnOWc5Z1prOWdaazlnOWc5Z1prOWdaazlnWms5Z1prOWc5ZzlnWmtaa1prOWc5ZzlnWms5ZzlnOWc5ZzlnOWc5ZzlnOWc5ZzlnAAB7b1pre29aa3tvWmt7b1pre297b3tvWmt7b1pre29aa3tvW2t7b1prW2taa3tvWmt7b1pre29aa3tvWmtaa1pre29aa1prWmt7b1prWmtaa1prWmtaa1pre29aa3tvWmtaa1prWmtaa1trWmtaazlnWmtaa1prWmtba1prW2tba3xvW2t7b1pre29aa3pvWmtaa1prW2taa3tvW2t7b1pre29aa3tvWmt7b1pre29aa3tvWmtaa1pre29aa1prWmt7b1pre29aa3tvWmtaa1prWWtZa3pvWmtaazlnWmtaa3tvWmtaa1prWmtaa1prWmtaa1prWmtaa1prWmtaa1prWmtaa3tvWmt7b1prWmtaa3tvWmtaa1prWmtaa1prWmtaa1prWmtaa3tvWmtaa1prWmtaa1prOWdaazlnWms5Z1prWmtaa1prWmtaa1prOWdaa1prWmtaa3tvWmtaazlnWms5Z1prWmtaa1prWmtaa1prWmtaa1prWmtaa1prOWdaa1prWmtaa1prWmtaa1prWmtaa1prWmtaa1prWmtaa1prWmtaazlnOWc5ZzlnOWdaazlnOWc5Z1prWmtaazlnWmtaa1prWmtaazlnWms5Z1prOWc5ZzlnWms5Z1prOWdaazlnWms5Z1prOWdaazlnWmsAAFlrWmtaa3pvWmt6b1pre29aa3tvWmt6b1prWmtaa1prW2tbb1tre29aa1trWmtba1pre29aa1prem97bzlnWms5Z1prWmtaa1pre29aazlnWWtaa1prWmtZa1prWWtaa1prWmtaa1trOmdaazlnWms5Z3pve29aaztrO2ddb9leNErZXp1zW2taa1lnem96b1pre29ba3tvW2tbb1pre29aa3tvWmtaa1prWmtaa3tvWmtaa1prWmtaa1prWmtaa1lrWms5Z1prOWdaa1lrem9ZZ1lrWWtaa1lrWmtaa1prWmtaa1prWmtaa1prWmtaazlnWmtaa1prOWdaa1prWmtaa1prWmtaa1prWmtaa1prWmtaa1prWmtaa1prWmtaa1prWmtaa1prWmtaa1prWmtaa1prWmtaa1prWmtaa1prOWdaazlnWms5Z1prOWdaazlnWms5Z1prWmtaa1prWms5Z1prWmtaa1prWmtaa1prOWdaazlnWms5Z1prOWdaazlnOWc5Z1prOWdaazlnWms5Z1prWmtaa1prWms5Z1prOWdaazlnWms5Z1prOWdaazlnWms5Z1prOWdaazlnOWc5ZzlnOWdaazlnWms5Z1prOWc5ZzlnOWc5ZzlnOWdaazlnOWc5Z1prOWc5ZzlnWms5ZwAAWmtaa3pvWmt7b1pre297b3tvem97b1prem9aa3pvWmt7b1tre29ba1tvW2t7b1prOWdaa3tvWmt7b1prWmt6b3tvWmt7b1prWmtaa3tvWmt6b1prem9aa1prWWtaa1lremtaa1trWmtbazpnW2s5Z1prOWdaazlnfG8bZ9pebzEtJbE1XGt8b5xzem96b1lre29ba3xvW2t7b1tre29aa3tvWmt7b1pre29aa3tvWmtaa1pre29aa3tvWmt7b1prWmtZa1prWWtaa1lrem9aa1prWWtaa1lrWmtaa3pvWmtaa1pre29aa3tvWmtaa1prWmtaa1prWmtaa1prWmtaa1prWmt7b1prWmtaa3tvWmtaa1pre29aa1prWmtaa1prWmtaa1prWmtaa1prWmtaa1prWmtaa1prWmtaa1prWmtaazlnWms5Z1prOWdaa1prWmtaa1prWmtaa1prWms5Z1prWmtaa1prWmtaa3tvWmtaazlnWmtaa1prWmtaa1prWms5Z1prWmtaa1prWms5Z1prOWdaa1prWmtaa1prOWdaazlnWms5Z1prOWdaa1prWms5Z1prWmtaazlnWms5ZzlnOWdaa1prWmtaa1prWms5ZzlnWms5ZzlnOWdaa1prWms5Z1prOWdaazlnWms5Z1prAABaa1prWmt6b1pre29aa3tvWmt7b1prem9aa3pvWmtaa1prW29aa1trWmtba1prW2s6Z3tvW2tba1trW2s5Z3tvWmtaa1pre29aa1prWmt7b1prem9aa1prWWtaazlnWWtZa1prWmtaazpnW2s6Z1prWWtZazlnOWdcbztrdlKpFOsgLSkaY1xrWmt7b1lrem9aa3tvW2tba1trW29aa1prWmt7b1pre29aa3tvWmtaa1prWmtaa1prWmtaa1prWmtZa1prOWdaa1lrWmtZa1prWWtaa1lnWmtZa1prWWtaa1prWmtaa1prWmtaazlnWmtaa1prOWdaa1prWms5Z1prWmtaa1prWmtaa1prWmtaa1prWmtaa1prWmtaazlnWmtaa1prWmtaa1prWmtaa1prWmtaazlnWms5Z1prOWdaazlnWms5Z1prOWdaazlnWmtaa1prOWdaa1prWms5Z1prOWdaazlnWmtaa1prWmtaazlnWms5Z1prOWdaazlnWmtaa1prOWdaa1prWms5Z1prOWdaazlnWmtaa1prOWdaazlnWms5Z1prWmtaazlnWms5Z1prOWdaazlnWms5ZzlnOWdaazlnWms5Z1prOWdaazlnWms5ZzlnOWc5ZzlnWms5Z1prOWc5ZzlnWms5ZzlnOWcAAHtvWmt7b1pre296b3tvem97b3pve29aa3tvWmt6b1pre29ba3tvW2t7b1trW29ba5xzW2sZY/heW2tbb1trWmtbazpnW2t7b5xzWmt7b3tve29aa3pvWmtaa1lrWmtZa3prWWtaa1prW2taa1prOWdaa1lre285Z1trO2e4WsoYbzEtKVxrW2s5Z3pvem+bc3tvW2t7b1tre29ba3tvWmt7b1pre29aa3tvWmtaa1prWmtaa3tvWmt7b1prWmtaa1prWWtaa1lrWmtZa1prWWtaa1lrWmtZa1prWmtaa1pre29aa3tvWmt7b1prWms5Z1prWmtaa1prWmtaa1prWmtaa1prWmtaa1prWmtaa1prWmtaa1prWmtaa1prWmtaa1prWmtaa1prWmtaa1prWmtaa1prWms5Z1prWmtaazlnWmtaa1prOWdaa1prWmtaa1prWmtaa1pre29aa1prOWdaa1prWmtaa1prWmtaa1prWmtaa1prWmtaa1prWms5Z3tvWmtaa1pre29aa1prOWdaa1prWmtaa1prWmtaazlnWms5Z1prWmt7b1prWms5Z1prOWdaazlnWms5Z1prOWdaazlnWms5Z1prOWdaazlnWms5Z1prOWdaazlnWms5Z1prOWdaazlnWms5Z1prOWdaawAAWmt6b1pre29aa3tvWmt7b1prem9aa3pvWmtaa1prem9aa1trWmtba1prW2tba1tvfG/4XhFCEUa3WltrXGtcb1trW2s6a3tvW297b1prWmtaa3tvWmtaa1lrWmtZa1lrWWtZa1lrWms6Z1prOmdaazhnOGdaazlnGWM7Z9ha6hwtJQwlPGudc1pre29ZZ3pvWmtba1trW2taa1trWmtaa1prWmtaa3tvWmtaa1prWmtaa1prWmtaa1prWmtaa1prOWdZazlnWms5Z1prWWtaazlnWmtZa1prWWtaa1lrWmtaa1prWmt7b1prWms5Z1prOWdaa1prWms5Z1prWmtaa1prWmtaa1prWmtaa1prWmtaa1prWmtaa1prWmtaa1prWmtaa1prWmtaa1prWmtaazlnWms5Z1prOWdaazlnWms5Z1prOWdaazlnWmtaa1prOWdaazlnWmtaa1prWmtaazlnWmtaa1prOWdaazlnWms5Z1prOWdaazlnWms5Z1prOWdaazlnWmtaa1prOWdaazlnWms5Z1prOWdaazlnWms5ZzlnOWdaa1prWms5Z1prOWc5ZzlnWms5ZzlnOWc5ZzlnWms5Z1prOWdaazlnWms5Z1prOWdaazlnOWc5Z1prOWc5ZzlnWms5ZzlnOWdaazlnAAB7b1pre296b3tvem97b3pve29aa3tvWmt7b1pre29aa3tvWmt7b1pre29ba3tvW2tba5VSrzmOMXROGmNcb3xvfW98b3xvWmtba1trfG9aa3tvWmt7b1prem9Za3pvWWtZa1lrWmtaa1trWmtba1prem84Z1prOWdba1tr2F6HFAwlTSlca31ze296b1prWmt6b1pre29ba1tvW2t7b1pre29aa3tvWmt7b1prWmtaa1prWmt7b1pre29aa3tvWmtaa1lnWmtaa1prWWtaa1lrWmtZa1prWmtaa1prem9aa3tvWmt7b1pre29aa1prWmtaa1prWmtaa1prWmtaa1prWmtaa1prWmtaa1prWmtaa1prWmtaa1prWmtaa3tvWmtaa1prWmtaa1prWmtaa1prWms5Z1prWmtaa1prWmtaa1prWmtaa1prWmtaa1prWmtaa1prWmtaa1prWmtaazlnWmtaa1prWmtaa1prWms5Z1prOWdaa1prWmtaa1prWmtaazlnWmtaa1prWmtaa1prWms5Z1prWmtaazlnWmtaa1prOWdaa1prWmtaa1prWmtaazlnWms5Z1prOWdaazlnWms5Z1prWmtaazlnWms5Z1prWmtaazlnOWc5Z1prOWdaazlnWms5Z1prOWdaazlnWmsAAFpre29aa3tvWmt7b1pre29aa3pvWmt6b1prem9aa3pvWmtaa1prWmtaa1tvW2tbbzpn+F4zShJCVEqWUpZSuFr4XltrfG9bazpnW29bb1trWmtaa1prWmtZa3pvWWt6a1hrWWtZZ1prOmtbazpnWmt7bzhnWWt6b1prW2u3WocULCXSOTtnXGtaa1lrWWt6b1prW2taa1trWmtba1prWmtaa3tvWmtaa1prWmtaa1prWmtaa1prWmtaa1prWmtaazlnWWs5Z1prWmtaazlnWmtaa1prOWdaa1lrWmtZa1prWmtaa1prWmtaa1prWmtaa1prWms5Z1prWmtaazlnWmtaa1prOWdaa1prWms5Z1prWmtaazlnWmtaa1prWmtaa1prWmtaa1prWmtaa1prWms5Z1prOWdaa1prWmtaa1prOWdaazlnWms5Z1prWmtaa1prWms5Z1prWmtaazlnWms5Z1prOWdaazlnWms5ZzlnOWdaazlnWms5Z1prOWdaazlnWms5Z1prWmt7b1prWms5Z1prOWdaazlnWms5Z1prOWdaazlnWmtaa1prWmtaazlnWms5ZzlnOWc5ZzlnOWc5ZzlnOWdaazlnWms5Z1prOWdaazlnWms5ZzlnOWdaazlnWms5ZzlnOWdaazlnOWc5ZwAAe297b3tvem97b3pve296b3tvWmt6b1pre29aa3tvWmt6b1pre29aa3tvW2t7b1trW2tbaztnt1p1UvJBsDmwOVRK+WKdc1xvW2t8b3xvOmtba1prW2taa3tvWmt7b3prWWtZa1prWmtba1prW2taa3pvF2N6b3pvWmsZY9heyBjrIPI9PGtca5xzWWt6b1lnem9aa1trW2tbb1trW2taa3tvWmtaa1prWmtaa1prWmtaa1pre29aa3tvWmtaa1prWWtZZ1prWWtaa1prWms6Z1trWmtaa1prWmtaa3prWWtaa1prWmtaa3tvWmtaa1prWmtaa1prWmtaa1prWmtaa1prWmtaa1prWmtaa1prWmtaa1prWmtaa1prWmtaa1prWmtaa1prWmtaa1prWmtaa1prWmtaa1pre29aa3tvWmtaa1prWms5Z1prWmtaa1prWmtaa1prWmt7b1prWms5Z1prWmtaa1prWmtaa1prOWdaa1prWmtaa1prWmtaazlnWmtaa1prWmt7b3tve29aa1prWmtaazlnWms5Z1prOWdaa1prWms5Z1prWmtaa1prWms5Z1prOWdaazlnOWc5ZzlnOWdaazlnWmtaa1prWmtaa1prWms5Z1prOWdaazlnWms5Z1prOWdaazlnWms5ZzlnAABaa3pvWmt7b1prem9aa3tvWmt6b1pre29aa1prWmtaa1lnWmtaa3pvWmtba1trfG86a1trO2c7Z9haVE6PNSslbS3QOVROGWM7a1trOmtbazprW2tbb3tvWmtaa1prWmtZa3lrWWtaa1prW2s6ZzprOWdaazhnem8YYzln11rJHAwlsTlca3xvWmt6b3premtaa3tvW2tbb1tre29ba1prWmtaa1pre29aa1prWmtaa1prWmtaa1prOWdaa1prem85Z1lnOWdaazpnW2taa1trOWdbazpnWmtaa1prWWebc1lrWmtaa1prWmtaa1prWms5Z1prWmtaazlnWmtaa1prOWdaa1prWmtaa1prOWdaazlnWmtaa1prWmtaa1prWms5Z1prOWdaazlnWms5Z1prOWc5ZzlnWmtaa1prOWdaazlnWms5Z1prWmtaa1prWmtaa1prWmtaazlnWmtaa1prOWc5ZzlnWms5Z1prOWdaazlnWmtaa3tvWmtaazlnOWc5Z1prWmtaa1prWmtaa1prOWdaazlnWms5Z1prOWdaazlnWms5Z1prOWdaazlnWmsYYzlnOWc5ZzlnOWc5Z1prOWc5ZzlnWms5Z1prOWdaazlnWms5Z1prOWc5ZzlnOWc5Z1prOWc5ZzlnOWc5Z1prGGMAAHtvWmt7b3pve29aa3tvem97b1pre296b3tvWmt6b1prWmtaa3tvWmt7b1pre29bb3xvXGt8b1xrO2vYXnVSEkIrJUwtrjXPOXROGWN8bzpnOmd7b3xvOmdba513nXM5Z3pvemtaa1prfG87ZzpnfG9aa1prWWt6bzlnOmf4XukcLCWQNX1vfG97b1prem9aa3tvWmt7b1tre29bb3tvWmtaa1pre29aa3tvWmt7b1pre29aa3tvWmtaa1pre29aa1prWWtaa1prWmtaa1trW2tba1trW2taa3tvWmtaa1lrWmtaa1prWmtaa1pre29aa1prWmtaa1prWmtaa1prWmtaa1prWmtaa1prWmtaa1prWmtaa1prWmt7b1prWmtaa1prWmtaa1prWms5Z1prWmtaazlnWmtaa1prWmtaa1prWmtaa1prWmtaa1prWmtaa1prWmtaa1prWmtaa3tvWmtaa1prWmtaa1prWmtaa1prWms5Z1prWmt7b1prWms5Z1prWmtaa1prWmtaa1prWmtaa1prWmtaa1prWmtaa1prWmtaa1prWmtaa1prWmtaa1prOWdaa1prWms5Z1prOWdaazlnWmtaa1prOWdaazlnWms5Z1prOWdaazlnWms5Z1prOWdaazlnWms5Z1prOWc5ZwAAWmt6b1prem9aa3pvWmt6b1prem9aa3pvWmt6b1prWmtZa3prWmt6a1prWmtaa3tvW2tbazprW2tba1tr+WL4XlNKrjUqJUwtjTHQPVROGmN9bzpnGWN8b3xvOmc6Z3xvOGd6bzlnW2t8b/lelVIaYzprfG85Z3tvOWdaa/heCiHrIJA1XGt8b1prem9Za3prWmtbazprW2tba1tvWmtaa1prWmtaa1prWmt7b1prWmtaa3tvWmtaa1prWmtaa1prWWtaa1lrWms6Z1prOmdba1trW2s6ZzprWmt6b1lrWWs5Z1prOWdaa1prWmtaa1prOWdaa1prWmtaa1prOWdaazlnWmtaa1prWmtaazlnWms5Z1prOWdaa1prWmtaa1prWmtaazlnWms5Z1prOWdaazlnWms5Z1prOWdaazlnWmtaa1prWmtaa1prWms5Z1prOWdaazlnWmtaa1prWmtaa1prWmtaa1prWmtaa1prWms5Z1prOWdaa1prWms5Z1prWmtaa1prWmtaa1prWmtaa1prWms5Z1prWmtaazlnWms5Z1prOWdaazlnWms5Z1prWmtaa1prWms5ZzlnOWc5ZzlnWms5Z1prOWdaazlnOWc5Z1prOWc5ZzlnOWc5ZzlnOWdaazlnOWc5Z1prOWdaazlnAAB7b1pre29aa3tvWmt7b1pre29aa3tvWmt7b1prem9aa3pvWmt6b1prem9aa3tvW2t7b1prOms6Z1trWmtaazpnGWMZY7ZWjTUrKW0x0DmvNXROGmN9bzpnO2d9b51zOmd7b5xze29baztrEkJMKdA5W2t8b3tve29ba1pr+F4rJesgbzFca3xve29Za3prWmt7b1prW2tba3tvW2t7b1prWmtaa1prWmt7b3tve29aa3tvWmt7b1prWmtaa1prWWtaa1lremtaa1trOmdca1trfG9ba1trWmtaa1pre29Za1prWmtaa1prWmtaa1prWmtaa1prWmtaa3tvWmtaazlnWmtaa1prWmtaa1prWmtaa1prWmtaa1prWmtaa1prWmtaa1prWmtaa1prWmtaazlnWmtaa1prWmtaa1prWms5Z1prWmtaa1prWmtaa1prOWdaa1prWmtaa3tvWmtaa1pre29aa3tvWmt7b1prWmtaa1prWmtaa1prWmtaa1prWmtaa1prWmtaa3tvWmtaa1pre29aa1prWmtaa1prWmtaa1prWmtaa1prWmtaa1prWmtaa1prWmtaa1prOWdaazlne29aa1prWmtaazlnWms5Z1prOWdaazlnWms5Z1prOWdaazlnWms5Z1prOWdaazlnWmsAAFprem9aa3pvWmt6b1prem9aa1prWmt7b1prem9aa3pvWWt6a1prem9Za1prWmt7b1prWms5Z1prWmtaa1prWms6Zxhj+GI5Z5VSrjUrKY0xbS2ONTNGO2d9bztnO2e+dzlne286Zztn+V6wNckYbS35XpxzWmt7b1prWmv4Xm0xyhxOLRpjfG9aa1prWWt6b1prWms6Z1tvW2tba1pre285Z1prWmt7b1pre29aa3tvWmt7b1prWmtaa1prWmtaazhnWWtZa1prOmdbaztrXGv4XvliW2ucc1prWWtaa1lrWmtaa1prWms5Z1prOWdaazlnWmtaa1prWmtaazlnWmtaa1prWmtaa1prWmtaa1prOWdaazlnWms5Z1prWmtaa1prWmtaa1prOWdaazlnWmtaa1prOWdaazlnWms5Z1prWmtaa1prWms5Z1prOWdaazlnWmtaa1prWmtaa1prWmtaa1prWmtaa1prWms5Z1prOWdaazlnWms5Z1prWmtaazlnWmtaa1prWmtaa1prWmtaa1prWmtaa1prWmtaa1prOWdaazlnWms5Z1prOWdaazlnWms5Z1prOWc5ZzlnWmtaa3tvWmtaa1prWms5Z1prOWdaazlnWms5ZzlnOWc5ZzlnOWc5ZzlnOWc5ZzlnWms5ZwAAem9aa3tvWmt6b1pre29aa3pvWmt7b3pve29aa3tvWmt6b1pre296a1prWmt6b1pre29aa3pvWmt6b1prem9aaxhjWmt8bxlnGWP4XpVS0DlLKW0tjjWPNTNG2Vo8Z/leWmtba1trO2v6YtE5LCVuMddafG98b1tvW2s6ZxpjsDnrHC0pGmNba3tvWmt6b1pre29aa1trfG98c1trW2t7b1prWmt7b1pre29aa3tvWmt7b1pre29aa3tvWmtaa1lrWWs5Z1prWmtbb1trW2s7Z9A50D3XWnxze29Za3pvWWt6b1pre29aa1prWmtaa1prWmtaa1prWmtaa1prWmtaa3tvWmtaa1prWmtaa3tvWmtaa1prWmtaa1prOWdaa1prWmtaa1prWmtaa1prWmtaa1prWmtaa1prWms5Z1prWmtaa1prWmtaa1prWmtaa1prWmtaa1prWmtaa1prWmtaa1prWmtaa1prWms5Z1prOWdaazlnWmtaa1prWmt7b1prWmtaa1prWmtaa1prWmtaa3tvWmt7b1prWmtaa1prWmtaa1prWmtaa1prWmtaa1prOWc5Z1prOWdaazlnWmtaa3tvWmt7b1prWmtaa1prOWdaazlnWms5Z1prOWdaazlnWms5Z1prOWdaazlnWmtaa1prAABaa3pvWmtaa1prem9aa1prWmtaa1prem9aa3tvWmt6b1prem9aa3pvWWtaa1lremtZa1prWWtaa1lrem9Za1lre286ZxhjW2tbazpn+F4ZY3VS8T1tLW4xbjGPMdE9dU4ZYzpnO2dca9le0j0LIQslVU5ca1tre29ba1trOmcTRsocLSXYWjpnWmt6b1lrWmt6b1prWmt8c3xve29aa3tvWmtaa1prWmtaa3tvWmtaa1prWmtaa1prWmtaa1prWmtZa1lrOGdaa1trXGsaY/li6iAKIRJGW2t7b1lrWmtaa1lrWmtaa1prWmtaa1prWmtaa1prOWdaazlnWmtaa1prWmtaa1prWmtaa1prWmtaa1prWms5Z1prOWdaazlnWmtaa1prWmtaa1prWms5Z1prOWdaazlnWms5Z1prOWdaazlnWms5Z1prWmtaazlnWmtaa1prWmtaa1prWms5Z1prWmtaa1prWms5Z1prOWc5ZzlnWms5Z1prWmtaa1prWmtaa1prWmtaa1prWmtaa1prWmtaa1prWms5Z1prOWdaazlnWms5Z1prOWdaazlnWms5Z1prOWdaazlnWms5Z1prWmtaa1prWmtaa1prOWc5ZzlnWms5ZzlnOWc5ZzlnOWc5ZzlnOWc5ZzlnWms5Z1prOWcAAHtvWmt6b1pre29aa3pvWmt6b1prem9aa3tvem97b1pre29aa3tvWmt6b1lremtZa3tvem96b1prem9aa3pvWWtZa1pre29aazprOmc6ZxljGWP4XrdWEkKOMSslbS2ONa418D2WUvpi+l4URpAxTS1USjtrXG9ba3xvW2tbb1RO6yAMJdhaGmN7b3pvem9Za3tvWmt7b5xznXd7b1trW2t7b1pre29aa3tvWmt7b1prWmtaa3tvWmt7b1prW2taa3pvWWtZa1prfG9baxpn2FpNLQohEkZba3xvOWd6a1lrWmtaa1prWmt7b1pre29aa3tvWmtaazlnWmtaa1trWmt7b1prWmtaa1prWmt7b1pre29aa1prOWdaazlnWms5Z3tvWmtaa1prWmtaa1prWmtaa1prWms5Z1prWmtaa1prWmtaa1prWmtaa1prWmtaa3tvWmtaa1prWmtaa1prWmt7b1prWmtaa1prWmtaazlnWms5Z1prWmtaa1prWmtaa1prWmtaa1pre29aa1prWmtaa1prWmtaa1prOWdaazlnWmtaa1prWmtaa1prWmtaa3tvWmt7b1prWms5Z1prOWdaa1prWms5Z1prOWdaazlnWms5Z1prOWdaazlnWms5Z1prOWc5ZzlnWms5Z1prWmtaawAAWmt6b1prem9aa3pvWmt6b1lrWmtaa1prWmtaa1prem9aa3pvWmtaa1prWmtaa3pvWmt6b1premtZa1prWWt6a1pre29aa1prWmtaa1prWms5ZzpnGGP4XpRSEUKMMSslCyVNKU4pkDXTPdI9Ti0tJbA1O2caY3xvfG9Za3prlFLqIC0pE0J9c1tre29Za5tvWWt6a1prem9aa3trW2t7b1prWmtaa1prWmtaa1prWmtaa1prW2t7b1prW2s6a1prWWtZazlnWms6a1trGmf6Xm8x6yBuLV1vOmtZa3lrWWs5Z1prWmt7b1tre297b3tvWmtba1prW2s6Z1prOmdaa1prWmtaa1prWmtaa1prWms5Z1prWmtaazlnWmtaa1prOWdaa1prWms5Z1prWmtaazlnWmtaa1prWmtaazlnWmtaa1prOWdaazlnWmtaa1prWmtaa1prWms5Z1prOWdaazlnWms5Z1prOWdaazlnWms5Z1prWmtaazlnWmtaa1prWmtaa1prWms5Z1prOWdaa1prWmtaa1prOWdaazlnWms5Z1prOWdaazlnOWc5Z1prOWdaazlnWms5Z1prOWdaazlnWms5Z1prOWdaazlnWms5Z1prOWdaazlnWms5Z1prGGM5ZzlnOWcYYzlnOWdaa1prAAB7b1pre29aa3tvWmt7b1prWmtaa3pvWmt6b1pre29aa3tvWmt7b1prem9aa3tvem97b1pre29aa1prWmt6b1pre29aa3tvWmtaa1prWmtaa1prWmt7b1prWmv3XtZalVIzRhNCsTktKQwhyhzrHOwgTil2TthaXGudczhjWmu2VskcLSkzRlxrOmd7b1prOGd6b1lrem9aa3tvWmt7b1trW2taa3tvWmt7b1pre29aa1trW2t7b1tre29aa1trWmtaa1lrWms5Z1trW2s7Z/lekDHKHE4tPGdcazlneWtYa1prWmt7b1tre29ba3tvWmt7b1prW29ba1trWmtbazprW2taa1prWmtaa1prWmtaa1prWmtaa1prWmtaa1prWmtaa1prWmtaa1prWmtaa1prWmtaa1prWmtaa1prWmtaa1prWmtaa1prWmtaa1prWmtaa1prWmtaa1prWmtaa1prWmtaa1prWmtaa1prWmtaa1prWmtaa1prWmtaa1prWmtaa1prWmtaa1prWmtaa1pre29aa1prWmtaazlnWmtaa1prWmtaazlnWms5Z1prOWdaa1prWmtaa1prOWdaazlnWmtaa1prWmtaa1prWmtaa1prOWdaazlnWms5Z1prOWc5ZzlnWms5ZzlnOWdaa1prWmsAAFprem9aa3pvWmt6b1prem9aa1prWmtaa1prem9aa3pvWmt6b1prWmtaa3pvWmt6b1prem9aa1prWmtaa1prWmtaa1prWmtaa1prWmtaa1prOWc5ZzlnOWc5ZzlnGGMYY/he+V6WUvI9bi0MJcoYyRjrHNE5NEYbZ11rGmM6Zxlj6yBOKdE5XWsZY51zOmdaa1lremtZa3prWmt7a1trW2taa3tvWmt7b1pre29aa1prWmtba1prW2taa1trWmtaa1prWms5Z1prWmtbaxpn+l6QNesgDCX6XltrOWc4Z1lrWWtba1prWmtaa1prWmtaa1prWmtaa1prWmtbazpnWmtaa1prWmtaa1prWmtaa1prWmtaazlnWmtaa1prOWdaazlnWms5Z1prOWdaazlnWms5Z1prOWdaa1prWms5Z1prOWdaa1prWmtaa1prWmtaa1prWms5Z1prWmtaazlnWms5Z1prOWdaazlnWms5Z1prWmtaazlnWmtaa1prOWdaa1prWms5Z1prWmtaazlnWmtaa1prOWdaazlnWms5Z1prOWdaazlnWms5Z1prOWdaazlnWms5Z1prOWdaazlnWms5Z1prOWdaazlnWms5Z1prOWdaazlnOWc5ZzlnOWc5ZzlnOWc5ZzlnOWc5ZzlnWms5ZwAAe296b3tvWmt7b3pve29aa3tvWmt6b1pre29aa3tvWmt7b1pre29aa3tvWmt7b1pre29aa3pvWmt6b1prem9aa3tvWmtaa1pre29aa3tvWmt7b1prWms5Z1prOWc5ZxhjWms5Zzpn+F7YWlVKkDWpFFZKsTUtKZE1mFIbYzxnuFaQNS0pkDVdb1xrfG86Z3tvem9aa3prWmt7b1pre2tba3tvWmt7b1pre29aa3tvWmt7b1pre29aa3tvWmtba1prWmtaa1prOWdba1trO2f6YvI9DCUMJZdWfW86Z1lrWWt6b1prWmtaa3tvWmtaa1pre29aa1prWmtba1prWmtaa1prWmtaa1prWmtaa1prWmtaa1prWmtaa1prWmtaa1prWmtaa1prOWdaa1prWms5Z1prWmtaa1prWmtaa1prWmtaa1pre29aa3tvWmtaa1prWmtaa1prWmtaa1prWmtaa1prWmtaa1prWmtaa1prWmtaa1prWmtaa1prWmtaa1prWmtaa1prWmtaa1prWmtaa1prWmtaazlnWms5Z1prOWdaa1prWms5Z1prOWdaazlnWmtaa1prOWdaazlnWms5Z1prWmtaa1prWmtaa1prWmtaazlnOWc5ZzlnOWc5ZzlnWms5Z1prOWdaazlnWms5Z1prAABaa3pvWmt7b1prem9aa3tvWmt6b1prem9aa3pvWmt6b1prem9aa3pvWmt6b1prem9aa3pvWmtaa1lrWmtaa1prWmtaa1prWmtaa1prWmtaa1prWmtaa1prWmtaa1prWmtYZzdnOGM5Zxlj+V4TQusgby3TPVdK1D0NJXAt0z02SpExDSFOKTxnPGd9bxljW2taa1prWmtaa1prWmtaa1trWmt7b1pre29aa3tvWmt7b1prWmtaa1prWmtaa1prWms5Z1prWWtaazpnW2s6ZxtjE0JOKeocNEZca1prWWd6b1lrWmtaa1prWmtaazlnWmtaa1prWmtaa1prWmtaa1prWmtaa1prWmtaa1prWmtaazlnWmtaa1prOWdaa1prWms5Z1prOWdaazlnWms5Z1prOWdaa1prWmtaa1prOWdaazlnWmtaa3tvWmt7b1prWmtaa1prWmtaazlnWms5Z1prOWdaazlnWms5Z1prOWdaazlnWmtaa1prOWdaa1prWms5Z1prWmtaazlnWmtaa1prOWdaazlnWms5Z1prOWdaazlnWms5Z1prOWc5ZzlnWms5Z1prOWdaazlnOWc5Z1prOWdaazlnWms5Z1prOWdaazlnOWc5ZzlnOWc5ZzlnOWc5ZzlnOWc5ZzlnOWc5ZzlnOWcAAHtvem97b3pve296b3tvem97b1pre296b3tvWmt7b1prem9aa3tvem97b1pre29aa3tvWmt7b1prWmtaa3pvWmt7b1pre29aa1prWmt7b1prOWc5Z1prWmtaazlnWmtZZ1hrN2d5b1lrGWP4XlVKDCENJZI1ulb1QQ8lUC1QLQ4lDiXLHE8td1L6Yn1vnXNba1trWmtba1prW2taa1trWmt7b1pre29aa3tvWmt7b1pre29aa3pvWmtaa1prem9aa1prWmtaa1lrWmtaa1trGmNVTo8x6hyPNTtrOmtaa1lremtaa3pvWmtaa1prWmtaa1prWmtaa1prWmtZa3prWmtaa1prWmtaa1prWmtaa1prWmtaa1prWmtaa1prWmtaa1prWmtaa1prWmtaa1prWmtaa1prWmtaa1prWmtaa1prWmtaa1prWmt7b1pre29aa1prWmtaa1prWmtaa1prWmtaa1prWmtaa1prWmtaa1prWmtaa1prWmtaa1prWmtaa1prWmtaa1prWmtaa1prWmtaazlnWms5Z1prOWdaa1prWmtaa1prOWdaazlnWms5Z1prOWdaazlnWms5Z1prOWdaa1prWmtaa1prWmtaa1prWms5Z1prOWc5ZzlnOWc5Z1prOWc5ZzlnWms5Z1prOWdaawAAWmt7b1pre29aa3tvWmt7b1pre29aa3pvWmt6b1prWmtaa3pvWmt6b1prem9aa1prWmt6b1prWmtaa1prWmtaa1pre29aa1prWmtaa1prWmtaa3tvWmt7b1prWms5Z1prWGdYa5pvm28ZYxpjVUoMIQ0lszncXvVBihQOJS8pszkvKcwcDSWxNTVG2Fpca1trOmdbazpnWmtaZ1trOmdaa1prW2taa1trWmtaa1prWmtaa3pvWWtaa1lrWmtZa1prOWdaa1lrWWs5Z1trOmcbZ5dS0j3JGCwpGWNba1prWWtZa1prWmtaa1prWmtaa1prWmtaa1lrWmtZa1prWWtaa1lrWmtaa1prWmtaa1prWmtaa1prOWdaa1prWms5Z1prWmtaa1prWmtaa1prWmtaazlnWms5Z1prWmtaazlnWms5Z1prOWdaa1prWmtaa1prWmtaazlnWmtaa1prOWdaazlnWms5Z1prOWdaazlnWmtaa1prOWdaa1prWms5Z1prOWdaazlnWmtaa1prWmtaazlnWms5ZzlnOWdaazlnWms5Z1prOWdaazlnWms5Z1prOWdaazlnOWc5Z1prOWc5ZzlnWms5Z1prOWdaazlnWms5ZzlnOWc5ZzlnOWc5ZzlnOWdaazlnOWc5Z1prOWc5ZzlnAAB7b3pve296b3tvem97b3pve296b3tvWmt7b1pre29aa3pvWmt7b3pve296b3pvWmt7b1prem9aa3pvWmt6b1pre29aa3tvWmt7b1prWmtaa1prWmtaa1prWmtaa3tvem+abzhneWtZazpnO2eXUgshDSWRMR5nV04uJS8pDiUuKRZGDiUNJQwlkDGPMZdS+V5ca1trW2taa1trWmtba1prW2tba1trWmt7b1prW2taa3tvWmtaa1lrWmtZa3prWmtaa1prWmtZZ1prWmtbaxpn2VoTQuogCiEaY1tve29Za3prWmt6b1pre29aa1trWmtba1prWmtZa3prWWtZa1lrWmtaa1prWmtaa1prWmtaa1prWmtaa1prWmtaa1prWmt7b1prWmtaa3tvWmtaa1prWmtaa1prWmtaa1prWmtaa1prWmtaazlnWmtaa1prWmtaa1prWmtaa1prWmtaa1prWmtaa1prWmtaa1prWmtaa1prWmtaa1prWmtaa1prWmtaa1prWmtaa1prWmtaa1prWms5Z1prOWdaazlnWmtaa1prWmtaazlnWms5Z1prOWdaazlnWms5Z1prOWdaazlnWmtaa1prWmtaa1prWmtaa1prOWdaazlnWms5ZzlnOWdaazlnOWc5Z1prOWc5ZzlnWmsAAFprem9aa3pvWmt6b1pre296b3tvem97b1pre29aa3tvem96b1pre297b3tvWmtaa1lrWmtaa1prWWtaa1prWmt7b3tvWmtaa1prWmtaa1prWmtaa1prWmtaa1prWmtaazlnems5Z1pnGmM7Z7hWTSkMIU4pulr7XvM9sTmQMW8tyxzLHOwgsTUUQk0pjjFMLdA5llIZYzpnGWNba3trfG8ZY1pre298b1trWmtaa3tvWmtaa1prWms5Z1lrWWtaazlnWmtZa1prOWdaazpnO2sbZ/JByhwLJXVOW2s5Z3tvGGOccxhje29baxhjfG86azprOWdaa3pvOGdZa1lremtZa1prWmtaa1prWmtaa1prWmtaazlnWms5Z1prWmtaa1prWmtaa1prOWdaa1prWms5Z1prWmtaa1prWms5ZzlnOWdaazlnWms5Z1prWmtaa1prWmtaa1prOWdaazlnWms5Z1prOWdaazlnWms5Z1prWmtaazlnWms5Z1prWmtaazlnWmtaa1prOWdaa1pre285Z1prOWdaazlnWms5Z1prOWdaazlnWms5Z1prOWdaazlnWms5Z1prOWc5ZzlnOWc5ZzlnOWdaazlnOWc5Z1prOWdaazlnWms5ZzlnOWc5ZzlnOWc5Z1prOWc5ZzlnOWc5ZwAAe29aa3tvWmt7b1pre297b3tve297b3tve296b3tvem97b3pve296b5tze297b1prWmtaa3pvWmtaa1prem9aa3tve297b1prWmtaa1prWmtaa1pre29aa3tvWmtaa1prWmtba1trO2c7Zztn2VpOLQwlTSnaXjxrt1aWUpZSVErrHA0l6xzrHLhW+l5VSvE9jjFtLa41Mkb4XjlnOmcZY55zW2s6ZxljW2tba3xvW2tba1pre29aa1prOWc5ZzhnWmtZa1prWWtaazlnW2s7ZztnNEYLIeocM0Zba1tvWmt7b3tvGGNaa1prOmtba3xve29aa5xzem9Za1lreW9Za1prWmtaa1prWmtaa1prWmtaa1prWmtaa1prWmtaa1pre29aa1prWmtaa1prWmtaa1prOWdaazlnOWc5Z3tve29aazlnWmtaa1prWmtaa1prWmtaa1prWmtaa1prWmtaa1prWmtaa1prWmtaa1prWmtaa1prWmtaa1prWmtaa1prWmtaa1prWmtaa1pre29aa1prWmtaa1prWmtaa1prWmtaazlnWms5Z1prOWdaa1prWms5Z1prOWdaazlnWms5Z1prOWdaazlnWms5Z1prOWdaa1prWmtaa1prOWdaazlnWms5Z1prWmtaazlnWms5Z1prAABaa3pvWmt6b1pre29aa3tvem97b3pve296b3tvWmt7b3tve29aa3pve297b1prWmtaa1prWmtaa1prWmtaa1prWmt7b1prWmtaa1prWmtaa1prWmtaa1prWmtaa1prWms6Z1trOmc7axtjPGfZWo8x6yBNLbdWfW8ZYxlj+F7XWm4t6xzKGAwhuFZ+b9laGmOWUvE9TClsLY0xrjURQrZW2F4aYztnXG9ba1trOmc6Z3tve286ZzlnGWM5Z1prnHM5Z1prWWdZa1lrWms6ZztrGmOXUuocyRiPNVxrW2s6Z3tvW2s5Z1tvOmf4XvFBdE46Z3tvW2taa1lreWtZa1lrWWtaa1prWmtaa1prWmtaa1prWms5Z1prOWdaazlnWmtaa1prOWdaazlnWmtaa1prWmtaa1prWms5ZzlnOWd7bzlnWms5Z1prOWdaazlnWmtaa1prOWdaa1prWms5Z1prOWdaazlnWms5Z1prOWdaa1prWms5Z1prOWdaazlnWmtaa1prOWdaazlnWms5Z1prOWdaazlnWms5Z1prOWdaazlnWms5ZzlnOWdaazlnWms5Z1prOWdaazlnWms5ZzlnOWdaazlnWms5Z1prOWdaa1prWms5Z1prOWdaazlnWms5Z1prOWdaazlnWms5ZzlnOWcAAHtvWmt7b1pre296b3tvem97b3tve296b3tvem97b1pre296b3tvWmt7b3tve29aa3pvWmt6b1prem9aa3pvWmt7b1pre29aa3tvWmt7b1pre29aa3tvWmt7b1prWmtaa1trW2s7ZztnO2c7Z/pe0TnqIEwpdU58b1trWms5Z/dedlLqHOocbi0TQtlafW9+b1xr+V63VnVO8T1MKWwtrjWvNRJCt1YaYztrO2tcb3xvOmc6a3tve298b1prWms5Z1prWWtaa1lrWmtZa1prO2c7Z5dW6yDJHE0tGmN8bzpnW29aa3tvfG9ba/A9CSEKIfliW2tbazlnemtZa3pvWWt6a1prWmtaa1prWmtaa1prWmtaa1prWmtaa1prWmtaa1prWmtaazlnWmtaa1prWmtaa1prWms5Z1prWmtaa1prWmtaa1prWmtaa1prWmtaa1prWmtaa1prWmtaa1prWmtaa1prWmtaa1prWmtaa1prWmtaa1prWmtaa1prWmtaa3tvWmtaa1prWmtaa1prWmtaa1prWmtaa1prWmtaa1prWmtaa1prOWdaazlnWms5Z1prWmtaazlnWms5Z1prOWdaazlnWms5Z1prOWdaazlnWmtaa1prOWdaazlnWms5Z1prOWdaazlnWms5Z1prOWdaawAAWmt6b1prem9aa3pvWmt7b1pre296b3tvWmt6b1pre29aa3tvWmt6b1prem9aa3pvWmtaa1prem9aa1prWmt6b1prWmtaa1prWmtaa1pre29aa1prWmtaa1prWmtaa1prOmdaazpnW2saYztn+mITRqgUKyXxPXxve2ucc1prWmv5XtE9yRwLJU0pdU5+b1xrGmM6ZztnW2sZY7ZWEkLPOW0tbi1uLdA5NErYWhpnXG9ba1xvW2tbbzpnOmc5Z1prOWdaa1lrWmtZa1prWmtbaxpnl1bqHAshCyW3VltrW2taa3tvO2s7Z9he6RzqIAohllJcazpnWmtaa1lrem9Za1lrWmtaa1prWmtaa1prWms5Z1prWmtaazlnWmtaa1prOWdaazlnWms5Z1prOWdaazlnOWcYYzlnOWdaa1prWms5Z1prOWdaazlnWms5Z1prOWdaa1prWms5Z1prWmtaazlnWms5Z1prOWdaazlnWmtaa1prOWdaazlnWmtaa1prWmtaa1prWms5Z1prOWdaazlnWmtaa1prOWdaa1prWms5Z1prOWdaazlnOWc5Z1prOWdaazlnWms5Z1prOWdaazlnOWc5Z1prOWdaazlnWms5Z1prOWdaazlnOWc5Z1prOWc5ZzlnOWc5ZzlnOWdaazlnAAB7b1pre29aa3tvWmt7b3tve296b3tvem97b1pre29aa3tvem97b1prem9aa3tvWmt6b1pre29aa3pvWmt7b1pre29aa3tvWmt7b1pre29aa1prWmt7b1pre29aa1prWmt6a1lnWmtbazpnGmM7Z1RKyBgrJc85W2t8b5xve29bazpn11orJekgbS2vNbdWfW99b1xvXGsaYztnW2s7Z7dadlI0RtE9bjFuMa81EkIzSvle+V46ZzpnW2tba3xvfG9aa1lrWmtZa3prWWtaa1trPGuXViwlDCUrJTRKXGtbb1trW2tcazpndU5mDCwpTCl1Tn1vXG9ba3tvOWeab1lrWmtaa1prWmtaa1prWmtaa1prWmtaa1prWmtaa1prWmtaazlnWmtaa1prOWdaazlnnHN7b1prOWdaa1prWmtaa1prWmtaa1prWms5Z1prOWdaa1prWmtaa1prWmtaa1prWmtaa1prWmtaa1prWmtaa1prWmtaa1prWmtaa1prWmtaa1prWmtaa1prOWdaa1prWmtaa1prWmtaa1prWmtaa1prWmtaazlnWms5Z1prOWdaa1prWmtaa1prOWdaazlnWms5Z1prWmtaa1prWmtaa1prOWdaazlnWms5Z1prOWdaazlnWms5ZzlnOWdaazlnWmsAAFprem9aa3pvWmt7b1pre29aa3tvWmt6b1pre29aa3pvWmt7b1prWmtaa1prWmt6b1prem9aa3pvWmt6b1prem9aa3tvWmtaa1prWmtaa1prWmtaa1prWmtaa1prWmtZa1lrWWs4Z3prGWMZYxpjlVLIGEwpjTFba1trfG85Z1trOmcZY40xKyVLKW0trzUZYztnfW+dc3xvO2dbazpnGmMbZzxn+l53UtE9jjFNLW4xbTHxPXRO+WI6Z1trOmc5ZzpnWmtZZ1lrWWtaa1prW2s8a9haTSkLIeoc8T1ba1xvO2tba1trXGuwNYcQ6hxNLfJBfW9ba1tre285Z1lrWWtZa1prWmtaa1prWmtaa1prOWdaazlnWmtaa1prOWdaazlnWms5Z1prOWc5ZzlnOWf3XjlnOWdaazlnOWc5Z1prOWdaazlnWms5Z1prOWc5ZzlnWms5Z1prWmtaa1prWms5Z1prOWdaazlnWms5Z1prWmtaazlnWms5Z1prOWdaazlnWms5Z1prOWdaazlnWmtaa1prWmtaa1prWmtaa1prWmtaazlnWms5ZzlnOWc5ZzlnWms5Z1prOWdaazlnWms5Z1prOWdaazlnWmtaa1prOWdaazlnWms5Z1prOWdaazlnWms5ZzlnOWc5ZzlnWms5ZwAAe29aa3tvWmt7b3pve296b3tvem97b1pre29aa3tvWmt7b3pve29aa3pvWmt6b3pve29aa3tvWmt7b1pre29aa3tvWmt7b1pre29aa3tvWmt7b1pre29aa3tvWmtaa1lrem9Ya1lrems5ZxljOmeWUsgYTCmOMTtnfG98b3trnHN8b/da8T3pHOkcEkKwNW4tGmM7Z31vXGt9b1xvfW9ca11rPGtdazxnG2OXVjNG0DlNLUwtbTGONRJCdVIaY1xrW2taa1prWmt6b1prW2tba31v+V6PNeoc6RyvNX1vW2udczpnXGtcayslyRjqILA10Dlca1trOmt7bzhne29Za1prWmtba1prW29aa1trWmtaa1prW2taa1tvWmtaazprWmtaa1prOWtaazpnOmcZY/A9VEr5XjpnW2s6Z1prWmtaa1lrWmtZZ1prOWdaazlnWmtaa1prWmtaa1prWmtaa1prWmtaa1prWmtaa1prWmtaa1prWmtaa1prWmtaa1prWms5Z1prOWdaa1prWmtaa1prWmtaa1prWmtaa1prWmtaa1prWms5Z1prOWdaazlnWmtaa1prWmtaa1prWms5Z1prOWdaazlnWmtaa1prWmtaa1prWms5Z1prWmtaa1prWmtaa1prOWdaazlnWmtaa1prAABaa3tvWmt7b1pre29aa3tvWmt7b1pre29aa3tvWmt7b1prWmtaa1prWmtaa1prem9aa1prWmt7b1prem9aa1prWmtaa1lrem96b3tvWmtaa1prem9aa1prWWtaa1lrWmtZa1lrOGdZa1lrOWf4YvheTSkKIY8xt1Z9c1pre296b1lrOWdUTgoh6hzzQZA1TiluLVVO2FoaY1xrfm9da35zfW99b1trO2c6ZztnGWPXWnVOVErxPY8xLSlOLbE1FEL5XhljGmM6ZxpjOmc7Z1xrO2caY9E96RwKISslW2tba3xvW2s7Z9hahxALIQshsDXQOVtrW2s6Z1prW2t7b1trOmtaazprW2s6a1prOmtaazprWms6a1trOmtaazprWms5a1lvOWs6aztrXG8aY7hWDCXqHNE5G1/6XjtjXGcZX1pnWWc5Z1prOWdaZzpnW2s6Z1trOmtaazlnWmtZa1prOWdaa1prWms5Z1prWmtaazlnWms5Z1prOWdaazlnWmtaa1prWmtaa1prWmtaa1prOWdaa1prWmtaa1prOWdaa1prWms5Z1prOWdaazlnWms5Z1prOWdaazlnWms5Z1prWmtaazlnOWc5Z1prWmtaazlnWms5Z1prOWdaazlnWms5ZzlnOWc5ZzlnOWc5ZzlnOWcAAHtvWmt7b1pre29aa3tvWmt7b1pre297b3tvWmt7b3tve29aa3tvWmt6b1pre29aa3pvWmt7b3tve296b3tvWmt7b1prWmtaa3tve297b1pre29aa3pvWmtaa1lrWmtaa1lrWWtZa1lrWWs5Zxlj+V6wOeocjzV2Tp5zW2ubc3pvem8YY7ZW6RwsJbE5VkqyOfNBbjFNLfE9+V48Z11vnnM6Z3tvvXd8b1trOmdbazpnW2saZ/lel1I0RrE1cDEtKSwprjV0TvleXGtca1xrO2dcaxpjEkKnFOkcKyUaY1xre286Z1xrdU5mEMkYsTm3VlRKfG98b1pnfG9aa3xvW2tbazprW29aa1tvOmtbazprW2s6a1tvOmtbazprW286azlrOWtabzprW2tcbzxn2lpwMU8p7BxOKblWfmtdZztjOWNZa5tvWWc5Zzpne2tba1trWmtba1prWmtaa1prWmtaa1prWmtaa1prWmtaa1prWmtaa1prWmtaazlnWmtaa1prWmtaa1prWmtaa1prWmtaa1prWmtaa1prWmtaa1prWmtaa1prWmtaazlnWmtaa1prWmtaa1prWms5Z1prOWdaazlnOWc5Z1prWmtaa1prWms5Z1prOWdaazlnWms5ZzlnOWdaazlnOWc5Z1prOWdaawAAWmt7b1pre29aa3tvWmt7b1pre29aa3tvWmt7b1pre29aa3tvWmtaa1prWmtaa1prWmt7b1pre296b3tvWmt6b1prWmtZa1prem97b1prWmtaa3pvWmtaa1lrWmtZa1prOGdZa1lrWWs5Zzln+GIZYxNCyRxuLRNGfW98b3pvm3N6bzln11oKIS0lbzHbXndODCWPMbA1bjFMKfI92Vp9b1trnG97b3tve2+bb3prWmsZYzpnGmM7Zxtj2VpVShNCjjGOMUwpTS2OMRNGl1YbYxtjPGd2UskcqBgLIVVOXGtba1trXGszRocQyRjyPflet1Z9b1trWmt7a1trOmdbazprWms6a1prOmtaazprOms6a1prOmtaazprW2s6a1prOGdZazlrOms6a1xvO2cbY3ZO8jkMIesYjy2YUjxjfWs6Y1pnOWdaZzljWmc6Z1trWmdaazpnWmtaa1prOWtaa1prWms5Z1prWmtaazlnWmtaa1prOWdaazlnWms5Z1prWmtaa1prWmtaa1prWmtaa1prWms5Z1prOWdaazlnWmtaa1prOWdaazlnWms5Z1prWmtaazlnWms5Z1prOWdaazlnWms5ZzlnOWdaa1prWms5Z1prOWdaazlnWms5Z1prOWdaazlnOWc5Z1prOWc5ZzlnAAB7b3tve29aa3tve297b1pre297b3tvWmt7b3tve29aa3tvem97b1prem9aa3pvWmt7b3pve29aa3tvem97b1pre29aa1prWmt7b3pve29aa3tvWmt6b1prWmtaa1prWmtZa1lremtZa1lrOWc5ZxljllLJGG4t0Dl8b3xvem96b3pvOWcZY00tLSkuKV5r214URk0tTS2vNa81jjHyQVVOW2taa3tve2ubb3tve29ZZ3trWmdaazpnfG87axpn+V63WlRK8T1tLUwpTSmvNdE5NUpWTlZO6hzKHMoc0jkcZ1trOmc7a44xyRgMIbhWG2MaY1trW2s6Z3xvW2tba1trW2taa1tvWmtbb1prWms5a1pvOmtaazprWm86a1prOmtZa1lrWm86a1trW2tcaztnPGd2TtE5TSXrHE4pd05dZ55vOmMZY1pnfG86ZzlnWmdaa1prWmtZa1prWmtaa1prWmtaa1prWmtaa1prWmtaa1prWmtaa1prWmtaa1prOWd7b1prWmtaa1prWmtaa1pre29aa1prOWdaa1prWmtaa1prWmtaazlnWms5Z1prOWdaa1prWmtaa1prWmtaazlnWms5Z1prOWdaa1prWmtaa1prOWdaazlnWms5Z1prOWdaazlnWms5Z1prOWdaazlnWmsAAFpre29aa3tvWmt7b1pre29aa3tvWmt7b1pre29aa3tvWmt7b1prem9aa1prWmt6b1prWmtaa1prWmtaa1prem9aa3pvWmt6b1prem9aa3pvWmt6b1prWmtZa1prWWtaa1lrWWs5Z1lrWWtaaxljGWOXVuocLCWPNRpjfHNaa3pvOWdaa/he8UEMJU4p+2I9axxnEkJMKW0trzUTRvI9bS3wPZVSOWecc3pvWmtZa5tvm2+bb1prWms5ZzpnOmc6ZxpjGmP5XthadU4TQo81bi0tJQwlLSWIFKoYyxwuKbpafW99cztnCyGIEAwl+2JcaztnO2c6Z1prWmtbazpnfG86a1prWmtaazlrWms5Z1prOWdaazlrWms5Z1prOWtaazlrWm9aa1prOWdaazpnW2saYxtj8j0tJU4pLSEuJXdKG2M7ZztnW2s6Z1pnOWdZZ1lnWWtZa1prOWdaazprWms5Z1prWmtaazlnWmtaa1prWmtaa1prWms5Z1prOWdaa1prWmtaa1prWmtaa1prWmtaa1prOWdaazlnWmtaa1prWmtaazlnWms5Z1prOWdaazlnWms5Z1prOWdaazlnWms5Z1prOWdaazlnWmtaa1prOWdaazlnWms5Z1prOWdaazlnWms5Z1prOWdaazlnWms5ZwAAe297b3tve297b3tve297b3tvWmt7b3tve29aa3tve297b1pre29aa3tvWmt7b3pvem9aa3pvWmtaa1prem9aa3tvWmt7b1prem9aa3tvWmt7b1prem9aa1prWWtaa1prem9Za1lrWWt6b1prOmsZY9leLCksJY4x2Fp8b3tvWWtZa1prGWd1Uk0pTimYUj1r+l5ca9haTCnHGI4xM0avNSoljTF0TjljnHOcc5xzem9Za1lre297b3tvemt7b3tvW2tba1trOmcaY9hat1Z2ThNCTi0NJakU7BzsHA0h0z36XjtnG2cMJcocDCEcZ1xrfW87Z3xvWmtba3trW2tba1prWWtab1prWmtZa1prWWtaa1lrWmtZa1prWWtaa1lrWm9aa1pvWmtaazlnWms6ZzpjW2fYWvI9kDFPKS4lDSEUQhtfv3NcZxljWmucb1lnWWtZa1lrWWtaa1prW2taa1prWmtaa1prWmtaa1prWmtaa1prWmtaa1prWmtaa1pre29aa3tvWmtaa1prWmtaa1prWmtaa1prWmtaa1prWmtaa1prWmtaa1prOWdaa1prWmtaa1prWmtaazlnWms5Z1prWmtaa1prWms5Z1prWmtaazlnWms5Z1prOWdaazlnWms5Z1prOWdaazlnWms5Z1prAABaa3tvWmt7b1pre29aa3tvWmt7b1pre29aa3tvWmt7b1prem9aa1prWmt7b1pre29aa3pvWmtaa1prWmtaa3pvWmt7b1prWmtaa1prWmt6b1prem9aa1prWWtaa1lrWmtaa1prOWdZa1lrWms5Zzpn+V7QOekcjjF0Tnxve29aa1lrWms6Z7dajzFuLfNBXm9db1xr+V50To0xCiFtMZZWrjVsLWwtMkb4Xpxve29aa1prem97b5tzem96a1lnWms5ZzpnOmdbaztnO2caY/peG2O4VhRCcDENIe0g7RxPLY8x8T3yPQshLSVOKRxjn3Ncazpne29aazpnfG86Z1trWmtaa1lrWmtZa1prOWdZa1lnWWs5Z1lrWWdZazlnWWtaa1prOWdZa1lrWWs5Z1lnWmc6Z1xr+l7SNbI1kjHMGAwhNUYbYzxnGmNba3prWWdYZ1lrWGdZa1lrWms6a1prWmtaazlnWmtaa1prOWdaa1prWmtaa1prWmtaazlnWmtaa1prWmtaa1prWms5Z1prOWdaazlnWmtaa1prOWdaa1prWms5Z1prOWdaazlnWmtaa1prOWdaazlnWms5Z1prOWdaa1prWms5Z1prOWdaazlnWms5Z1prOWdaazlnWms5Z1prOWc5ZzlnWms5ZzlnOWcAAHtve297b3tve297b3tve297b3tve29aa3tve297b1prem9aa3pvWmt7b3tve297b3tvem96b1prem9aa3tvem97b3pve29aa3pvWmt6b1pre29aa3pvWmtaa1prWmtaa1prWmt6b1lrWms5Z1prOmcaYxJC6hxuMVNKW2+9d1pre285Z3xv2FrSPU4t0jleb11vO2s7a1tr11quNc852Fq3VvE9TClMKRJCtlY6Z3xvfG9ba3prWmt6b3prm297b3tvemt6a1pre29ba1trO2caYzxn+2IURi4l7BxQKXAtsTluLSwliBANJewgmFYbY1xrGWN8bzpnOmd8bztnOmdba1prWmtaa1prWWtaazlnWmtZa1prWWtaa1lrWWtZa1trOWc5Z1lnem9Za1lrOGdZazljOmMaX/paVkrTOXEtqhQuJVZKPGeec1tnOWdZZ3lrWGtZa1lrWmtaa1trWmtba1prWmtaa1prWmtaa1pre29aa1prWmtaa1prWmtaa3tvWmt7b1prWmtaa1prOWdaa1prWmtaa3tvWmtaazlnWmtaa1prOWdaazlnWms5Z1prWmtaa1prWmtaa1prOWdaa1pre29aa1prOWdaa1prWms5Z1prOWdaazlnWms5Z1prOWdaazlnWms5Z1prOWdaawAAe297b3tve29aa3tvWmt7b1pre29aa3tvWmt7b1pre29aa3pvWmt6b1prem9aa3tvWmt7b1prem9aa3pvWmt7b1pre296b3tvWmt7b1prem9aa1prWWtaazlnWmtZa1prOWdaa1lrWmtZa1lrOWc6a/lil1aoGG4trjVcb1prnHNaa3tvW2s7Z1VKLSVvMRxnfW9ca1trW2sZYxljGWM6ZxpjuFozRq81KyVtLTNGO2dca3xvW2t7b1pre2taa1prWWd6b3prem+bb3tvOWdaaztnfW/6XvteyxzLHO0gLymYUjVK0TnKGOwg7CCQMW4xM0a2VjpnfG+VUlRKXGt8bzpnOmdbb51zWms5Zzlne29aa1prOWc5ZzhnWWtZa1prOmdaazlnWWs4Z1lrWWt5a1lnWmc5YzpjG2McY3hO0zlwLaoU6xw0RvpeOmdaa1lnN2NZa1lremtZZ1prOmdaazpnWmtaa1prOWdaazlnWms5Z1prWmtaazlnWmtaa3tvWmtaa1prWmtaa1prWmtaazlnWmtaa1prWmtaa1prWms5Z1prWmtaazlnWmtaa1prWmtaazlnWms5Z1prOWdaa1prWms5Z1prOWdaazlnWms5Z1prOWdaazlnOWc5Z1prOWdaazlnWms5ZzlnOWc5ZzlnAAB7b3tve297b3tvWmt7b3tve29aa3tve297b1pre297b3tvWmt7b1pre29aa3tvem97b3pve29aa3pvWmt7b3tve296b3tve297b1pre29aa3pvWmt6b1prWmtaa1prWmtaa1prem9aa3prWWtaazpnOmeXVukcTSmvNTtrfG97b3tvWmtbaztnl1JOLW8xl1aec1xvfG97bzprOmdba1trO2cbY/piVUqvNSwljjHxPRpjGmNba1trfG9ba3xve2+bb3pveWtZZ3pvemt7b3trfG9ba11r2l7rHMsczBwNJfti+2KYUg0lDSXsIBRG8T1MKW0trjWuNY0xTCkzRhpjXG86ZzpnOmdbb1trW2s6a1prOWdaa1pre29aa1prOWdaazpnWmtZa1lrWGd5a1lrWWdZZ1trOmdcZzxn+l53TrI1sTWqFAshVUp9bzpnOWd7bzlnOWdZZ1prWWtbb1tvWmtaa1prWmtaa1prWmtaa1prWmtaa1prWmtaa1prWmt7b1pre29aa1prWmtaa1prWmtaa1prWmtaa1prWmtaa1prWmtaa1prWmtaa1prWmtaa1prWmtaa1prOWdaa1prWmtaa1prOWdaazlnWmtaa1prOWdaa1prWms5Z1prOWdaazlnWms5Z1prOWdaazlnWmsAAHtve29aa3tvWmt7b1pre29aa3tvWmt7b1pre29aa3tvWmt7b1prem9aa3tvWmt7b1pre29aa3pvWmt7b1pre29aa3pvWmt6b1pre29aa3pvWmt6b1prWmtaa1prWWtaa1prW2taa3prWWtaazlnWms6Z7da6iArJY41GmNba3xvem97bzpnW2u4WrA1LSkTQn1vnXN8b3tvWmt7b1trfG9ba1xrG2f5XpZSM0aOMSsljjESQpZSGmNba3xvO2daZ1lrem9Za1lrWWubb3tve297axpjfm88Z04pLiXNHE8puFZ+c9peTinrHAwhuVqXVtA90DlsLSolKyUKISwll1IaY1xrO2c7ZztnW2saYzpnGWNba3tve285ZxljGWNaazlnWms5Z1lrOWdZa1lnWWs4Z1prWms6ZzpnXGsbY/pemFJvLS0lyhhMKRJCXGs6ZzlnOmdaa3tvWms5Zzlnem9aa1prWmtaa1prWms5Z1prOWdaazlnWms5Z1prOWdaa1pre29aa1prWmtaa1prWmtaa1prWmtaa1prWmtaa1prWmtaazlnWmtaa1prOWdaazlnWms5Z1prOWdaazlnWms5Z1prOWc5ZzlnWms5ZzlnOWdaazlnWms5Z1prOWc5ZzlnWms5Z1prOWc5ZzlnOWc5ZwAAe297b3tvWmt7b3tve297b3tvWmt7b1pre297b3tve297b3pve29aa3tvem97b3pve296b3tvWmt7b3pve29aa1prWmt6b1pre29aa3tvWmt7b1pre29aa3tvWmtaa1prW29ba3tvWmt6b1prWmtaa1tr2FpNLeogrzXXWnxve2+bc3tvW2tba/pi0j1NKY81XGt8c5xzWmt7b3tve297b3xvXGs7ZxpnXGsaY3ZS0DmvNY4xbi1tLdA5VEoZY3xvemt7b5xzem9aa3pre286Z3ROEkLZXjxn0z3tIO4gLykURn5zG2MtKcocDCFeaxpjGmfXWpVSjjFMKSwl6yBOLSwl0T2WUtleXWt9b1xrOmedcztnGWMZY1trfG98b1pnWmtaa1prWWtaa1lrWms5Z1prWmt7bzpnOmc6Z1tnOmP6WndOTSksIagUTSnyPVxrW2tba3xvWmtaa1lrWWs5a1prWmtaa1prWmtaa1prOWdaa1prWmtaa1prOWdaa1pre29aa3tvWmt7b1pre29aa1prWmtaa1pre29aa1prWmtaa1prWmtaa1prWmtaa1prWms5Z1prOWdaa1prWmtaa1prOWdaazlnWms5Z1prOWdaa1prWms5Z1prOWdaazlnWmtaa1prOWdaazlnWms5Z1prAABaa3tvWmt7b1pre29aa3tvWmt7b1pre29aa3tvWmt7b1prem9aa3pvWmt6b1pre29aa3pvWmt7b1prem9aa3tvOWdaa1prem9aa1prWmt6b1prWmtaa3pvWmtaa1prWmtaa1trWmt6b1lrWWtZa1prO2v4Xq816RyOMXVSfG98b1pre29ba1xr+mIURk0tjjH5XnxvnHN6b1pre29aa3tvOWd7b3trWmsaYzpn+V7YWhNC8T2OMUwpKyVsLa81EUL4XlprnG98bzlnW2s6Z9daKyVNKdI9HWdYTs0c7yAOJbE5nnMcZ04tyRgsJV5vPGdcaxpjGmfyQeockDVPLYkUDCVNKSwlDCFuLTRG2FY8ZxtjXGtca3xvO2c7ZzpnWmdaZ3prWmt6a1pnWmc5Z1pnWmtba1pnWmc5Z1lrOGc5Zzpj2VpURuocCyGoFG4tE0I8a31vO2cZYzlnm3N6bzhnOWdaa1prWms5Z1prOWdaazlnWms5Z1prOWdaazlnWmtaa3tvWmt7b1prWmtaa1prOWdaa1prWmtaa1prWmtaazlnWmtaa1prOWdaa1prWms5Z1prOWdaazlnWmtaa1prOWdaazlnOWc5ZzlnOWdaazlnWms5Z1prOWdaazlnWms5Z1prOWdaazlnOWc5ZzlnOWcAAHtvWmt7b1pre29aa3tve297b1pre297b3tvWmt7b3tve29aa3tvWmt7b1pre296b3tvWmt7b3pve29aa3tvWmtaa1prem9aa3tvWmt7b1prWmtaa3tvWmt7b1prWmtaa1trW2t7b1prem9Za1prWmtba/leE0bIGI4xMkadc3xvem97b3tvO2s8Z1VOsDVuMZZWW2u9d3pvm3N7b3pve296a3lrem9ZZ1prWmdbaxpjW2v5XnVO0DmOMUwpTClMKfA9U0oaY31vfW+dc1trU0rJGAwlcDG6Vt1ezhwxKe4gkDE7Zzxrbi3rHC0pXm88a31vGmOec1RK6hyyOVdO7CANIW8tNUYUQm8tLCVuLU0p8j11ThtjXGtcZxpjXGt8b1prWWd6a1pre2taZ1trOmdba1pnWmtZZ3prWWt5a1hnnG/4WrdWt1YLIcoY6xwMITVK2Vp9b1xrWmtaa3pvWGtaa1prWmtaa1prWmtaa1prWms5Z1prWmtaazlnWmtaa3tvWmt7b1pre29aa3tvWmtaa1prWmtaa1prWmtaa1prWmtaa1prWmtaa1prWmtaa1prOWdaazlnWmtaa1prWmtaazlnWms5Z1prOWdaazlnWms5Z1prOWdaazlnWmtaa1prWmtaa1prWms5Z1prOWdaawAAWmt7b1prWmtaa3tvWmt7b3tve29aa3tvWmt7b1prWmtaa3tvWmt6b1pre29aa3tvWmt6b1pre296b3tvWmtaa1prem9aa3pvWmt6b1prWmtZa1prWmt6b1prWms5Z1prOmtba1prWmtZa1lrOWdaazpnGWNUSqgYbTHxPXxvfG9aa5xzWms7azxruFawNW0tEkI6Z5xzem+bc5tzWmubc5pveGs3Z3lre2+bb1prOmf5XjpnOmc7Z/hedE6vNUwpLCVuLRNG2FoaY55zO2fyQYgULSUuJdQ5m1bwJM8crRgtKdhaG2NuLcocTikcZ35vXGs7Z1xrllLKGE8tmlLUPQ4lcDF4UvxiNUbSObE1TiktJSwlTSnyPbhWXGs8ZzpjOGNYZzhnWmdaZ1trOmdbZztnWms5Z1lrWWt5a1hreWs5Y1tnOmPYVrhWLSWIEC0l7CDyPdlefW9bazlnN2dZa1lrWmtaa1prWmtaazlnWms5Z1prWmtaa1prWmtaa1prWmtaa1prWmtaa1prWmtaa1prWmtaa1prWmtaa1prWmtaa1prOWdaa1prWms5Z1prWmtaazlnWms5Z1prOWdaa1prWms5Z1prOWdaazlnWms5Z1prOWdaazlnWms5Z1prWmtaazlnWms5Z1prOWc5ZzlnAAB7b1pre29aa3tvWmt7b3tvnHN7b3tve297b1pre29aa3tvem97b1pre296b3tvem97b1pre296b3tvem97b1pre296b3tvWmt7b1prem9aa1prWmt6b1pre29aa1prOWdaa1prWmtZa3prWWtaazlnW2sZY5ZSpxSOMc85fXN8b3tvm3NbazpnfXPZXvE9TCnQORljnXNaa5xzm29aa5pzmnN5b5pvmm96bzhnOWdba5xvW2s6ZxljOmf4XtdallLRPW0tbi2vNTRKG2c8ZxNCDCFwLZIxUSmcVnMxESXOHE8tl1Zda28x6yAtKfpifW99b1trfG/YWiwlDSXcWrtakjENIRRCPWdeaz1nuVZOLbE1sTWxNU4pLSVNKdI5VEoZYxhjOmc6Z1trW2tca1tnXGs6Z1trWWdZa1hneWt5b1prOmM6Zztn2VqXUrA1hxAMJQshsDm3VnxvW2tZa1lrWmtaa1prWmtaa1lrWms5Z1prWmtaa1prW2taa1trWmt7b1prW2taa1trWmtaa1prWmtaa1prWmt7b1prWmtaa1prWmtaa1prWmtaa1prWmtaa1prWms5Z1prOWdaazlnWmtaa1prOWdaa1prWms5Z1prOWdaazlnWmtaa1prWmtaa1prWmtaa1prOWdaazlnWmsAAFprWmtaa3tvWmt7b3tve297b3tve297b1pre297b3tvWmt6b1prem9aa3pvWmt6b1prem9aa3pvWmt6b1prem9aa1prWmtaazlnWmtaa1prWWt6b1prem9Za1prWmt7b1lnWWtZa1prWWtaa1prW2sZYztndVLpHG0t8D0aZ3xvW2t7b1pre29bazpndlJNLbA5VU6fd1trfG+bc1hnu3d6b5tzem97b1prWmtaa1prW2t7b1prW2s6ZzlnGWM5Z/hedU6OMU0pbS3yPXdONUYNIQ8l1TmUMa4UfE6uFBAh7Bw1Rj1nsTnqHE0pOmedc3trWms5ZxljKyUtKXhSHmezNZIxcC1eaxtjdk4LIesc7BztHA4hcS2RMXAtLSUMJQshbjHyPXZS2V5ca1xrPGv5YlxrfG98b1pnWmtaa3tvOmdaZ1prW2s6ZzlnlVLPOYUQSykrJUwpdE5caztnW2s6Z1prOWc5Zzlnem96b1prOWdaa1prW2taa1trWmtbazpnW2s6a1trOmtba1prW2taa1prWmtaa1prWmtaa1prOWdaa1prWmtaa1prWmtaa1prWms5Z1prOWdaazlnWms5Z1prWmtaazlnWms5Z1prOWdaazlnOWc5ZzlnOWdaa1prWmtaa1prOWdaazlnOWc5ZwAAe29aa3tve297b3tvnHN7b3tve297b3tve297b3tve297b1pre29aa3tvWmt7b1pre29aa3tvWmt7b1pre29aa3pvWmt6b1prWmtaa1prWmtaa1pre29aa1prWWtaa1prWmtZa3pvWmtaa1prW29bazprO2u3VgkhbS3QORpnfG98b3tvWmtaa3tvOWe3Vo4xkDU0Rp93PGt8c5tveWuac5tze2+cc3tve29aa3tvWmt7b1pre29aa1prOWdaazlnGGMZY/haVEqvNS0ljy0uJcwYcS05RrU1Uym2NfAcECHtINM5XmuxOesgTClba5xzm296a1prGWNtMSwlV0odY5lSbyk1QrhWfWvxOcoYTilPKQ4hzRzNHC8lkjE2SplWNUpvLQwhLSmPMY8xE0KWUlxrO2c7ZzpnW2tba3xve297b1prW2s5ZzlnWmdaa/delVJkDOgcrzkKIbA1f29db51zOWc6Z3tvnHM5ZzhnWWtZa1lrWmtaa3tvW2tbb1trW2taa1trW2tba1prW29ba1trWmtba1prWmtaa1prWmt7b1pre29aa1prWmtaazlnWmtaa1prWmtaazlnWmtaa1prWmtaa1prWms5Z1prWmtaazlnWms5Z1prOWdaa1prWmtaa3tvWmtaa1prWms5Z1prAABaa3tvWmt7b3tve297b3tve297b3tve29aa3tvWmt7b1prem9aa3pvWmt6b1prem9aa3pvWmt6b1prem9aa3pvWmtaa1prWmtaa1prWWtaa1lrWmtaa1prWWtaa1lrWmtZa3prWWtaa1prW2taa1trOmdba7daTClLKa852Fqdc3tvnHNZa3tvWms6a9da0DksKRNCXWtca1trm3NYa5pzem97b3tve29aa3tvWmt7b1pre29aa1prWmtaazlnWms5Z3tvOmcZY1RK0DVNKakUqhRxLThG9j1zLXMtrhQQIcwYLyn8YrI1qhhNKRpnfG97b5tzOWc5Z9A5LCXTPR1j/F6xNfM5l05/b28tyhgUQtpaeE6SNQ4lqxjsIHAt9EG5VvtemFLSPS0pTSksKSwlbi2vNRJCtlb5XjpnOmdbaxpjW2tca3xvW2tbazpnOmf4XrdWLCWoGE4tLSUNIXdS+mJba3tvWms5Z3tvem96b1lnWWtZa1prWWtaa1lrWms6a1trOmdba1prW2taa1prWmtaa1prWmtaa1prWmtaa1pre29aa1prWmtaazlnWmtaa1prOWdaazlnWms5Z1prOWdaazlnWms5Z1prOWdaazlnWms5ZzlnOWdaazlnWms5Z1prOWdaazlnWms5ZzlnOWcAAHtve297b3tve297b5xze2+cc3tve297b3tve297b1pre296b3tvWmt7b3pve29aa3tvWmt7b1pre29aa3tvWmt7b1pre296b3tvWmt6b1prem9aa3tvWmt7b1pre296a3pvWmt6b1pre29aa3tvW2tba1tr+V6uNSsljjGXVn1znHOcc3pvem97b1prGWMTRgsl0TkcZ1xrfG+bc3pvem97b3tve297b3tve297b3tve297b3tvWmt7b1prWmtaa3tvWmsZYzpnO2fYWlVKLSUNIS4lFkJZSlIptTWuGO8g7iDMHP1esznKGC0pPGd8b3tvm3NaazlnVEoLIZE1HGMcY5hSbym5Vl5nTikNIXdOfmscY7lWFEKQNQ0lDSHsILI5FEK5Whxn+l40RtE50TluLU0tbS1tLY4xrjURQnROGmc7Z1xrXGt8bztnO2dcazxr+l7ZWtI5yxzsHFAt7CATQtlefW87Zzpne2+cc1prWmtZa1lrWWt6a1lrWmtZa1prWmtaa1prWmtaa1trWmtba1prWmtaa1prWmtaa1prWmtaa1prWmtaa1prWmtaa1prWmtaazlnWms5Z1prOWdaa1prWms5Z1prOWdaa1prWms5Z1prOWdaazlnWms5ZzlnOWdaazlnWmtaa1prOWdaawAAWmt7b3tve297b3tve297b3tve297b3tvWmt7b1pre29aa3pvWmt7b1prem9aa3tvWmt6b1prem9aa3pvWmt6b1pre296b3tvem97b1prem9aa1prWmt6b1pre29aa3pvWWt6b1prem9aa1prWmtbazprOmv5YhFC6RxtLTRKnXN7b5xzWmt7b1prW2saZ3ZS6yCPNbhWfW9ba5tzem+ab1pre29aa3tvWmt7b3tve29aa3tvWmt7b1pre29aa3tvWmt7bzpne287Zxpj2Vo1Ri0lDSXTNR5jtDW0NXItzhwPJc0celL1QaoYTik8Z31vWmucczlnOmeWUiwlTi37XlxrPGdvLXdOmVJxLewcd04bYztnO2caY7hWVUrSOZExDCUMIU4tNUraXhtj+mIbY3ZSVUrxPa81TCkrJSolTCkKIY4x8T12UtlauFqXUvtiHGNea39z3F5QLcwc7iAOJS0lsTV2TjxrXW9baxljOWdZa1lrWWtZa1hrWWtYa1lrWWdaa1lrWmtZa1prWmtaa1prWmtaa1prWmtaa1prWms5Z1prWmtaa1prWmtaa1prOWdaazlnWms5ZzlnOWdaazlnWms5Z1prOWc5ZzlnWms5Z1prOWc5ZzlnOWc5Z1prGGNaazlnWms5Z1prWmtaazlnAAB7b3tve297b3tve297b3tve297b3tve297b1pre297b3tvem97b3pve296b3tvem97b1pre29aa3tvWmt7b1pre297b3tve297b3pve296b1prWmtaa1prem9aa3tvWmt6b1prem9aa1prWmtaa1prW2s5ZzpnVErpHEwtEkJ9b3xznHN7b3tve29ba1xrt1ZNKW4tVU5db3xve2+bc3pvem9aa3tve297b3tve297b3tve297b3tve29aa3tvWmtaa3pve297b1trGmM7Z7dSTSktJbI1P2e7Vi8lOEaLEDEpzhz2QfZBqxguKTxnXGt7b3tvWms6Z/leLCVOKbhWnnP4WnZKsjU3RtQ57Rx3Tn1vfG+cc3prW2v6XrlWV04URvI9bzEMJZA1l1I8ZzxnPGcbY/pe2FrYWnVOEkKPMW0tbS1uLY8xsDULIakYDCU2SplSHmc/a7ta1T0xKasU7SDsIHAxFEb6XjxrfW9ba3tvWmt6a1lrWWtYa3lrWWtaa1lrWmtZa1prWmt6b1prWmtaa1prWmtaa1prW2taa3tvWmt7b1prWmtaa1prOWdaazlnWms5Z1prOWdaazlnWms5Z1prWmtaazlnWmtaa1prOWdaazlnOWc5Z1prOWc5ZzlnWms5Z1prWmtaazlnWmsAAFpre29aa3tvWmt7b1pre29aa3tvWmt7b1pre29aa3tvWmt7b1pre29aa3tvWmt7b1prem9aa3pvWmt6b1prem96b3tvWmt6b1prem9aa3pvWmtaazlnWmtaa3tvWmtaa1prem9aa1prWWtaazlnWmtbazpnGmeWVugcbS3QOX1ve2+cc3pvnHN6b1trW2vYXo4xTSnROVxrW2t7b3pvem9aa3tvWmt7b1pre29aa3tvWmt7b1pre29aa3tvWmtaa1lrems4Z1prWmdba1tr2FqPMSwhby37Xh1jszXTOawYECUQJTEp90FqEC4l+l5ca3trm29ZZ1prGWNMKS0lVUp8a/ha+l6xNfZB9kHtHFZKfG97b1lrWGs5Z1trHGccZ/tiVUqwNY8xTSlNKdE92Vpdb55zXWs7ZxtjPGf6YthadU40So4xbS1uLQslLSU1SuwccC2zOTdKu1q8WrU5zhzuIO4kzRwNJbE1mFY7Z31vW2tba1prWWtZZ1lrWWdZa1lrWWtZZ1lrWWtaa1lrWmtZa1prWmtaa1prWmtaa1prWmt7b1prWmtaa1prOWdaazlnWms5ZzlnOWc5ZzlnOWc5Z1prOWdaazlnOWc5Z1prOWdaazlnOWc5ZzlnOWdaazlnWmtaa1prOWdaa1prWms5ZwAAe29aa3tvWmt7b3tve297b3tvWmt7b1pre297b3tve297b3pve296b3tvem97b3pve29aa3tvWmt7b1pre29aa3tvem96b1prem9aa3pvWmt7b1prWmtaa3tve297b3pve29aa1prWmtaa1lrWms5Z3tvGWdba7da6SBtLdE5XW98b5tze2+bc3tvWmt8b/he0DksJY81PGt8b3tvem9Za3tve297b3tve297b3tve297b3tve29aa3tvWmt7b1prWmt6b3pvWmtaazpnfG/5YlVKCyFuLXdOHWP7Xi4lLyVSLTIt8CAYRqsYLykcZ31vnXN7b3prWmc6Z0wpLSkTQntre2s8Z1ZKOErVPQ4h0jl8b3pvmW94a1lrW2tdaxxnfm8bZ5dW0T2OMU0tbi1uLVRK+l5+c11rPGtca11vO2c7Zzpn+V7YWrhW0TlvMTVGsTkNJQ4lLykwKXExtDlyMVIt7iDOIA8lLylPKRRG+mJ9b1xrW2taa1prWWtaa1lrWmtZa1prWWt6a1premtZa1prWmtaa1prW2taa1trWmtaa1prWmtaa1prWmtaa1prWms5Z1prOWdaazlnWms5Z1prOWdaazlnWms5Z1prOWdaazlnOWc5ZzlnOWdaazlnWmtaa1prWmtaa1prWms5Z1prAABaa3tvWmt7b1pre29aa3tvWmt7b1pre29aa3tve297b1pre29aa3tvWmt6b1prWmtaa3pvWmt6b1prWmtaa3tvWmt6b1prem9aa1prWmtaa1prWmtZa1prWmt7b3pve29aa3tvWmtaazlnWWc5Z1lrOmdaaxlj2F7pIEwp0Tk7Z3xve297b5tze297bzpnGmdVTgohbjF1Tjtn3ntZa3pvWmt7b1pre29aa3tvWmt7b1pre29aa3tvWmt7b1prem9Za3pvWWt6b1prW2s6Zzpn11pMKSwlsDU9ZxxjVkrLGBAlMilTMfdBahBQLRxjfW98b1prnHNbaxlj0TlNKbA1Wmd6aztjHGM4SpMxcS0tJRhfem+6c1dnmnNaaztnXWv6XjtnO2cbY5dSEkJuLSslTSmPNTNG+l5da11rPGdcaztnW2s6ZxpjGmP6XhNCLCWQMdM9sTWyOQ0lDSWrGO0gECXPHGwUlDWzOZI1LilOKVVK2V47a1trOmdba1tvfG84Z1prem+bb1lrWWs5Z1prWmtaa1prWms5Z1prWmt7bzlnWmtaa1prOWdaa1prWmtaa1prWmtaazlnWms5Z1prOWdaa1prWms5Z1prOWdaazlnOWc5Z1prOWc5ZzlnOWc5Z1prOWdaazlnWms5Z1prOWcAAHtve297b3tve297b3tve297b1pre297b3tve297b3tve29aa3tve297b3pve296b3tvWmt7b1prem9aa3tvem97b1pre29aa3pvWmt6b1prem9aa3pvWmt7b3pve296b3tvWmt7b1prWmtZa1prWWtaa1prOmf4XkwtCyHRPflefHN7b3tve2+bc3pvW2s6Z7dW6iCPNRJCfG+cc3tvem97b3tve297b3tve297b3tve297b3tve297b1pre29aa3pvWWt6b1pve29aa1trOmf5XvE9CyHQNfpePGe5Vi4pzhx0MTIpdDXuIA4lPGd9b51zWmu9d1trGmPyQSwljjF7a1lnnW89Z7pW9T1QLS0plVJ6b3hveG96bzlrfW88a553O2f5XhpjXGsaY3VOrzWOMSwlLCmvNVVO2Vpda55zW2t7b51zW2tbaxpjl1LRPZAxsTW5WlZKNUZvLZAxihTvJDIpECXvJO4gUC3TPdI5qRiPNdhaXGt9bztnO2c6Z51zWms4ZxhjOWdaa3tve297b1prWmtaa1prWmt7b1prWmtaa1prWmtaa1prWmtaa1prWmtaa1prWms5Z1prOWdaa1prWmtaa1prOWdaazlnWms5Z1prWmtaazlnWms5Z1prOWdaa1prWmtaa1prWmtaawAAWmt7b1pre29aa3tvWmt7b1pre29aa3tvWmt7b1pre29aa3pvWmt7b3pve296b3tvWmt6b1prem9aa3pvWmt6b1prem9aa1prWmtaa1prWmtaa1prWmt6b3pve29aa1prWmtba1prem9aa3pvWWtaa1pre28ZYxljrzXJHLA5t1Zba3tvemt6b3pve29aazpn2FoLJW4tsDVcb1tve296b1pre29aa3tve297b1pre297b3tve297b3tve29aa3pvWWtZb1lrWm9aa3tvOmc6axlj11rpHNA1dk5da/pe8z1rEJU17yAQJS8pDSEbY35vfG97b5xze2saY3ZO6xxuLRhfWWeecz1n/GJ4Ui4pTSnPOXpvN2eaczhnWWuccztrfG9baxljOmdca1xr+F62VvE9rzVMKQslCiFuMVVKO2d8b5xvW2tca3xvfW/6XpZSDCUtKTVGPWvaWtlad06yOe4g7yCtHA8lcTFQLU8tDSWwNS0pCiHQOdlannN9bztrGWM6a1trfG9aa1prOmdba1prW2s5Z1prOWdaa1lrWmtaa1prOWdaa1prWms5Z1prWmtaazlnWms5Z1prOWc5Z1prWmtaa1prOWdaazlnOWc5ZzlnOWc5ZzlnOWc5ZzlnOWc5ZzlnWmtaa1prWmtaazlnAAB7b3tve297b3tve297b3tve297b3tve297b3tve297b3tvem97b3tvm3N7b3tve297b3pve29aa3tvem97b1pre296b3tvWmt7b1prem9aa3pvWmt6b3pve297b3tvWmtba1tre296b3tvemt6b1lrem9aazlnGWMzSqcUsDVUSnxve2+bc3pve296b3tvOmcaY0wpTCluMTtrW2ucc1pre297b3tve297b3tve29aa5xze297b3tve29aa3tvWmt6b1lrWmtZa3tvWmtbazprOmcZY20tbS0zRl1rPGeYUs0cMi0RJc4cMCkNIRxnfW98b3trnHNba1tr+V4sJW4tlVJaZ51zO2deb9pesTkLJW0t+F56b5tzOGdaa513Oms6Z1trnHN7azpnGWM6ZztnW2uWUtA5TS1tLU0tbi1tLZVS+F6dc51zfW87ZzxnG2fyPSwlTSn6XjxnXWvZWrlWeE6SNewgyxyxNW8xsTlNKU0tTS1uMU0tTSmPMZZSfW99b1trO2s6Z1trW2tbazprW29aa1prWmtaa1prWmtaa1prWmtaa1prWmtaa1prWmtaa1prWmtaa1prWmtaazlnWmtaa1prWmtaazlnWms5Z1prOWdaazlnWms5ZzlnOWdaazlnWmtaa1prWmtaa1prWmsAAFpre29aa3tvWmt7b1pre29aa3tvWmt7b1pre29aa3tvem97b3tve296b3tvWmt7b1prem9aa3tvWmt7b1prem9aa3pvWmt6b1prWmtaa3pvWWtaa1pre296b3tvWmtaa1prW2tba3tvWmtaa1lrWWtZa1prGWMaZ3VOqBhuLfI9Omd7b5tvm29Za3pvWmtba/herzXqHI8xt1Z9c1tre297b3tve297b3tve29aa3tvWmt7b1pre29aa1prWmtaa1lrWW9Za1pvWmtab1prW2s6ZxljEkIrKdA5PGsaY/tiUS3OHFEt7iDtIC4pG2Ncb1tre297b3tvO2cbZ04tTSnwPZxvW2s7Z31vG2dVTgohTClUSp13e285a3tzem9aa1pre297b3tvWmtaazpnOmf4XjpnGmO3VvE9bS0rJU0tTC3POVNK+V5ca55zXWs8Z9lakDXrII8xXWtdaztnPGf7YvtiVk6PMdA5M0a3WnVO8T2vNUwpLCkLIQslTS2wOZZS+V5ca31vO2s6ZzpnW29aa1trWmtaazlnWmtZa1prOWdaa1prWms5Z1prWmtaazlnWms5Z1prOWdaazlnWms5Z1prWmtaazlnWms5ZzlnOWc5ZzlnOWc5ZzlnOWc5ZzlnWms5Z1prOWdaazlnWms5ZwAAe297b3tve297b3tve297b3tve297b3tve297b3tve297b3tvm3N7b3tvem97b1pre29aa3tve297b3pve29aa3tvWmt7b3pve29aa3tvWmt6b1pre296b3tvem97b1pre29ba3tvem96b1lrWWtZa3pvWWs6Zxpjt1oLIU0pjzU6Z3tvnHN7b3pvem97b1pr+WIzRuocjjFUSp1zW2t8b3tve2+cc3tve297b3tve297b1pre29aa3tvWmt7b1prem9Za1pvWWt6b1prW29aa1tr+F7XWislrzX5XjtjPGc3SowUcjEPJcwcTy08Z1xrnG97b3tvWmtcaxtj8z0sJc81nXNba1trfW87ZxpjTClNLa81nnM7a3xvm3N5b1lre296a3tvemt7b1trW2s6Z1trGmMaYxpjGmO3VhNGjjFMKQohCyGPNZdSHGNebz1rHGOYVm8tDCG5Wp9zfnNdaxpjW2tbaxljGWP4Xlpr+F74XpZWVE7xPY4xKyULIeogLCXRObhaO2ddbztrXGtba1trWmtba1prWmtZa3prWWtaa1prWmtaa1prWmtaa1prWmtaa1prWmtaazlnWmtaa1prWmtaa1prWms5Z1prOWdaazlnWms5Z1prOWdaazlnWmtaa1prWmtaazlnWms5Z1prAABaa3tvWmt7b1pre29aa3tve297b1pre29aa3tvWmt7b1pre29aa3tvem97b1prem9aa3tvWmt7b3tve29aa1prWmt7b1prem9aa3pvWmt6b1prem9aa1prWmt7b1prWmtba3tvWmt6b1prem9Za3pvWmtaaxlnGme3Wm4xCyFuMfheWmt7b3pvWWt6b1prW2sZY5dW6hxtLfE9fW86a3xve297b3tve297b3tvWmt7b1pre29aa1prWmt7b1prem9ab3pvWWtaa1prWm86a1prOmc6Z/hejTFtLZZSO2c9a5pW7iDuIC8p7BxPLTtnfG+cc5xzWmt7a1xrG2N3Ti0pjjE6Z1tre2taZ1prO2cSQgslTi24Wl1vW2+cc1hreW9Ya3premt6b1lnWms6Z1trGWNba1xrXGsaY/let1a3VrA1kDVuLU4pLSmRNVZKHWO6Wj5r9EFvMZAxHGcbYztne29Za9Zaem96b1lrWWd6axdjGWP4YthedVISQk0t6hxuLS0pCyGPMVVOG2dba1trOmtbazprWmtaa1prWWtZa1lrWms5Z1prWmtaazlnWms5Z1prOWdaazlnWms5Z1prOWdaazlnWmtaa1prOWdaa1prWms5ZzlnOWdaazlnWms5Z1prOWdaa1prWms5Z1prOWcAAHtve297b3tve297b3tve297b3tve297b3tve297b1prem9aa3tvWmt7b3pve296b3tvem97b3tvm3N7b3tvWmt7b3pve29aa3tvWmt7b1pre29aa3pvWmt7b3pve29aa3xvW2t7b1pre296b5tvem+bb1lrWmsaY9he0DkLIW4t2Fo5Z3tvem96b3pve29aazpn2FosJSwl0Dlba1trfG+cc3tvnHN7b5xze297b1pre29aa3tvWmt7b3tve296b3tzem9ab1prWm9aa1prOWtaa1trGF/POWwtU0p8b1xr21owKcwYLiUuJS4pPGt8b713nHN7b3tvnXMaYxxnTi1uLZdWfW97bzlnWmd7b7dW6iAtKRRGfm98b3tveW95b5tzemtaa1lrem96a3tvWmucb1trOmcaY1trW2s7Z/liGmNVSrA1Ti2PMW8tTy0uKdI5NUZWTi0pbi00Rn5vfXN6b5tzOGd5b1lrm3ObbzhnWmtaa1trGWc6Zxljt1YzRiwlTS1uMU0pTSmPNZZSXGtca1trW2tba1tvWmtaa1prWmtaa1prWmtaa1prWmtaa1prWmtaazpnWmtaa1prWmtaazlnWmtaa1prWmtaa1pre29aa1prOWdaazlnWmtaa1prOWdaa1prWmtaa1prWmtaawAAWmt7b1pre29aa3tvWmt7b1prem9aa3tvWmt6b1pre297b3tvWmt7b1pre296b3tvWmt7b3pve29aa3tvWmt6b1pre29aa3pvWmtaa1prem9aa3pvWmt7b1prem9aa1prW2tba1pre29aa3pvem96bzlnem86Zzpn2V7yQYcQjzV1UrdanHOcc1lnm3NZa3tvW2v4Xo4x6RyvNRlffGt8b1tre297b3tvWmt7b1pre29aa3tvWmt7b3tve29aa3tvWmtaa1prWmtZa1prWWtaa1lrOWc5ZzFGjDGuNfhefG/6XlZOiRTsIOwgLikbY55zfG98b3tve286Zzpn2F5VSk8tNkpdb51zGGO8d/deOmduMesckTU9axpnnHOac1lrWWtaazlnWWs5Z1prWmt7b1prWms6Z1prOmdaazlnOmcaZxpn2Fp1TtA5bjFMKU0pLCksJQshDCULIW8xVk5db5xzWWt6b5xzWWdaa3trW2tba1trWmdaZzljOWcYYzln+F4zRm0xTCkLJQslbS3yQbhaO2dcaztrO2d8b1trOmc5Z1prWmt7bzlnOWc6Z3tvWmtaazlnOmc6Z1prWmtbazlnWms5Z1prOWdaa1prWms5Z1prOWdaazlnOWc5ZzlnOWdaa1prWmtaa1prOWc5ZzlnAAB7b3pve296b3tvem97b3pve29aa3tvem97b1pre296b3tvWmt6b1pre296b3tvWmt7b3pve297b3tvem97b1pre29aa3tvWmt6b1pre29aa3pvWmt7b3pve29aa3pvWmt8b1tre29ba3tvem97b3pvWWtaa1trOmcaYxNGqRiPMVRK2F6dd3xvem96b3prWmt7a/le8T3pHK8xllJ8a3xvfG97b3tve297b3tve297b3tve297b3tvnHN7b3tvWmtba1prWmtaa1prWWt6a1lrWms4Z1lrUkoIIWwtUkpbaztnl1YLIcoYDCEMJfpeXW99c3xvnHN7b1trWmsZY3ZSkTHUPV5rXGtaa5tvWWc6ZxNC6xyQMdpefW9ba5tzWWt6b1prWms5Z1prWmt7b1pre29aa1prWmtaa1prWms6Z1prGWc6ZxljGWO3VjNGrzmOMSwpCyULIeog6yDROZZSfG9aa5tze297b3xvnG9aZ3tvW2tba1prWms5Z1lrOWdaa/hi2F6VUvE9LCkLJSwlTS00RhtnXW9caztrXGtba1tvWmtba1prWms5Z1prOmdbazpnWms6Z1prWmtba1prWms5Z1prWmtaa1prWmtaa1prWmtaa1prWms5Z1prOWdaazlnWmtaa1prWmtaazlnWmsAAHpve29aa3tvem97b1pre29aa3tvWmt7b1pre29aa3tvWmtaa1lrWmtaa3tvWmtaa1pre29aa3tvem97b1prem9aa3tvWmtaa1prem9aa3pvWmt7b1pre29aa3pvWmtaa1tre29aa1prWmt7b1prem9ZZ3pvOmc7axpjVU7JHI810D0aY3xve296b3pvWmtaa1trGmM0RuocbSkSQjpjnXN7b3tve297b3tve29aa3tve297b3tve297b3tvWmtaa1prW2taa1prWWtaa1lrWWs5ZzhnOWeUUoUUKilsLVtrPGv6Ym4tiBTrIAwluFpca3xvfG97b3tvWmt7bzpnuFqzOZI1+2Jca3tvem9aa1pnl1ItKS0pVUp9b1preWt5a3prWms5Z1prWmt7b1pre29aa1prWmtaa1pre29aa1prOmdba1trfG9bazpn+F7YWnVSM0bxPdE9bjEsKSwpjzUZY3xvfG9ba3trnXN7a1prWmtba1prWmtaa1prWmtaa1prW2s6a1tr+V51Tq81TSkLISwlbi0zRvlefXNcbztrW2taazpnWms6a3tve297b1prWms5ZzpnOmdaazprWms5Z1prOWdaazlnWms5Z1prOWdaazlnWms5Z1prOWc5ZzlnWms5Z1prWmtaazlnOWc5ZwAAe297b3tvem97b3tve296b3tvem97b3pve296b3tvem96b1prWmtaa3tve297b1prem9aa3tvem97b3tve296b3tvWmt7b1pre29aa3tvWmt7b3pve29aa3tvWmt7b1prfG9ba3tvWmt7b3pvem9Za3pvWmtbazpnO2eXViwpjzWPNRpne29aa5tzWWt7b1prfG8aY7dSCiFMKa81OmOdb3xve297b3tve297b3tve2+cc3tve297b3tve297b1pre29aa1prWmt6b1prWmtZazlnOWc6Z9ZaCSHoHGwtOmddbztn80FnEAwlLSXZWl1vnXNbb3tvem97b3tvW2v5XhVGUC25VlxvnHNaa3pvOWcaY7E1LSWxNRtnW2t6b1lre29aa1prWmt7b3tve297b3tvWmt7b1pre297b3tvWmt7b1trW2s6ZzpnOmdba1xrXGs7Zxpj2V64VjNGjzUrJZZSXGuec1trfG98b3tvW2t7b1pre2taa3tvWmt7b1trW2s6ZzpnOmt9b1xr+V51TtA5bjFtLUwpjjHxPdhafXNba1tre286azprOmdba1pre29aa1prOWdaa1prWmtaa1prWmtaazlnWmtaa1prWmtaa1prWms5Z1prOWdaazlnWmtaa1prWmtaa1prWms5Z1prAAB6b3tvem97b3pve296b3tvWmt7b3pve29aa3tvem97b1prWmtaa3tvem97b3pve29aa1prWmt7b1pre29aa3tvWmt6b1prem9aa3pvWmt7b1pre29aa3tvWmt6b1pre29ba3tvW2t7b1prem9Za1prWmtaazpnOmcaY9hebi2wNY4xGmdba1prem9Za3pre297azpnuFZMKSsljjEZX51ve297b3tve297b3tve297b1pre29aa3tve297b3tve29aa1prWmtaa1lrWmtZa1prOWd7bxljGWPPOacYbjHYWjxrPGtVSogU6xwtKZdSXG98b3tvWmt7b1prW29baxtjNkZQLRNCfW97a5tvWWc6ZxpjVk4tJW4tVUp8b3premtaa1prWmtaa1pre29aa3tvWmt7b1pre29aa3tve297b3tvWmsYYzpre2+cc1prGWMaZ1xrW2s7ZxtnGmMzRk0pjzG4Wl1rfW98b3tvWmt7b1premtaa3prWmtba1prW2taa3xve29bazpnW2s7a1tr+WKWUvA9jTEqJSsprjUyRvheW2udc51zW2taazpnWmtaa1prOWdaazlnWmtZa1prOWdaazlnWms5Z1prOWdaazlnWms5Z1prOWdaazlnWms5Z1prOWdaazlnWms5Z1prOWcAAHtve297b3tve297b3tve297b3pve297b3tvem97b3tve296b3tve2+cc3tvm3N7b3pvWmt7b3pve29aa3tvWmt7b1pre29aa3pvWmt7b3pve296b3tvem97b1pre297b3xvW2t7b1pre29aa3pvWWt7b1prW2s6Zztn+V6PNW4xrzn4Xnxvem96b1lrem96a3xvOmf5Xo8xTCWOLRlffG98b3tvnHN7b3tve297b3tve29aa3tve297b3tve297b3tvWmt7b1prem9Za1prWmtaa3tvOmcZY5ZSpxSPNTRGXG87Z7hWyhzKHC0pVU4bZ51zW2t7b3pvWmtba1tvGmNXTnAtsDU7Z3tvnHN7a1trO2fZWpA1LSWwOTtnfG9aa3tvWmt7b1pre297b3tvWmt7b1pre29aa3tve297b3tve29aa1prWmt7b3tve286ZzpnW2tbaxljO2tba9da0T0tJfNB+l5+b753fG97a3tve296a3tvWmtba1prW2tba3tve297b1tre29ba1tvO2f5YjpnfG/4XhFCSylLKWwtrjUSQrZW+F5ba3xvnHNba3tvWmtaa1lrWmtZa1prWWtaa1prWmtaa1prOWdaa1prWms5Z1prOWdaazlnWms5Z1prWmtaa1prWms5Z1prWmtaawAAe297b3pve297b3tvem97b3pve29aa3tvem97b1pre296b3tvem97b3tvm3N6b3tvWmt6b1prem9aa3pvWmtaa1prem9aa1prWmt6b1pre297b3tvWmt6b1pre29aa3tve297b1prWmtaa1prWWtZa1prWmtaa1trOmcaY20tCiVtMXROOmt7b1lrem9Za3tvW2tca/pe8j0rIY4x2FZ8a3tve297b3tve297b3tve297b3tvWmt7b1pre29aa3tvWmt7b1prWmtaa1prWmtaa1tre286ZxpjuFoLIU0t8kFcaztr2FpNLagYbi0zRhpjfG97b1pre29aa3tvW2s7Z5hWkTFOLbdWfG97b1pre287ZxtjE0IsJU0pt1Z8b3tvWmtaa1prWmtaa3tvWmtaa1prWmtaa1prWmt7b1prWms5Z3pvWmtaaxhjOWdaa5xze298b1prOmc6Z1tr+F6XVm8xkTEVRjxnfm98b1pre296a3pvWmt6a1prW2tba1trWmtZazhne2+cc5xzW2s6Z1trOmcZYzpnOmf3XhFCjTEKISslSynPOZVSW2tbazpnWmtaazlnWmtZa1prWWdZa1lrWms5Z1prOWdaazlnWms5Z1prOWdaazlnWms5Z1prOWdaazlnWms5Z1prOWdaazlnAACbc3tve297b5tze297b3tve297b3tvem97b3tve296b3tve297b3tvnHN7b3tvWmt7b3pve29aa3tvWmt6b1pre29aa3pvWmt7b1pre296b5tze297b1pre296b3tve2+cc3tve29aa3tvWmtaazlne29aa3tvW2tbaxljbC3HGEwpzzk5Z1prWWubc3pre298a3xrPGc0RiwljjHYVlxrnHN7b3tve297b3tve297b5xze297b1pre297b3tvWmt7b3pve29aa3pvWmtaa1prfG86Z1xvGmPZXk4tTSnyQX1vOmcaY681yRyPMVRKGmedc1pre297b3tve298bztn+2KxNW4tVEqdc1pne297a1xrGmOXUiwlTSk0Rn1vfG97b1prWmtaa3tve297b1pre29aa1prWmt7b1pre29aa3tvWmtaa1pre297b1prOmd7b1prW2tba1trOWc6ZztnNkpwLbE5uVpda1xrfG96b3tvemt7b1pre29ba3xvXGt7b3pvm3N7b3tvOWdaa3tve29ba1prOWc6ZxlnGWP4XnVS8T1tMY4xlVJbb51zOWd7b1prWmtZa3pvWWtZazlnWmtaa1prWmtaa1prWms5Z1prOWdaazlnWmtaa1prOWdaa1prWms5Z1prWmtaa1prWmsAAFpre29aa3tvWmt7b3pve29aa3tvem97b1pre29aa3tvWmt7b3pve297b3tvem97b1pre29aa3tvWmt7b3pve285Z1prWmt7b1pre29aa3pvWmt6b1prem9aa3pvWmt7b3tvfG97b3tvWmtaa1lrWmtaa1prOmdbazpntlquNccYKiVTSlprm3NZa3pvem97b3xvfGv5XpdSLCWOLfE9nW97b3tve297b3tve297b3tve297b1prWmtaa3tvWmt7b1prem9aa1prWWtaa1pre286Z1trO2c7Z/le0TnqHPE9t1adcztnEkbpHCslllJ9c3tve296b3tvWmt7b1trXG8bY/NBCyERQp1zWmtaa3tvOmcaY9hasDkLJbA1PGuec1tre29aa3tvWmtaa1pre29aa3tvWmt7b1pre29aa3tvWWtaa1premtZa1prWmt7b1prWmtaa1prWmtbazpnO2ccY/Q9LimwNdleXGt8b1prWmtaa1pre29ba1trW2t8b1prem96b3pvWWtaazlnWmtaa3tvWmtbazpnOmc5ZzpnGWP5YvheGmM6Z1trWmtaa1prWmtZa1prWWdZa1lrWmtZa1prOWdaazlnWms5Z1prOWdaazlnWms5Z1prOWdaazlnWms5Z1prOWdaazlnWms5ZwAAe297b3tve297b3pve297b3tvem97b3tve296b3tvem97b3pve297b3tve297b3pve296b3tvem97b3pve297b3tvWmt7b3pve29aa3tvWmt7b1pre29aa3tvWmt7b3tvfG97b3xve297b1prem9aa1prWmtaa1prW2sZY7ZWMka2VjpnvXebc3lrWWt6b1prnW9caxpjl1JNKW4tEj59b5xve2+cc3tvnHN7b5xze2+cc3tve29aa3tvWmt7b1pre29aa3pvWmtaa1pre29aa3xvW2tbaztnGmPRPQsh0Dn4XnxvOmcSQiwpTS23VnxvfG97b3tvem97b1pre29cazxnVk4sKW0t+F5ba51zWmt8bztnGmPRPU0pjzH7Yn5zfG9aa3tvWmt7b1pre29aa3tvWmt7b3tve29aa3tvWmtaa1prem9aa1prWmt6b1pre29aa1prWmt7b1prWms6Z/teulqyOY8xrzUaY3xve297a3tvfG9aa3tre298b1pre296b5tvem96b1lrWmtZa3pvWmt7b1pre29aa1trOms7ZxpnOmc6Z1trW2tba1prW2taa1prWWtaa1lremtZa1prWmtaazlnWms5Z1prWmtaazlnWmtaa1prOWdaa1prWms5Z1prWmtaazlnWms5Z1prAAB7b5tze297b3pve296b3tvWmt7b1pre296b3tvWmt7b1pre29aa3tvem97b1pre296b3tvWmt6b1pre29aa3tvem97b1prem9aa1prWmtaa1prem9aa3pvWmt7b1pre29ba3tvWmt7b1pre29aa3tvWmt7b1prOmc5ZzpnGWM5Z3tvnHN7b3pvWGt5a1lre298a3xr+l64Vk0pbi3ROX1ve297b3tve297b3tve297b3tve29aa1prWmt7b1prWmtaa1prWWtaa1lrWmtZa1prWmtbazpnO2caYxJC6iCOMdZafG9ba9heVE6WUjtrnXd7b3tvWmt6b1prWmtaa1trO2e4WkwpKyVTSnxvnG9aa1trfG/5XvJBTSlOKVZKfm9ba3tvWmt7b1pre29aa1prWmtaa1pre29aa3tvWmtaa1lrWmtaa1prWWtaa1prWmtaa1prWmtaa1prWms5ZzprGmMcZ7laLCVNKfE9O2d8b1tre29ba3trW2t7b1trW2taa3tvWmt7b1lrWmtZZ1lrWWt6b1pre29ba3tvW2tbb1trW2s7Z1trOmdbazpnWmtaa1prOWdZa1lrWmtZa1prWWtaazlnWms5Z1prOWdaazlnWms5Z1prOWdaazlnWms5Z1prOWdaazlnWms5Z1prOWcAAJxze297b3tve297b3tvem97b3tve297b3tve297b3pve296b3tvem97b3tve296b3tve297b1pre296b3tvem97b3tve29aa3pvWmt7b1pre29aa3tvWmt7b3pve296b3tve297b1pre29aa3tvWmt7b3tve29aazlnGGM5ZzlnfG9aa1prWWt6b3lrem97b3xvXGs7Y9laji1uLdE5XGucc3tve297b5xze297b3tvnHN7b3tvWmt7b1pre29aa3tvWmtaa1prWmtZa1prWWtaazpnW2s6a1trVEpMLW0x11paa1trOmcaZxpjfXN7b3tvem96b1prem9aa1trO2tca9habi1sLVNKe297b1pre2t7bzpnM0awNS0l9D1/c3xve297b1pre29aa3tvWmtaa1pre29aa3tvWmtaa1prWmtaa3tvWmtaa1prWmtaa3tvWmt7b1pre29aa1prOmtcazxr2V5USm0tbjFUSlxrnXM7Z1trfG+cczpnWmt7b3tve297b1prem9aa3prWWt6b1pre29ba3xve298b1trfG9ba3xvW2tbazprW2taa1trWmtaa1lrWmtaa1prWmtaa1prWmtaa1prWmtaa1prWmtaa1prWmtaa1prWmtaa1prWmtaazlnWmtaa1prOWdaawAAem97b3pve29aa3pvWmt7b1pre296b3tvem97b3pve29aa3tvWmt7b1pre29aa3tvem97b3pve29aa3pvWmt7b1prem9aa3pvWmt6b3pve29aa3pvWmt6b1prem9aa3tve297b3tve29aa1prWmtba1prWmtaa3tvWmtaa1pre29bb1trWmt6b3lveW9Za3tvW2tcaxtj+l5uLW4tsDV9a3tve297b3tve297b3tve297b3tvWmtaa1prWmtaa1prWmtaa1prWmtZa1lrWWtZa1prWmtaa1trW2vYXhJGU0o5Z3tvOWc6ZxljGmdca1trWmt6b1lrem9Za1prOmtbaztn+V6ONUwp8D1ba1tre29aa3tvOmeWUtE5by2yOZ93XGt7b1pre29aa1prWmt7b1prWmtaa1prWmtaa1prWmtaa1prWmtaa1prWmtaa3tvWmtaa1pre29aa1prWmtaa1trOmf4XhpnEkJtLW0tdU47Z1xrfG98b1prWmtaa3pvW2t7b1pre29aa3pvWWtaa1lremtaa3tvW2tba1trXGtaa1trW2tbazpnWms6a1trOmdaazpnWms5Z1prWmtaa1prWmtaa1prOWdaazlnWms5Z1prWmtaazlnWmtaa1prOWdaazlnWms5Z1prOWdaazlnAAB7b3pve296b3tvem97b3tve297b5tze297b3tve297b3tvem97b1pre29aa3tve297b3tve296b3tvWmt7b3pve29aa3tvWmt7b3pve297b3tvWmt7b1pre29aa3tve297b3tve297b3tvWmt7b1pre29aa1prWmt7b3pre297b3xvW297b3pvem9Za3pve297a1xrXGcbY48xTSnROVxrnG97b5xze297b3tve297b3tvWmt7b1pre29aa3tvWmtba1pre29aa3pvWWtaa1lre29Za1prOWdaazpn+GI6Z3tvm3Nba1tvfG9ba51zW2t7b3pvem9Za3pvWmtba1trW2s7ZzNGCiGvNTpnnHN7b3prWmtba9daE0KRMbI1f298b1pre29aa3tvWmt7b1prWmtaa3tvWmt7b1pre29aa1trWmt7b1prW2taa3tvW2tba1pre29aa3tvWmt7b1prem8YY5xvGWMaY681jzFNKbdWXGu/d1trOWebb5tzOGN7b1tre297b3tvem96b1lrem9aa3tvW2t7b1trXGtba1trWmtba1prW2taa1trWmtaazpnWmtaa1prWmtba1prWmtaa3tvWmtaa1prWmtaa1prWmtaa1prWmtaa1prWmtaa1prWmtaa1prOWdaa1prWmsAAFpre29aa3tvem97b3pve296b3tvem97b3tve296b3tvem97b1prem9aa3tvWmt7b3tve29aa3tvWmt6b1prem9aa3tvWmt7b3pve29aa3tvWmt6b1prem9aa3tvWmt7b3pve29aa3tvW2t7b1prW2t7b1prOWdaa1prWms5Z1prWmt7b1prWWtZa3lvemt7b1trfGs8Zxtjby1NKbAxfWt8b3tve297b3tve29aa3tvWmtaa1prWmtaa3tvWmtaa1prW2taa3pvWmt6a1lrWWtZa1lnWWs5ZxhjWms5Z5xzGGNZazlnfG98b1trW2s6a3pvem9Za3pvWmtaazprW2s7Z1trt1avNVNKXGt7a3tvWmtaa1pr+V7zQbI5US0dZ1xre29aa3tvWmt7b1prWmtaa1prWmtaa1prWmtaa1prWmtba1prW2taa1trWmtba1prW2taa3tvWmtaa1prem84Z3pvGGOcb9ha2V6wNS0psTm4VjtnW2s5Z3tvem9YZ3tve29aa3tvem97b1lrWmtaa3pvWmt7b1trW2s7a1trWmtaazlnOWdaa1trOmdaazpnWms6ZzprOmdbazprW2taa1prWmtaa1prWms5Z1prOWdaazlnWms5Z1prOWdaa1prWms5Z1prOWdaazlnWmtaawAAe296b3tvem+bc3tvnHN7b3tve297b3tvm3N7b3tve297b3pve29aa3tvWmt7b3pvm3N7b3tvem97b1pre29aa3tve297b3tve296b3pvWmt7b1pre29aa3tvem97b3pve29aa3tvWmt7b3tve297b3tvWmtaa3pve29aa1prWmtbb3tvnHN6b3pvem96bzlne29ca1xrGmOPMUwpsDV8a5xze297b3tve297b3tvWmt7b1prWmtaa3tve297b1pre29ba3tvWmt7b1premtZa1lnWWecc1prWmtaazpnWmucc3tvWmtba1trOmd8b3tve296b3pvemt7b1prW2taa1trGmNba7ZWXGt8b1premucc1prfG8ZYzNG0jmQMfpefG97b3tvWmt7b1pre29aa3tvWmt7b1pre29aa3tvWmtba1tre29aa1trWmtba1prW2taa3tvW2t7b1pre29aa3prWWdaaxhjfG8aY5dSkDUtKbE5uFZcb51zOWdZa5pve29bb3tvWmt7b3tvem9Za3pvWmt7b1trfG9ba3xvW2t7b1prOWc5Z1prWmtaazlnWms6Z1prOmdba1prW2taa1trWmt7b1pre29aa1prOWdaazlnWms5Z1prOWdaazlnWmtaa1prWmtaa1prWmtaa1prAAB6b3tvem97b3pve297b3tvWmt7b3tvm3N6b3tvem97b1pre29aa3tvWmt7b3tve29aa3tve297b3tve297b3tve297b3tve297b3tve297b1prWmtaa1prWmt7b1prWmt7b3tve297b1pre297b3tvWmt7b3tve29aa1prWmt7b1pre29aa3pvWmtaa1pre29aa1trW2sZY8856ByuNTlne297b3tve297b3tvWmt7b1pre29aa3tvWmt7b1pre29aa3tvWmt7b1prWms5Z1lrOGdaa1prWms5Z3tve29aa1prWmtaa1trWmtba1prWmtaa3pvWmt7b1pre29ba3tvOmc6ZxlnWmtba3xvW2taa1prnHM5Zzpn11qOMUwp+V5aa1prWmt7b1prWmtaa1prOWdaa1pre29aa3tvWmtaa1prWmtaa3tvWmt7b1pre29aa3tve297b1prWmtaa3tvOWdaa1prWms6Zztr+V65WsscLilOLRtjXW9ba1pre29aa3tvWmt7b1prWmtaa1prWWtaa1prWmtaa1prWmtba1prWmtaa1prWmtaa1prWms5Z1prOmdaazpnWmtaa1prWmtaa1prWms5Z1prWmtaa1prWms5Z1prOWdaa1prWms5Z1prWmtaazlnWmtaa1prOWcAAHtve297b3tve297b5tze297b3tvnHN7b5tze297b3tve297b3tve297b3tve297b3tve297b3tve297b3tve297b3tve297b3tve2+cc3tve29aa3tvWmt7b3tve297b5xze297b3tve297b3tve29aa1prnHN7b5xze297b3tve29aa3tvWmt7b1pre297b3tvWmtaaxhjtVZSStZae297b3tve297b3tve297b1pre29aa3tve297b1pre297b3tvWmt7b3tve29aa1prWmtaa1pre29aa1pre2+cc1pre29aa3tvWmt7b1pre29aa3tvWmt7b1pre29aa3tvWmtaazlnWmtaa3tve297b1pre2+cc3tvWmtaa3NOc057b3tvWmt7b1pre29aa3tvWmtaa1pre297b3tvWmt7b1prWmtaa3tvWmt7b1pre29aa1prWmt7b1pre29aa1prWmtaa1prWmtaa1trW2s7Z9le0j3rILE50j1da31vfG9aa3tvWmt7b1pre29aa3tvWmtaa1pre29aa1prWmt7b1prWmtaa1prWmtaa1prWmtaa1prWmtaa1prWmtaa1prWmtaa1prWmtaa1prWmt7b1prWmtaa1prWmtaa1prWmtaa1prWmtaa1prWmtaa1prWmtaawAAem97b3pve297b3tve297b3tvm3N7b5tze297b3pve297b3tvWmt7b1pre29aa3tvWmt7b1pre297b3tve297b1pre29aa3tve297b3tve297b3tvWmt7b1pre29aa3tve297b3tve29aa3tvWmt7bzlne297b5xznHOcc1pre29aa3tvWmt7b1prWmtaa3tve297bzlnOWcYY1pre297b3tve29aa3tve297b1pre29aa3tvWmt7b1pre29aa3tvWmt7b1pre29aa1prOWdaa1pre29aa1prWmt7b3tvWmtaa1prWmtaa1prWmtaa1prWmt7b1prWmtaa1prWmtaa1prWms5Z1prWmtaa1pre285Z3tvWmtaa1prOWc5Z5xzWmt7b1prWmtaa1prWmt7b1prWmtaa3tvWmt7b1prWmtaa1prWmtaa1pre29aa1prWmtaa1prWmtaa1prOWdaazlnWmtZa1prWmt7bztnG2eYVtI9Ti1vLTRKnXNba3tvWmt7b1prWmtaa3tvWmtaa1prWmtaa1prWmtaa1prWmtaa1prWmtaa1prWmtaa1prOWdaazlnWms5Z1prOWdaa1prWms5Z1prWmtaa1prWmtaa1prOWdaazlnWms5Z1prWmtaazlnWmtaa1prOWdaa1prAAB7b3tve297b5tze2+bc3tvm3N7b5xze2+bc3tve297b3tve297b1pre297b3tve297b3tve297b3tve297b3tve297b3tve297b3tvnHN7b3tve297b1prWmtaa3tve2+cc3tve297b3tvWmt7b1prWmt7b5xznHOcc3tve29aa3tve297b1pre29aa3tve297b3tvnHNaa1prWmt7b1pre297b3tve297b3tve29aa3tve297b1pre297b3tvWmt7b3tve29aa3tvWmtaa1prWmt7b3tvWmt7b3tve29aa3tvWmt7b1pre29aa3tvWmt7b3tve29aa3tvWmtaa1pre29aa3tvWmtaa1pre297b3tvWmt7b1prWmtaa3tvWmt7b3tve29aa1prWmt7b3tve29aa3tvWmt7b1pre29aa3tvWmt7b1pre29aa3tvWmtaa1pre29aa3tvWmtaa1prWmtaa1prWWt7b1trW2s7Zxtn+l5vMW4tjzW3Vpxze297b1pre29aa3tvWmt7b1pre29aa1prWmt7b1prWmtaa3tvWmtaa1prWmtaa1prWmtaa1prWmtaa1prWmtaa1prWmtaa1prWmtaa1prWmtaa1prWmtaazlnWmtaa1prOWdaa1prWmtaa1prWmtaa1prWmsAAHpve296b3tvem97b3tve29aa3tve297b1pre29aa3tvWmt7b1pre29aa3tve297b1pre29aa3tvWmt7b3tve29aa3tvWmt7b3tve297b3tvWmt7b1pre29aa1prWmt7b3tve297b3tvWmtaa1pre297b3tve2+cc3tve29aa3tvWmt7b3tve29aa1prWmt7b1pre297b3tvWmtaa3tvnHNaa3tvWmt7b3tve29aa3tvWmt7b1pre29aa3tvWmt7b1pre29aa3tvWmtaa1prWmtaa1prWmtaa1prWmtaa1prWmtaa1pre29aa1prWmt7b3tve29aa3tvWmtaa1prWmtaa3tvWmtaazlnWmtaa3tve29aa1pre285Z1prWmtaa1pre29aa1prWmtaa1pre29aa1prWmt7b1prWmtaa1prWmtaa1pre29aa1prWmtaa1pre29aa3tvWmtaa1pre29aa1prWWtaa1lrWms6a1trG2cbZ1VKbjHRPVNKnHNZa1prWmtaa1prWmtaa1pre29aa1prWmtaa1prWmtaa1prWmtaa1prWmtaa1prWmtaazlnWms5Z1prOWdaazlnWms5Z1prOWdaazlnWmtaa1prOWdaazlnWms5Z1prOWdaazlnWmtaa1prOWdaa1prWms5ZwAAe297b3tve297b3tvm3N7b3tvem+bc3tve29aa3tvem97b3tve297b3tve297b3tve29aa3tve297b3tve297b3tve297b3tve297b3tve297b3tvnHN7b3tvWmt7b3tvnHN7b3tve297b1pre29aa5xze2+cc3tve29aa3tve297b3tve297b3tvWmt7b3tve29aa1pre2+cc3tvnHOcc3tvWmt7b3tve297b3tvWmt7b1pre297b3tvWmt7b3tve29aa3tvWmtaa1pre29aa3tvWmt7b1prWmtaa1prWmtaa1pre297b1prWmt7b3tve297b3tve297b1pre29aa3tve297b1prWmtaa3tve297b1pre297b3tvWmt7b3tve29aa3tvWmt7b1pre297b3tvWmt7b1pre29aa3tvWmt7b1pre29aa3tvWmt7b1pre29aa3tve297b1pre29aa3pvWWtaa1lremtZZ1prW2tca/piG2dUSpZSOmdZa1prWmtaa3tvWmt7b1pre29aa1prWmt7b1prWmtaa3tvWmt7b1pre29aa1prWmtaa1prWms5Z1prWmtaa1prWmtaa1prOWdaa1prWmtaa1prWmtaa1prWmtaa1prWmtaa1prWmtaa1prWmtaa1prWmtaa1prAAB6b3tvem97b3tve297b3tvWmt7b3tve296b3tvWmt7b3tve29aa3tvWmt7b1pre29aa3tvWmt7b1pre29aa3tve297b1pre29aa3tvWmt7b1pre297b5xze297b1pre297b3tvWmt7b1pre29aa3tve297b3tve29aa3tvWmt7b1pre29aa3tvWmt7b1pre297b3tvWmtaa3tvnHNaa1prWmt7b1pre297b3tvWmt7b1pre29aa3tvWmt7b1pre29aa3tvWmtaa1prWmtaa1prWmt7b1prWmtaa1prOWdaa1pre297b3tvWmtaa1pre29aa3tvWmt7b1pre29aa3tvWmt7b1pre29aa3tvWmt7bzlnWmtaa1prWmt7b1pre29aa3tvWmt7b1pre29aa3tvWmt7b1prWmtaa1prWmtaa1pre29aa3tvWmtaa1prWmtaa3tvWmt7b1prWmtaa1prWmtZa1lneW9Za1lrOWdbb1xrW2saZ1tr+F7eezhjem9Za1prWmtaa1prWmtaa1prWmtaa1prWmtaa1prWmtaa1prWmtaa1prWmtaazlnWms5Z1prOWdaazlnWms5Z1prOWdaazlnWms5Z1prOWdaa1prWmtaa1prWmtaa1prWmtaa1prOWdaa1prWms5Z1prOWcAAHtve297b3tvm3N7b5tze297b3tvnHN7b5tze297b3tve297b3tvWmt7b3tve297b3tvWmt7b1pre297b3tve2+cc3tve297b3tve297b1prWmt7b5xze297b1prWmtaa3tve297b1pre29aa3tvWmt7b3tve297b3tve297b1pre297b3tve297b1pre297b1pre2+cc3tve2+cc5xzWmt7b1pre29aa3tve297b1pre297b3tvWmt7b3tve29aa3tvWmt7b1prWmtaa3tvWmt7b3tve29aa3tvWmtaa1prWmt7b3tve297b1pre297b3tvWmt7b1pre29aa3tvWmt7b3tve297b3tve297b1prWmucc3tvOWdaa3tvWms5Z3tvWmt7b3tve297b3tvWmt7b1pre29aa3tvWmt7b1pre29aa3tvWmt7b1prWmtaa1prWmt7b1pre29aa1prWmtaa1lrWWt5b3pvWWt6a3tvW2tcbztrOmd8b/dem3NZa1prWmtaa1pre29aa3tvWmt7b1prWmtaa3tvWmtaa1pre29aa3tvWmtaa1prWms5Z1prOWdaazlnWmtaa1prOWdaa1prWms5Z1prWmtaa1prWmtaa3tvWmt7b1prWmtaa1prWmtaa1prWmtaa1prWmtaawAAe297b3tve296b3tve297b3tve297b3tvem97b3tvm3Naa3tvWmt7b1pre29aa3tve297b1pre297b3tvWmtaa1pre297b3tvWmt7b1pre29aa3tvWmt7b1pre29aa3tvWmtaa1prWmtaa3tve297b3tve297b3tve297b1pre29aa3tvWmt7b1pre29aa3tvWmt7b1pre29aa3tve297b1pre29aa3tvWmt7b1pre29aa1prWmt7b1pre29aa3tvWmt7b1pre29aa1prWmt7b1prWmtaa3tvWmtaa1prWmtaa3tve297b1prWmtaa3tvWmt7b1pre29aa3tvWmt7b1prWmtaa1prWmtaa1pre29aa1prWmtaazlnWmtaa3tvWmt7b3tve29aa3tvWmtaa1pre29aa1prWmtaa1pre29aa3tvWmt7b1prWmtaa1prWmtaa1prWmtaa1prWmtaazlnWmtZa3lrWGtZa1lrWmtaa1trO2dba1prWmtZa3pvWmt7b1prWms5Z1prWmtaa1prWmtaa1prWmtaa1prWmtaa1prWmtaazlnWms5Z1prOWc5ZzlnWms5Z1prWmtaazlnWms5ZzlnOWdaa1prWmtaa1prWmtaa1prWmtaa1prOWdaa1prWms5Z1prWmtaazlnAACbc3tvm3N7b3tve2+cc3tvm3N7b5tze297b3tvm3N7b3tve297b3tve297b3tve297b3tve29aa3tvWmt7b1pre297b3tve297b3tve29aa3tve297b3tve29aa3tvWmt7b1prWmtaa3tve297b3tve297b3tve297b3tve297b3tve297b3tve297b3tve297b1pre297b3tve297b3tve29aa3tve297b3tve29aa3tvWmt7b1pre29aa3tve297b1pre29aa3tvWmt7b1pre29aa3tvWmt7b1pre29aa3tve2+cc3tvWmtaa3tve297b1pre29aa3tvWmt7b1prWmtaa3tvWmt7b1pre29aa1prWmt7b1prWmtaa3tvWmt7b3tve29aa1prWmt7b1pre29aa3tvWmtaa1pre29aa3tvWmt7b1pre29aa3tvWmt7b1pre29aa1prWmtaa1prWmtaa3pvWWt5a1lremtZa3tvW2tba1prW2taa3pvWWt6b1pre29aa1prWmtaa1pre29aa3tvWmt7b1pre29aa1prWmtaa1prWmtaa1prWmtaazlnWmtaa1prWmtaa1prWmtaa1prOWdaazlnWmtaa1prWmtaa1prWmtaa1prWmtaa1prWmtaa1prWmtaa1prWmsAAHpve296b3tve297b3tvm3N7b3tve297b3tve297b3tvWmt7b1pre29aa3tvWmt7b3tve29aa3tvWmt7b1pre29aa3tvWmt7b3tve29aa3tve297b3tve297b3tvWmt7b1pre29aa1prWmt7b1pre297b3tve297b3tve29aa3tve297b1pre29aa3tvWmtaa1pre29aa3tve297b1pre29aa3tvWmt7b3tve29aa3tvWmt7b1pre29aa3tvWmt7b1pre29aa1prWmt7b1pre297b3tvWmtaa1prWmtaa1prWmt7b1pre29aa1prWmt7b1prWmtaa1prWmtaa1prWmtaa1prWmtaa1pre29aa1prWmtaa1prWmtaa1prWmt7b3tve29aa1prWmt7b1prWmtaa1prWmtaa1prWmtaa1prWmt7b1prWmtaa1prWmtaa1pre29aa1prWmtaa1prWmtaa1prWWtZa1lreWtYa1prWmtbazpnWmtaa3prWWtZa1lrWmtaa1prWmtaa1prWmtaa3tvWmtaa1pre29aa1prWmtaazlnWms5Z1prOWdaazlnWms5Z1prWmtaazlnWms5Z1prOWc5ZzlnWms5Z1prWmtaazlnWmtaa1prOWdaa1prWms5Z1prWmtaazlnWms5ZwAAe297b3tvem+bc3tvnHN7b5tze2+bc3tvnHN7b5tze297b3tve297b3tve297b3tvnHN7b3tve2+cc3tvnHN7b3tve297b3tve297b3tvWmt7b3tve297b3tve297b3tve297b3tvWmt7b3tve29aa3tve297b3tve297b3tvWmt7b3tve297b3tvWmt7b1pre29aa3tve297b3tve29aa3tve297b3tve297b3tve297b1pre29aa3tvWmt7b1pre29aa3tvWmt7b1pre297b5xze297b1pre29aa3tvWmtaa1pre29aa3tvWmt7b1pre29aa1prWmt7b1prWmtaa3tvWmt7b1pre29aa3tvWmtaa1prWmtaa1prWmt7b3tve297b3tvWmt7b3tve285Z1prWmtaa1pre29aa1prWmt7b1pre29aa3tvWmt7b1pre29aa3tvWmt7b1prWmtaa1trWmtaa1lreW9Za3lrWWt7b1trW2taa3tvWmtZa1lrWmtaa1prWmt7b1prWmtaa3tvWmt7b1pre29aa3tvWmt7b1prWmtaa1prWmtaa1prWmtaa1prWmtaa1prWmtaa1prWmtaazlnWmtaa1prWmtaa1prWmtaa1prWmtaa1prWmtaa1prWmtaa1prWmtaa1prAABaa3tvWmt7b3pve297b5xzem97b3tvm3N7b3tve297b1pre29aa3tvWmt7b1pre29aa3tve2+cc5xznHN7b3tvWmt7b1pre29aa3tvWmt7b3tve297b3tve297b1pre29aa3tvWmt7b1pre29aa3tvWmt7b1pre29aa3tvWmt7b1pre297b3tvWmtaa1prWmtaa1prWmt7b1pre29aa3tvWmt7b3tve29aa3tvWmt7b1pre29aa3tvWmt7b1pre29aa1prWmtaa1pre29aa3tve297b1prWmtaa1prWmtaa1prWmtaa3tvWmtaa1pre29aa1prWmtaa1prWmtaa1prWmtaa1pre29aa1prWmtaazlnWmtaa1prWmtaa1pre29aa3tvWmtaa1pre29aazlnOWdaa1prWmtaa1prWmtaa1prWmtaa1prWmtaa1pre29aa3tvWmt7b1prWmtaa1trWmtba1premtZa3lrWWtaa1prW2taa1trWmtaa1lrWWs5Z1prWmtaa1prWmtaa1prWmtaa1prWmtaa1prWmtaa1prWmtaa1prOWdaazlnWms5Z1prWmtaa1prWmtaa1prOWdaazlnWms5Z1prWmtaazlnWmtaa1prOWdaa1prWms5Z1prWmtaazlnWmtaa1prOWcAAHtvem97b3tve297b5tze297b3tvnHN7b5xze2+bc3tve297b3tve297b3tve297b3tvWmt7b3tvnHN7b3tvWmt7b1pre297b3tve297b3tve297b3tve297b3tve297b3tve297b3tve29aa3tve297b1pre297b3tve297b3tve297b3tve297b1pre29aa3tvWmt7b3tve29aa3tve297b1pre297b3tvWmt7b1pre29aa3tvWmt7b1pre29aa3tvWmt7b1pre29aa3tve297b1pre29aa1prWmt7b1pre29aa3tvWmt7b1pre29aa3tvWmt7b1pre29aa3tvWmt7b1pre29aa3tvWmt7b1prWmtaa3tvWmtaa1pre297b3tvWmt7b1pre297b1prGGNaa1pre29aa3tvWmt7b1pre29aa3tvWmt7b1pre29aa3tvWmt7b1pre29aa3tvWmtba1tre29aa3pvWWt6b1lre29aa1trW2t7b1premtZa1prWmtaa1prWmtaa1prWmtaa1pre29aa1prWmt7b1prWmtaa1prWmtaa1prWmtaa1prWmtaa1prWmtaa1prWmtaazlnWmtaa1prWmtaa1prWmtaa1prWmtaa1prWmtaa1prWmtaa1prWmtaa1prWmtaawAAem97b1pre296b3tvem97b3pve297b5tze2+bc3pve29aa3tvWmt7b1pre29aa3tvWmt7b1pre297b3tve297b1pre29aa3tve297b1pre29aa3tvWmt7b1pre29aa1prWmt7b3tve29aa3tvWmt7b1pre29aa3tvWmt7b1pre29aa3tvWmt7b1pre29aa1prWmt7b1pre29aa3tvWmt7b1pre29aa3tvWmt7b1prWmtaa3tvWmt7b1pre29aa1prWmt7b1prWmtaa3tvWmt7b1prWms5Z1prWmtaa1prWmtaa3tvWmtaa1prWmtaa1prWmt7b1prWmtaa3tvWmtaa1pre29aa1prWmtaa1prWmtaa1prWmtaa1prWmtaa3tvWmt7b1prWmtaa3tvOWcYY1prWmtaa3tve297b1pre29aa1prWmtaa1pre29aa3tvWmt7b1pre29aa3tvWmtba1trXGtaa1prWWt5b1lrWmtaa1trOmtba1prem9Za1lrOWdaazlnWms5Z1prWmtaa1prWmtaa1prWmtaa1prWmtaa1prOWdaazlnWms5Z1prWmtaa1prWmtaa1prOWdaazlnWms5Z1prOWdaazlnWms5Z1prOWdaazlnWms5Z1prWmtaazlnWmtaa1prOWdaazlnAACbc3tve296b3tve297b3tve297b5tze2+cc3tve296b3tve297b3tve297b3tve2+cc3tve29aa3tve2+cc3tve29aa3tve297b3tve297b3tve297b3tve29aa3tvWmt7b3tvnHN7b3tvWmt7b1pre29aa3tve297b3tve297b3tvWmt7b1pre297b3tvWmt7b1pre29aa3tve297b1pre29aa3tvWmt7b1pre29aa3tve297b1pre29aa3tvWmt7b3tve29aa3tvWmt7b1prWmtaa1prWmt7b1prWmtaa3tvWmt7b1pre29aa1prOWd7b1pre29aa3tvWmt7b1pre29aa3tvWmt7b1prWmtaa3tvWmt7b1prWmtaa1prWmt7b1prWms5Z3tve29aaxhjWmtaa3tve2+cc3tve29aa3tvWmt7b1pre29aa3tvWmt7b3tve29aa3tvWmt7b1prW29ba3tvWmt6b1lrem9Za1prWmtba1tre296b3pvWWtaa1prWms5Z1prWmtaa1prWmtaa1prWmtaa1prWmtaa3tvWmtaa1prWmtaa1prWmtaa1prWmtaa3tvWmtaa1prWms5Z1prWmtaa1prWmtaa1prWmtaa1prWmtaa1prWmtaa1prWmtaa1prWmtaa1prWmsAAHtve297b3tvWmt7b3tve297b3tve297b3tve297b5xzWmt7b1pre29aa3tvWmt7b1pre297b3tve297b3tve29aa3tve297b3tve297b3tvWmt7b1pre29aa1prWmtaa1pre297b3tve297b1pre297b3tvWmt7b1pre297b3tvWmtaa3tve297b3tvWmtaa1prWmtaa3tvWmt7b1pre29aa1prWmtaa1prWmtaa1prWmtaa1pre29aa3tvWmt7b1prWmtaa3tvWmt7b1pre285Z1prWmt7b1prWmtaa1prWmtaa1pre29aa1prWmtaa1prWmtaa1prWmtaa1prWmtaa1prWmt7b1prWmtaa1prWmtaa1prWmtaa1prWmt7b1prWmtaa1prWmtaa1pre29aa3tvWmt7b1prWmtaa1prWmtaa1pre29aa3tvWmt7b1pre29aa3tvWmtaa1prWmtaa1trW2t7b1prem9aa1prWmtaazlnWmtaa3tvWmtaa1prWmtaa1prWmtaa1prWmtaa1prWmtaazlnWms5Z1prWmtaa1prWmtaa1prWmtaazlnWmtaa3tvOWdaazlnWms5Z1prOWdaazlnOWc5Z1prOWdaazlnWms5Z1prOWdaa1prWmtaa1prOWdaa1prWmtaawAAe297b3tve297b3tve297b3tve2+cc3tvnHN7b5xze297b1pre29aa3tvWmt7b3tve297b3tve297b3tve297b3tve297b3tve297b3tve297b3tve297b3tvWmt7b1pre297b3tve297b3tve29aa3tve297b3tve297b3tve29aa1pre297b3tve297b1pre29aa3tve297b3tve297b3tvWmt7b1pre29aa3tvWmt7b1pre29aa3tvWmt7b3tve29aa3tve297b1pre29aa1prWmt7b1prWmtaa3tvWmt7b1pre29aa3tvWmt7b1pre29aa3tvWmtaa1prWmtaa3tvWmt7b1pre29aa3tvWmt7b1pre29aa1prWmt7b1pre29aa3tvWmtaa1pre29aa3tve297b3tve29aa3tvWmtaa1pre29aa3tvWmt7b3tve29aa3tvWmt7b1pre29aa3tvWmt7b3tve29aa3tvWmtaa1prWmtaa3tvWmt7b1prWmtaa1prWmtaa1prWmtaa1prWmtaa1prWmtaa1prWmtaa1prWmtaa1prWmtaa1prWmtaa3tvWmtaazlnWmtaa1prWmtaazlnWms5Z1prOWdaa1prWmtaa1prWmtaa1prWmtaa1prWmtaa1prWmtaa1prAABaa3tvWmt7b3tve297b3tve297b3tve297b3tve297b3tve29aa3tvWmt7b1pre29aa3tvWmt7b1pre29aa3tve297b1pre297b3tvWmt7b1pre29aa3tve297b1pre29aa3tvWmt7b1pre29aa3tve297b1pre29aa3tvWmt7b1pre29aa3tve297b1prWmtaa3tvWmt7b1pre29aa3tvWmtaa1prWmtaa1prWmtaa1pre29aa3tvWmt7b1pre29aa3tvWmt7b1pre29aa1prWmtaa1prWmtaa1prWmtaa1prWmtaa1prWmt7b1prWmtaa3tvWmtaa1prWmtaa1prWmtaa1prWmtaa3tvWmt7b1prWmtaa1prWmtaa1prWmtaa1prWmtaa1prWmtaa1prWmt7b1pre29aa3tvWmt7b1prWmtaa1prWmt7b1pre29aa3tvWmtaa1prWmtaa1prWmt7b1pre29aa3tvWmtaa1prWms5Z1prWmt7b1prWmtaa1prWmtaa1prWmtaa1prWmtaazlnWms5Z1prOWdaa1prWmtaa1prWmtaa1prWms5Z1prWmtaa1prWms5Z1prWmtaazlnWms5Z1prOWdaazlnWms5Z1prOWdaazlnWmtaa1prOWdaa1prWmtaa1prWmsAAHtve297b3tve297b5xze297b3tve297b5xze2+cc3tve297b3tvWmt7b3tve297b3tvWmt7b1pre297b3tve297b3tve297b3tve297b3tve297b3tve2+cc3tve297b3tvWmt7b1pre297b3tvWmt7b3tve297b3tve297b3tve29aa3tve297b3tve29aa3tvWmt7b1pre297b3tvWmt7b1pre29aa3tvWmt7b1pre29aa3tvWmt7b1pre29aa3tvWmt7b1pre29aa3tvWmt7b1pre29aa3tvWmtaa1pre29aa3tvWmt7b1pre29aa3tvWmt7b1pre29aa1prWmtaa1prWmtaa3tvWmt7b1pre29aa1prWmt7b1pre29aa3tvWmtaa1pre29aa3tvWmt7b1pre29aa3tve297b3tve29aa3tvWmt7b1pre29aa3tvWmt7b1pre29aa3tvWmt7b1pre29aa3tvWmtaa1pre29aa3tvWmt7b1prWmtaa1prWmtaa1prWmtaa1prWmt7b1prWmtaa1prWmtaa1prWmtaa1prWmtaa1prWmtaa1prWmtaa1prWmtaa1prWmtaa1prWms5Z1prWmtaa1prWmtaa1prWmtaa1prWmtaa1prWmtaa1prWmtaa1prWmtaawAAWmt7b1pre297b3tve2+cc1pre297b3tve297b3tve297b3tve297b1pre29aa3tvWmt7b1pre29aa3tvWmt7b3tve297b3tvWmt7b1pre29aa3tvWmt7b3tvnHN7b3tvWmtaa1pre29aa3tvWmt7b1pre29aa3tvWmt7b1pre29aa3tvWmt7b1pre29aa3tvWmtaa1pre29aa3tvWmtaa1prWmtaa1prWmtaa1prWmtaa3tvWmt7b1pre29aa3tvWmtaa1pre29aa3tvWmt7b1pre29aa3tvWmtaa1pre29aa1prWmt7b1prWmtaa1prWmt7b1pre29aa1prWmtaa1prWmtaa1prWmtaa1pre29aa1prWmtaa1prWmtaa1prWmtaa1prWmtaa1prWmt7bzlnWmtaa1prWmt7b1pre29aa1prWmtaa1prWmtaa3tvWmtaa1prWmtaa1prWmt7b1prWmtaa3tvWmtaa1prWmtaa1prWmtaa1prWmtaa1prWmtaa1prWmtaa1prWmtaa1prWmtaa1prOWdaazlnWmtaa1prWmtaa1prWmtaa1prOWdaazlnWms5Z1prWmtaazlnWms5Z1prOWdaazlnWms5Z1prOWdaazlnWms5Z1prOWdaazlnWms5Z1prWmtaazlnAAB7b3tve297b3tve2+cc3tve297b3tve297b3tvnHN7b5xze297b3tve29aa3tve297b1pre297b3tve297b3tve297b3tve297b1pre29aa3tvWmt7b3tvnHN7b5xze297b1pre29aa3tvWmt7b3tve297b3tve297b3tve297b3tvWmt7b3tve29aa3tvWmt7b1pre29aa3tvWmt7b1prWmtaa3tvWmtaa1pre29aa3tvWmt7b1pre29aa3tvWmt7b1pre297b3tvWmt7b1pre297b3tvWmtaa1pre297b3tvWmt7b1pre29aa3tvWmt7b1pre29aa3tvWmt7b1pre29aa3tvWmt7b1pre29aa3tvWmtaa1prWmtaa3tvWmtaa1prWmtaa1prWmt7b1prWmtaa1prWmt7b1pre29aa3tvWmt7b1pre29aa3tvWmt7b1pre29aa3tvWmt7b1pre29aa3tvWmtaa1pre29aa3tvWmt7b1prWmtaa1prWmtaa1prWmtaa1prWmtaa1prWmtaa1prWmtaa1prWmtaa1prWmtaa1prWmtaa1prWmtaa1prWms5Z1prWmtaa1prWmtaa1prWmtaa1prWmtaa1prWmtaa1prWmtaa1prWmtaa1prWmtaa1prWmtaa1prWmsAAHtve29aa3tve297b3tve297b3tvWmt7b3tve297b3tve297b3tve29aa3tvWmt7b1pre29aa3tve297b3tve297b3tvWmt7b1pre29aa1prWmtaa1pre297b5xze297b3tve29aa3tvWmt7b1pre29aa3tvWmt7b3tve29aa3tvWmt7b1pre29aa3tvWmt7b1pre29aa3tvWmtaa1prWmtaa1prWmtaa1prWmtaa1prWmt7b1pre29aa3tvWmtaa1pre29aa3tvWmt7b1prWmt7b3tvWmtaa1prWmtaa3tvWmtaa1prWmtaa3tvWmtaa1pre29aa3tvWmt7b1prWmtaa3tvWmtaa1prWmtaa1prWmtaa1prWmtaa1prWmtaa1prWms5Z1prWmtaa1pre29aa1prWmtaa1pre29aa3tvWmtaa1prWmtaa1prWmtaa1prWmtaa1prWmt7b1pre29aa3tvWmtaa1prWmtaa1prWmtaa1prWmtaa1prWmtaa1prWmtaa1prWmtaa1prWmtaa1prOWdaazlnWms5Z1prWmtaa1prWmtaa1prWmtaa1prWms5ZzlnWmtaa1prWms5Z1prOWdaazlnWmtaa1prOWdaazlnWms5Z1prOWdaa1prWms5Z1prOWdaazlnWms5ZwAAe297b3tve297b3tve297b3tve297b3tve297b3tve2+cc3tve297b3tve297b3tve297b3tve297b3tve297b3tve297b3tve29aa3tvWmt7b1prWmtaa5xznHOcc3tvnHN7b3tvWmt7b3tve297b3tve297b3tve297b3tvWmt7b3tve29aa3tve297b1pre29aa3tvWmt7b1prWmtaa1prWmtaa1prWmtaa1prWmt7b3tve29aa3tvWmt7b1pre29aa3tvWmt7b1pre29aa3tve297b1prWmtaa3tvWmt7b1pre29aa3tvWmt7b1pre297b3tvWmt7b1pre29aa3tve297b1pre29aa1prWmt7b1prWmtaa1prWmtaa1prWmtaa1prWmtaa1pre29aa3tvWmt7b1pre29aa3tvWmt7b1pre29aa3tvWmtaa1pre29aa3tvWmt7b1pre29aa3tvWmt7b1prWmtaa1prWmtaa1pre29aa1prWmtaa1prWmtaa1prWmtaa1prWmtaa3tvWmtaa1prWmtaa1prWmtaa1prWmtaa1prWmtaa1pre29aa1prOWdaa1pre29aa1prWmtaazlnWmtaa1prWmtaa1prWmtaa1prWmtaa1prWmtaa1prOWdaazlnWms5Z1prAABaa3tve297b3tve297b3tvWmt7b1pre29aa3tve297b3tve297b3tve297b1pre297b3tve297b3tvnHN7b3tve297b3tve29aa3tvWmt7b3tve29aa3tve2+cc3tve297b3tve297b1pre29aa3tvWmt7b3tve297b3tve297b1pre29aa3tvWmt7b3tve29aa3tvWmt7b1prWmtaa3tvWmtaazlne29aa1prWmt7b1prWmtaa1prWmtaa1pre29aa3tve297b1pre29aa3tvWmt7b1pre29aa3tvWmt7b1pre29aa3tvWmtaa1pre29aa3tvWmt7b1prWmtaa3tvWmt7b1pre29aa1prWmt7b1prWmtaa1prWmtaa1prWmtaa1prWmtaa1prWmtaa3tvWmtaa1prWmtaa1prWmtaa1prWmtaa1prWmtaa1prWmtaa1prWmtaazlnWmtaa1prWmtaazlnWms5Z1prWmt7bzlnWmtaa1prWmtaa1prWmtaa1prWmtaa1prWmtaa1prWmtaazlnWms5Z1prWmtaa1prWms5Z1prOWdaazlnWms5Z1prOWdaazlnWmtaa1prOWdaa1prWms5Z1prWmtaazlnWms5Z1prOWdaazlnWms5Z1prOWdaazlnWms5Z1prOWcAAHtve2+cc3tvnHN7b5xze297b3tve297b3tve2+cc3tve297b5xze297b3tve29aa3tve297b3tvnHN7b5xze297b3tve297b3tvWmt7b3tve297b3tve2+cc3tvnHN7b5xze2+cc3tve297b3tve297b1pre297b3tve297b3tve297b3tve297b3tve297b3tvWmt7b1prWmtaa3tvWmt7b1prWmtaa3tvWmtaa3tvWmtaa3tvWmt7b1pre29aa3tvWmt7b3tve297b3tve297b1pre29aa3tvWmt7b1pre29aa3tvWmt7b1pre29aa3tvWmt7b1pre29aa3tvWmt7b1pre29aa3tvWmt7b1prWmtaa3tvWmtaa1pre29aa1prWmtaa1prWmtaa3tvWmtaa1pre29aa3tvWmt7b1prWmtaa3tvWmtaa1pre29aa1prWmtaa1prWmtaa3tvWmtaa1prWmtaa1prWmt7b1prWmtaa3tvWmt7b1pre29aa3tvWmt7b1prWmtaa3tvWmt7b1prWmtaa1prWmt7b1prWmtaa1prWmtaazlnWmtaa1prOWdaa1prWmtaa1prWmtaa1prWmtaa1prWmtaa1prWmtaa1prWmtaazlnWms5Z1prOWdaazlnWms5Z1prOWdaawAAe297b3tve297b5xze297b3tve297b3tve297b3tvnHN7b3tve297b3tve29aa3tve297b1pre297b3tve297b3tve29aa3tvWmt7b1pre297b3tvWmt7b3tve297b3tve297b3tve297b3tvWmt7b1pre29aa3tvWmt7b1pre29aa3tvWmt7b1pre29aa3tvWmt7b1prWmtaa1prWmtaa1prWms5Z1prWmtaa1pre29aa1prWmtaa1pre29aa1prWmt7b1pre29aa3tvWmt7b1pre29aa1prWmt7b1prWmtaa3tvWmtaa1pre29aa3tvWmt7b1prWmtaa3tvWmt7b1pre29aa1prWmtaa1prWmtaa1prWmtaa1prWmtaa1prWmtaa1prWmtaa1prWmtaa1prWmtaa1prWmtaa1prWmtaa1prWmtaa1prWmtaa1prWmtaa1prWmtaa1prWmtaa1prWms5Z1prWmtaa1prWmtaa1prWmtaa1prWmtaa1prWmtaa1prWmtaa1prWmtaa1prWmtaa1prOWdaa1prWmtaa1prOWdaazlnWms5Z1prOWdaazlnWms5Z1prOWdaa1prWms5Z1prWmtaazlnWmtaa1prOWdaazlnWms5Z1prOWdaazlnWms5Z1prOWc5ZzlnAAB7b3tve297b5xze297b3tvnHN7b3tve297b3tve297b3tve297b3tve297b3tvWmt7b3tve29aa3tve297b1pre297b3tve297b3tve297b3tve297b3tve297b3tve297b3tve297b3tve297b1pre29aa3tvWmt7b1pre29aa3tve297b1pre297b3tvWmt7b1pre29aa3tvWmtaa1pre29aa1prWmt7b1prWmtaa1prWmtaa1pre29aa3tvWmt7b1pre29aa3tve297b1pre29aa3tvWmt7b1pre29aa3tvWmt7b1pre29aa3tvWmt7b1pre29aa3tvWmt7b1pre297b3tvWmt7b1prWmtaa1prWmtaa1pre29aa3tvWmtaa1prWmtaa1prWmtaa1prWmtaa3tvWmt7b1prWmtaa1prWmtaa1pre29aa3tvWmtaa1prWmtaa3tvWmtaa1prWmtaa1prWmtaa1prWmtaa1prWmtaa1pre29aa3tvWmtaa1prWmtaa1prWmt7b1pre29aa1prWmtaa1pre29aa1prWmtaazlnWms5Z1prOWdaazlnWms5Z1prWmtaa1prWmtaa1prWmtaa1prWmtaa1prWmtaa1prWmtaa1prOWdaa1prWms5Z1prOWdaazlnWmsAAFpre29aa3tve297b3tve297b3tvWmt7b1pre29aa3tvWmt7b3tve297b3tvWmt7b3tve29aa3tvWmt7b1pre29aa3tvWmt7b1pre297b3tvWmt7b3tve29aa3tve297b1pre29aa3tvWmt7b1pre29aa3tvWmt7b1prWmtaa3tvWmt7b1pre29aa3tvWmt7b1pre29aa3tvWmt7b1prWmtaa1prWmtaa1prWmtaa1prWmtaa1prWmtaa1prWmtaa1prWmtaa3tvWmt7b1prWmtaa1prWmtaa1prWmtaa1prWmtaa1prWmtaa1prWmt7b1pre29aa3tvWmt7b1pre29aa3tvWmtaa1prWmtaa1prWmtaa1prWmtaa1prWmtaa1prWmtaa1prWmtaa1prWmtaa1prWmtaa1prWmtaa1prWmtaa1prWmtaa1prWmtaa1prWmtaa3tvWmtaa1prWms5Z1prWmtaa1prWmtaa1prOWdaa1prWmtaa1prWmtaazlnWmtaa1prOWdaa1pre29aa1prWmtaa1prWmtaa1prWmtaazlnWms5Z1prOWdaazlnWms5Z1prOWdaa1prWms5Z1prWmtaazlnWmtaa1prOWdaazlnWms5Z1prOWdaazlnWms5Z1prOWdaazlnWms5ZwAAe29aa3tve297b3tve297b3tve297b1pre29aa3tve297b3tve297b3tve297b3tve297b3tve297b3tve29aa3tvWmt7b3tve297b3tve297b3tvnHN7b3tvWmt7b3tve297b3tve297b1pre297b3tvWmt7b1pre29aa3tvWmt7b3tve297b3tvWmt7b1pre297b3tve297b3tve29aa1prWmt7b1prWmtaa3tvWmtaa1prWmtaa1prWmt7b1prWmtaa3tvWmt7b1pre29aa3tvWmt7b1pre29aa3tvWmtaa1prWmtaa1prWmt7b3tve29aa3tvWmt7b1pre297b3tvWmt7b1prWmtaa1prWmtaa1pre29aa1prWmt7b1prWmtaa1prWmtaa1prWmtaa1prWmt7b1pre29aa3tvWmtaa1pre29aa1prWmt7b1prWmtaa3tvWmt7b1pre29aa1prWmtaa1prWmtaa3tvWmtaa1pre29aa3tvWmt7b1prWmtaa3tvWmtaa1pre297b1prWmt7b1prWmtaa3tvWmtaa1prWmtaa1prOWdaa1prWms5Z1prWmtaa1prWmtaa1prWmtaa1prWmtaa1prWmtaa1prWmtaa1prOWdaazlnWms5Z1prOWdaazlnWms5Z1prAABaa3tvWmt7b3tve29aa3tve297b1pre29aa3tvWmt7b1pre297b3tve297b1pre297b3tvWmt7b3tve29aa3tvWmt7b1pre297b3tvWmt7b1pre297b3tvWmt7b1pre29aa3tvWmt7b1pre29aa3tvWmt7b1pre29aa3tvWmtaa3tve29aa3tvWmtaa1prWmtaa3tvWmt7b3tve29aa1prWmt7b1prWmtaa3tvWmtaa1prWmtaa1prWmtaa1prWmtaa1prWmtaa1prWmtaa1prWmtaa1prWmtaa1prWmtaa1prWmtaa1prWmt7b1pre29aa3tvWmtaa1pre29aa3tvWmt7b1prWmtaa1prOWdaa1prWmtaa1prWmtaa1prWmtaa1prWmtaa1prWms5Z1prWmtaa1prWmtaa1prWmtaa1prWmtaa1prWmtaa1prWmtaa1prWmt7b1pre29aa1prOWdaa1prWmtaa1prWmtaa1prWmtaa1prWmtaa1prWmtaa3tvWmtaazlnWmtaa3tvWmtaa1prWmtaa1prOWdaa1prWms5Z1prOWdaazlnWms5Z1prOWdaazlnWms5Z1prWmtaazlnWmtaa1prOWdaa1prWms5Z1prOWdaazlnWms5Z1prOWdaazlnWms5ZzlnOWcAAHtve297b3tvnHN7b3tve2+cc3tve297b3tve297b3tve297b3tve2+cc3tve297b5xze297b3tve297b3tvWmt7b3tve297b3tve297b3tve297b5xze297b1pre297b3tve297b1pre297b3tve297b3tve297b3tvWmt7b1pre297b3tvWmt7b1prWmtaa3tvWmt7b3tve29aa1prWmtaa3tve29aa1prWmt7bzlnWmtaa1prWmtaa1prWmtaa1prWmt7b1pre29aa1prWmt7b1prWmtaa3tvWmtaa1prWmtaa1prWmt7b1pre29aa3tvWmt7b1pre29aa3tve297b3tve29aa1prWmtaa1prWmtaa1prWmt7b1pre29aa1prWmtaa1prWmtaa1prOWdaa1pre29aa3tvWmtaa1prWmtaa1prWmt7b1pre29aa1prWmt7b1pre29aa1prWmtaa1prWmtaa3tvWmtaa1prWmtaa1prWmt7b1pre29aa1prWmt7b1prWms5Z1prWmtaa1prWmtaa1prWmtaazlnWmtaa1prOWdaazlnWms5Z1prOWdaazlnWmtaa1prWmtaa1prWmtaa1prWmtaa1prWmtaa1prWmtaa1prWms5Z1prWmtaazlnWms5Z1prOWdaawAARgAAABQAAAAIAAAAR0RJQwMAAAAiAAAADAAAAP////8iAAAADAAAAP////8lAAAADAAAAA0AAIAoAAAADAAAAAQAAAAiAAAADAAAAP////8iAAAADAAAAP7///8nAAAAGAAAAAQAAAAAAAAA////AAAAAAAlAAAADAAAAAQAAABMAAAAZAAAAAAAAAB8AAAAqAEAAMwAAAAAAAAAfAAAAKkBAABRAAAAIQDwAAAAAAAAAAAAAACAPwAAAAAAAAAAAACAPwAAAAAAAAAAAAAAAAAAAAAAAAAAAAAAAAAAAAAAAAAAJQAAAAwAAAAAAACAKAAAAAwAAAAEAAAAJwAAABgAAAAEAAAAAAAAAP///wAAAAAAJQAAAAwAAAAEAAAATAAAAGQAAAAOAAAAfAAAAD8BAACSAAAADgAAAHwAAAAyAQAAFwAAACEA8AAAAAAAAAAAAAAAgD8AAAAAAAAAAAAAgD8AAAAAAAAAAAAAAAAAAAAAAAAAAAAAAAAAAAAAAAAAACUAAAAMAAAAAAAAgCgAAAAMAAAABAAAACUAAAAMAAAAAQAAABgAAAAMAAAAAAAAABIAAAAMAAAAAQAAAB4AAAAYAAAADgAAAHwAAABAAQAAkwAAACUAAAAMAAAAAQAAAFQAAACoAAAADwAAAHwAAACcAAAAkgAAAAEAAABVVY9BJrSPQQ8AAAB8AAAADwAAAEwAAAAAAAAAAAAAAAAAAAD//////////2wAAABIAHUAbQBiAGUAcgB0AG8AIABDAG8AbABtAGEAbgAAAAwAAAAKAAAADwAAAAoAAAAJAAAABgAAAAYAAAAKAAAABQAAAAsAAAAKAAAABAAAAA8AAAAJAAAACgAAAEsAAABAAAAAMAAAAAUAAAAgAAAAAQAAAAEAAAAQAAAAAAAAAAAAAACpAQAA0QAAAAAAAAAAAAAAqQEAANEAAAAlAAAADAAAAAIAAAAnAAAAGAAAAAQAAAAAAAAA////AAAAAAAlAAAADAAAAAQAAABMAAAAZAAAAA4AAACZAAAAPwEAAK8AAAAOAAAAmQAAADIBAAAXAAAAIQDwAAAAAAAAAAAAAACAPwAAAAAAAAAAAACAPwAAAAAAAAAAAAAAAAAAAAAAAAAAAAAAAAAAAAAAAAAAJQAAAAwAAAAAAACAKAAAAAwAAAAEAAAAJQAAAAwAAAABAAAAGAAAAAwAAAAAAAAAEgAAAAwAAAABAAAAHgAAABgAAAAOAAAAmQAAAEABAACwAAAAJQAAAAwAAAABAAAAVAAAAKAAAAAPAAAAmQAAAH4AAACvAAAAAQAAAFVVj0EmtI9BDwAAAJkAAAAOAAAATAAAAAAAAAAAAAAAAAAAAP//////////aAAAAFYAaQBjAGUAcAByAGUAcwBpAGQAZQBuAHQAZQALAAAABAAAAAgAAAAJAAAACgAAAAYAAAAJAAAABwAAAAQAAAAKAAAACQAAAAoAAAAGAAAACQAAAEsAAABAAAAAMAAAAAUAAAAgAAAAAQAAAAEAAAAQAAAAAAAAAAAAAACpAQAA0QAAAAAAAAAAAAAAqQEAANEAAAAlAAAADAAAAAIAAAAnAAAAGAAAAAQAAAAAAAAA////AAAAAAAlAAAADAAAAAQAAABMAAAAZAAAAA4AAAC2AAAAmgEAAMwAAAAOAAAAtgAAAI0BAAAXAAAAIQDwAAAAAAAAAAAAAACAPwAAAAAAAAAAAACAPwAAAAAAAAAAAAAAAAAAAAAAAAAAAAAAAAAAAAAAAAAAJQAAAAwAAAAAAACAKAAAAAwAAAAEAAAAJQAAAAwAAAABAAAAGAAAAAwAAAAAAAAAEgAAAAwAAAABAAAAFgAAAAwAAAAAAAAAVAAAAFABAAAPAAAAtgAAAJkBAADMAAAAAQAAAFVVj0EmtI9BDwAAALYAAAArAAAATAAAAAQAAAAOAAAAtgAAAJsBAADNAAAApAAAAEYAaQByAG0AYQBkAG8AIABwAG8AcgA6ACAASABVAE0AQgBFAFIAVABPACAAQQBSAEkARQBMACAAQwBPAEwATQBBAE4AIABDAEEAUwBUAEkATABMAE8AAAAIAAAABAAAAAYAAAAPAAAACQAAAAoAAAAKAAAABQAAAAoAAAAKAAAABgAAAAQAAAAFAAAADAAAAAwAAAAPAAAACgAAAAkAAAAKAAAACQAAAA0AAAAFAAAACwAAAAoAAAAFAAAACQAAAAgAAAAFAAAACwAAAA0AAAAIAAAADwAAAAsAAAANAAAABQAAAAsAAAALAAAACQAAAAkAAAAFAAAACAAAAAgAAAANAAAAFgAAAAwAAAAAAAAAJQAAAAwAAAACAAAADgAAABQAAAAAAAAAEAAAABQAAAA=</Object>
</Signature>
</file>

<file path=_xmlsignatures/sig1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FI1sgxUhLU1RWG4C2gKnefeYWq16FAKmwQkcxkoJO1s=</DigestValue>
    </Reference>
    <Reference Type="http://www.w3.org/2000/09/xmldsig#Object" URI="#idOfficeObject">
      <DigestMethod Algorithm="http://www.w3.org/2001/04/xmlenc#sha256"/>
      <DigestValue>VtiEpzyQWVZm70DZRjlGuff/PMFeMzQ20WY8vEcOEIM=</DigestValue>
    </Reference>
    <Reference Type="http://uri.etsi.org/01903#SignedProperties" URI="#idSignedProperties">
      <Transforms>
        <Transform Algorithm="http://www.w3.org/TR/2001/REC-xml-c14n-20010315"/>
      </Transforms>
      <DigestMethod Algorithm="http://www.w3.org/2001/04/xmlenc#sha256"/>
      <DigestValue>/Qsd5hQGSIHgxlR8v4l0s67o2FPEgsU/OlSv3x7tBMc=</DigestValue>
    </Reference>
    <Reference Type="http://www.w3.org/2000/09/xmldsig#Object" URI="#idValidSigLnImg">
      <DigestMethod Algorithm="http://www.w3.org/2001/04/xmlenc#sha256"/>
      <DigestValue>Wvo8sa5rgeSZ0RYsH8Dyu5bkH4lknXhjf8ftriONvhw=</DigestValue>
    </Reference>
    <Reference Type="http://www.w3.org/2000/09/xmldsig#Object" URI="#idInvalidSigLnImg">
      <DigestMethod Algorithm="http://www.w3.org/2001/04/xmlenc#sha256"/>
      <DigestValue>A3TY9gmJPkr2cQTsyGN0NkQlg5dU2RKYrGByPS0CSEc=</DigestValue>
    </Reference>
  </SignedInfo>
  <SignatureValue>vnfCofkb6uP0gojqpKMlOQ2640qzBG4MVsv/BvY5q/U/KJYMZ1B++OZaD+JFjrsW5fFT6dwL2A6I
H0H4MsASIfPe1C8p6vfsLX3NXl5927GwMT+6r1Nsnxs3i8F6QIAb/qCLywUeIoc+hZahLY75nrNk
eud/p5+fglRHcqBJ987lio7OOyf+Yr4CZzY+oqdg3CQfMxDRkvvjAeZ7js4YxBqssX7dJkSS9gxg
5zVqrpQHgRX5bXoFwDGw04qbm4Xn9DqxxHRAR5Vn/+eaRwAUKGxvqQVu+99dFPRe411YkwvwMMI7
vKgIJEBBsi6xyLtDQUNFXFd64f4DQCfcMtMb5w==</SignatureValue>
  <KeyInfo>
    <X509Data>
      <X509Certificate>MIIKpjCCCI6gAwIBAgIIWArCh0TnJoIwDQYJKoZIhvcNAQELBQAwgYcxFjAUBgNVBAMMDUNPTkZJUk1BIFMuQS4xFzAVBgNVBAUTDlJVQyA4MDExMzgyMy0wMTgwNgYDVQQLDC9QcmVzdGFkb3IgQ3VhbGlmaWNhZG8gZGUgU2VydmljaW9zIGRlIENvbmZpYW56YTENMAsGA1UECgwESUNQUDELMAkGA1UEBhMCUFkwHhcNMjYwNDIxMTgwMjAwWhcNMjgwNDIwMTgwMjAwWjCBwTELMAkGA1UEBhMCUFkxNTAzBgNVBAoMLENFUlRJRklDQURPIENVQUxJRklDQURPIERFIEZJUk1BIEVMRUNUUk9OSUNBMQswCQYDVQQLDAJGMzEYMBYGA1UEBAwPQ09MTUFOIENBU1RJTExPMRcwFQYDVQQqDA5IVU1CRVJUTyBBUklFTDESMBAGA1UEBRMJQ0kyMzU3MDcxMScwJQYDVQQDDB5IVU1CRVJUTyBBUklFTCBDT0xNQU4gQ0FTVElMTE8wggEiMA0GCSqGSIb3DQEBAQUAA4IBDwAwggEKAoIBAQDJoouSV+NXB8EKsCdl/KAZqOr0ytK4GWXSJUVFS2tiHZziCA4LbnIOVf9DrhKraJXjlzEWmcWzvXM7Rsu/wchCw/MVAkAjNx1y7Kq9OGyXwgOEYp4joHKzeFo6mxPQ9lgZoSNVWw2DfmRQkw7Rtr4JbtN+S+S7BI2MKZMelxRwQaUUMiOgBh/EkEKqld+VTtHDcvGrNYu+B0luNoXIvN4ZCVKVGWIO/p9I1IBxtFL7h2aJSXUKESHuCpBeO+JrlXo0YTS+9Hcmino0owFqeqajfGcBcac/zGuj5a1NI3PAyZVsWwFbOP49rd6zXbHE2Nl+N3ooXQ3nYwJmsrwLVOQhAgMBAAGjggXYMIIF1DAMBgNVHRMBAf8EAjAAMB8GA1UdIwQYMBaAFDj6s5eLGoZm2MDIh5/0YA14tjhKMIG/BggrBgEFBQcBAQSBsjCBrzA9BggrBgEFBQcwAoYxaHR0cHM6Ly93d3cuY29uZmlybWEuY29tLnB5L3JlcG9zaXRvcmlvLWNvbmZpcm1hLzA2BggrBgEFBQcwAYYqaHR0cDovL29jc3AxLnVhbmF0YWNhLmNvbS9wdWJsaWMvcGtpL29jc3AvMDYGCCsGAQUFBzABhipodHRwOi8vb2NzcDIudWFuYXRhY2EuY29tL3B1YmxpYy9wa2kvb2NzcC8waAYDVR0RBGEwX4EQSFVNQ09M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QYFWyion+i/ZXcBrrccaa1MWRhlzAOBgNVHQ8BAf8EBAMCBeAwDQYJKoZIhvcNAQELBQADggIBAKbNtOa1SB03pUbQpImhk+wVOMDOePlcQCQxK5X2GlXT7+023fr/WqpXpbRvzUAebjqXCmdBLxAfDY2Md9XI0Oue9VhbGSI+dSZDnNT0dD5KQ0rPsk9Su40F10U9k6hpNIRNMByCIvXfsNNclzolpDzPR3L3Kjslxkym3vP7Yx6H7gFqa7ND2wnORvi4ODDcdf/avo9CqyWHuKVycINJFmxGnKB/GLqmFbCpPh9GJXs3XRpgM3xOyFyikqIi4sUKcQsJkudZ73ATezphOIplgYmTAP4JHXnyUxW1YZ0t1jHLySfKLvnayUI8JclK5DVrSTBly58bk1/gB1widjczuXsk2T43dTRn0IaLBL0heAmS4olk22fZPW5yEtwWJBpe99GOGFO3xYGGHqjx/fobvKYOzJuxN+IR50TP5p8WEMcuJUXU3cI7nxar1A+4tHf1dLXaJBfBDWJ6Ss9EAz3ziR05IgJj+I9jIg7Jc0Dy6yu6CMbH/iH66pa9ufTpglQoBE//hG6Bdsa1cKTp/9/MVPl37795AbYviMmFw/gmwl5d3qPQE9/sgE7ogq+VKt7a9yDVKkSV5WnWUUvDEfn9Y3mGx2519XWoXlOjaf/3bpcoZqAZvll2usWcWz7gYm6dIB3/iwuJYQUcTszJDXu9itW/WT1e5bc6jjua1fjLOYt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/Ck4NrQeZAHF831xLBB7K7yeBD4HVDqFdSeGjxFIugk=</DigestValue>
      </Reference>
      <Reference URI="/xl/calcChain.xml?ContentType=application/vnd.openxmlformats-officedocument.spreadsheetml.calcChain+xml">
        <DigestMethod Algorithm="http://www.w3.org/2001/04/xmlenc#sha256"/>
        <DigestValue>+NyeNyIHrQv7x/d7NUuWQqqgB6nR5SiUKZdjjhHZnLU=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ucrTLbStQr/H2WHX3yG6MmDb0NXX+PwHVU4uUbcl8jY=</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gJN++dn2wxx/Cd6pFFOPi1CJuYShB1qNyNFMqnAERYg=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ucrTLbStQr/H2WHX3yG6MmDb0NXX+PwHVU4uUbcl8jY=</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7YsyKqJFttyEEYgq8OCabNHbiPUxlADESpJUKW5fCBk=</DigestValue>
      </Reference>
      <Reference URI="/xl/drawings/drawing1.xml?ContentType=application/vnd.openxmlformats-officedocument.drawing+xml">
        <DigestMethod Algorithm="http://www.w3.org/2001/04/xmlenc#sha256"/>
        <DigestValue>ub074ZLH8w4xlalqairs0BhLike/ijp43YfbOrzi420=</DigestValue>
      </Reference>
      <Reference URI="/xl/drawings/drawing2.xml?ContentType=application/vnd.openxmlformats-officedocument.drawing+xml">
        <DigestMethod Algorithm="http://www.w3.org/2001/04/xmlenc#sha256"/>
        <DigestValue>jSEA7QF2epsqpRqyAn5pGlelL7JhshD38KzThNyanj4=</DigestValue>
      </Reference>
      <Reference URI="/xl/drawings/drawing3.xml?ContentType=application/vnd.openxmlformats-officedocument.drawing+xml">
        <DigestMethod Algorithm="http://www.w3.org/2001/04/xmlenc#sha256"/>
        <DigestValue>w1km3rn21G8nhqvfeQQCJPmdK8nSug1i56T6Su0Ay7A=</DigestValue>
      </Reference>
      <Reference URI="/xl/drawings/drawing4.xml?ContentType=application/vnd.openxmlformats-officedocument.drawing+xml">
        <DigestMethod Algorithm="http://www.w3.org/2001/04/xmlenc#sha256"/>
        <DigestValue>Inzha6baeAKE0WuKvq0NbHcSeKHit1HfjuHs2WT/AC8=</DigestValue>
      </Reference>
      <Reference URI="/xl/drawings/drawing5.xml?ContentType=application/vnd.openxmlformats-officedocument.drawing+xml">
        <DigestMethod Algorithm="http://www.w3.org/2001/04/xmlenc#sha256"/>
        <DigestValue>Tpe4YJTEcZHjnkuwCRyvhPu/MIzXAWLSeBBMA18aXRI=</DigestValue>
      </Reference>
      <Reference URI="/xl/drawings/drawing6.xml?ContentType=application/vnd.openxmlformats-officedocument.drawing+xml">
        <DigestMethod Algorithm="http://www.w3.org/2001/04/xmlenc#sha256"/>
        <DigestValue>t0IiKkrStl/PiA8NVpK6Yzzs0p7cTjDqmZEHG31Qyng=</DigestValue>
      </Reference>
      <Reference URI="/xl/drawings/drawing7.xml?ContentType=application/vnd.openxmlformats-officedocument.drawing+xml">
        <DigestMethod Algorithm="http://www.w3.org/2001/04/xmlenc#sha256"/>
        <DigestValue>virplHJot2IoRHIXdPVnprgNPvJSCFYXhwmEbMvdtaE=</DigestValue>
      </Reference>
      <Reference URI="/xl/drawings/drawing8.xml?ContentType=application/vnd.openxmlformats-officedocument.drawing+xml">
        <DigestMethod Algorithm="http://www.w3.org/2001/04/xmlenc#sha256"/>
        <DigestValue>1BVrvUMHBLQW/qes4fhJwFjL6MIO+dw9dzaEu6di9KE=</DigestValue>
      </Reference>
      <Reference URI="/xl/drawings/vmlDrawing1.vml?ContentType=application/vnd.openxmlformats-officedocument.vmlDrawing">
        <DigestMethod Algorithm="http://www.w3.org/2001/04/xmlenc#sha256"/>
        <DigestValue>ExUTJEbNBuk1CckpWwd+8plgcmJe8qoGbB2TUFKe+kA=</DigestValue>
      </Reference>
      <Reference URI="/xl/drawings/vmlDrawing2.vml?ContentType=application/vnd.openxmlformats-officedocument.vmlDrawing">
        <DigestMethod Algorithm="http://www.w3.org/2001/04/xmlenc#sha256"/>
        <DigestValue>h2FOx/Jlq4UYa4Cpos0p40QGXDtAcRKPPYKd8I7NjvY=</DigestValue>
      </Reference>
      <Reference URI="/xl/drawings/vmlDrawing3.vml?ContentType=application/vnd.openxmlformats-officedocument.vmlDrawing">
        <DigestMethod Algorithm="http://www.w3.org/2001/04/xmlenc#sha256"/>
        <DigestValue>AA278wmMGW/Y9QsgFZqd+7Z8mopkpG53UQ93BDbx4WE=</DigestValue>
      </Reference>
      <Reference URI="/xl/drawings/vmlDrawing4.vml?ContentType=application/vnd.openxmlformats-officedocument.vmlDrawing">
        <DigestMethod Algorithm="http://www.w3.org/2001/04/xmlenc#sha256"/>
        <DigestValue>ArJYfFm9RCQzoEjHp9F2NIgGy/rbhUv/OzAFzV+JEV4=</DigestValue>
      </Reference>
      <Reference URI="/xl/drawings/vmlDrawing5.vml?ContentType=application/vnd.openxmlformats-officedocument.vmlDrawing">
        <DigestMethod Algorithm="http://www.w3.org/2001/04/xmlenc#sha256"/>
        <DigestValue>6u8vsyy6r4PKsRHLrr6eKcYZlGcnaa5JNs92G7m0x50=</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77SVdrsY4G7JRFikg775s6ndkn/5KeYu/l1XKd699gw=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XmN+S1Rb9DQwXeJhiPMr1ywuylQu67StAn77KPQ/9M4=</DigestValue>
      </Reference>
      <Reference URI="/xl/externalLinks/externalLink1.xml?ContentType=application/vnd.openxmlformats-officedocument.spreadsheetml.externalLink+xml">
        <DigestMethod Algorithm="http://www.w3.org/2001/04/xmlenc#sha256"/>
        <DigestValue>Asaf0dJqvI2CGiR4mDOs5Bz0dA7uFptOxkq8VP6/Axg=</DigestValue>
      </Reference>
      <Reference URI="/xl/externalLinks/externalLink2.xml?ContentType=application/vnd.openxmlformats-officedocument.spreadsheetml.externalLink+xml">
        <DigestMethod Algorithm="http://www.w3.org/2001/04/xmlenc#sha256"/>
        <DigestValue>MAymwNHVD9MjrQzp8QSFTGHiEzTtpA6htR4Lpqs3neg=</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henAiMKyQumysm/rmsKObYIquv2sss0Xb+LHqi1agew=</DigestValue>
      </Reference>
      <Reference URI="/xl/media/image3.emf?ContentType=image/x-emf">
        <DigestMethod Algorithm="http://www.w3.org/2001/04/xmlenc#sha256"/>
        <DigestValue>YVtsuH8bDXjJV2Dy/6lemD+B/MEJUFMlT3OBultaYYw=</DigestValue>
      </Reference>
      <Reference URI="/xl/media/image4.emf?ContentType=image/x-emf">
        <DigestMethod Algorithm="http://www.w3.org/2001/04/xmlenc#sha256"/>
        <DigestValue>aFnNK946hBo3dFBQ1iTrTWLYet31AXs15w+XcScy08U=</DigestValue>
      </Reference>
      <Reference URI="/xl/media/image5.emf?ContentType=image/x-emf">
        <DigestMethod Algorithm="http://www.w3.org/2001/04/xmlenc#sha256"/>
        <DigestValue>SGUAmXtIKfISNtJWaJhypXvQVrvZhFb92d4E5f7ZI/o=</DigestValue>
      </Reference>
      <Reference URI="/xl/media/image6.emf?ContentType=image/x-emf">
        <DigestMethod Algorithm="http://www.w3.org/2001/04/xmlenc#sha256"/>
        <DigestValue>GRQ8cc4rAjEFr9roH+f7cutoGCMFBXoxc1fwnubaFII=</DigestValue>
      </Reference>
      <Reference URI="/xl/printerSettings/printerSettings1.bin?ContentType=application/vnd.openxmlformats-officedocument.spreadsheetml.printerSettings">
        <DigestMethod Algorithm="http://www.w3.org/2001/04/xmlenc#sha256"/>
        <DigestValue>OGD3iF2+l78gTInlDCWFPycZVuHBpUE02raJ/Wr5XCI=</DigestValue>
      </Reference>
      <Reference URI="/xl/printerSettings/printerSettings10.bin?ContentType=application/vnd.openxmlformats-officedocument.spreadsheetml.printerSettings">
        <DigestMethod Algorithm="http://www.w3.org/2001/04/xmlenc#sha256"/>
        <DigestValue>8ULINyTSns7e3+F/twyhXb2p4OEI5M6paxloUp/0tKM=</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aKO8XWThzgvGlTVSu23kX37OoqtKGS6PBUkmhsicI1Y=</DigestValue>
      </Reference>
      <Reference URI="/xl/printerSettings/printerSettings14.bin?ContentType=application/vnd.openxmlformats-officedocument.spreadsheetml.printerSettings">
        <DigestMethod Algorithm="http://www.w3.org/2001/04/xmlenc#sha256"/>
        <DigestValue>aKO8XWThzgvGlTVSu23kX37OoqtKGS6PBUkmhsicI1Y=</DigestValue>
      </Reference>
      <Reference URI="/xl/printerSettings/printerSettings15.bin?ContentType=application/vnd.openxmlformats-officedocument.spreadsheetml.printerSettings">
        <DigestMethod Algorithm="http://www.w3.org/2001/04/xmlenc#sha256"/>
        <DigestValue>dw1o09s0o0lRppdgih3gsQGBOYtYP6TDvnCBQSPWvnk=</DigestValue>
      </Reference>
      <Reference URI="/xl/printerSettings/printerSettings16.bin?ContentType=application/vnd.openxmlformats-officedocument.spreadsheetml.printerSettings">
        <DigestMethod Algorithm="http://www.w3.org/2001/04/xmlenc#sha256"/>
        <DigestValue>+CD8yXTcV7R0UPktSQ1iysCJtCvCSVF2j80e6m46HpQ=</DigestValue>
      </Reference>
      <Reference URI="/xl/printerSettings/printerSettings17.bin?ContentType=application/vnd.openxmlformats-officedocument.spreadsheetml.printerSettings">
        <DigestMethod Algorithm="http://www.w3.org/2001/04/xmlenc#sha256"/>
        <DigestValue>hqnMLvZ6XBY2fH1KhK00vJXWuxlSZRWkoKrdKDrIF2Q=</DigestValue>
      </Reference>
      <Reference URI="/xl/printerSettings/printerSettings18.bin?ContentType=application/vnd.openxmlformats-officedocument.spreadsheetml.printerSettings">
        <DigestMethod Algorithm="http://www.w3.org/2001/04/xmlenc#sha256"/>
        <DigestValue>TRrCOIAvgyay9+dOHANtMRhI4Mlj24DaFIyKQoKcdPw=</DigestValue>
      </Reference>
      <Reference URI="/xl/printerSettings/printerSettings19.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tK77ymY2j+63o2PazHk01j2EtE8ZSKwdI1Ei+LUjmS0=</DigestValue>
      </Reference>
      <Reference URI="/xl/printerSettings/printerSettings20.bin?ContentType=application/vnd.openxmlformats-officedocument.spreadsheetml.printerSettings">
        <DigestMethod Algorithm="http://www.w3.org/2001/04/xmlenc#sha256"/>
        <DigestValue>TRrCOIAvgyay9+dOHANtMRhI4Mlj24DaFIyKQoKcdPw=</DigestValue>
      </Reference>
      <Reference URI="/xl/printerSettings/printerSettings21.bin?ContentType=application/vnd.openxmlformats-officedocument.spreadsheetml.printerSettings">
        <DigestMethod Algorithm="http://www.w3.org/2001/04/xmlenc#sha256"/>
        <DigestValue>OGD3iF2+l78gTInlDCWFPycZVuHBpUE02raJ/Wr5XCI=</DigestValue>
      </Reference>
      <Reference URI="/xl/printerSettings/printerSettings22.bin?ContentType=application/vnd.openxmlformats-officedocument.spreadsheetml.printerSettings">
        <DigestMethod Algorithm="http://www.w3.org/2001/04/xmlenc#sha256"/>
        <DigestValue>GyyR84UYFfbFvVrs+ip9vPggIMAXC0nxkmeUVNsGxCc=</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ZVxXhJn6XmjT/m1Dw2UhwYZPVXYMSYE+DUFTlsgHV4s=</DigestValue>
      </Reference>
      <Reference URI="/xl/printerSettings/printerSettings25.bin?ContentType=application/vnd.openxmlformats-officedocument.spreadsheetml.printerSettings">
        <DigestMethod Algorithm="http://www.w3.org/2001/04/xmlenc#sha256"/>
        <DigestValue>ZVxXhJn6XmjT/m1Dw2UhwYZPVXYMSYE+DUFTlsgHV4s=</DigestValue>
      </Reference>
      <Reference URI="/xl/printerSettings/printerSettings26.bin?ContentType=application/vnd.openxmlformats-officedocument.spreadsheetml.printerSettings">
        <DigestMethod Algorithm="http://www.w3.org/2001/04/xmlenc#sha256"/>
        <DigestValue>ZVxXhJn6XmjT/m1Dw2UhwYZPVXYMSYE+DUFTlsgHV4s=</DigestValue>
      </Reference>
      <Reference URI="/xl/printerSettings/printerSettings27.bin?ContentType=application/vnd.openxmlformats-officedocument.spreadsheetml.printerSettings">
        <DigestMethod Algorithm="http://www.w3.org/2001/04/xmlenc#sha256"/>
        <DigestValue>ZVxXhJn6XmjT/m1Dw2UhwYZPVXYMSYE+DUFTlsgHV4s=</DigestValue>
      </Reference>
      <Reference URI="/xl/printerSettings/printerSettings28.bin?ContentType=application/vnd.openxmlformats-officedocument.spreadsheetml.printerSettings">
        <DigestMethod Algorithm="http://www.w3.org/2001/04/xmlenc#sha256"/>
        <DigestValue>ZVxXhJn6XmjT/m1Dw2UhwYZPVXYMSYE+DUFTlsgHV4s=</DigestValue>
      </Reference>
      <Reference URI="/xl/printerSettings/printerSettings29.bin?ContentType=application/vnd.openxmlformats-officedocument.spreadsheetml.printerSettings">
        <DigestMethod Algorithm="http://www.w3.org/2001/04/xmlenc#sha256"/>
        <DigestValue>ZVxXhJn6XmjT/m1Dw2UhwYZPVXYMSYE+DUFTlsgHV4s=</DigestValue>
      </Reference>
      <Reference URI="/xl/printerSettings/printerSettings3.bin?ContentType=application/vnd.openxmlformats-officedocument.spreadsheetml.printerSettings">
        <DigestMethod Algorithm="http://www.w3.org/2001/04/xmlenc#sha256"/>
        <DigestValue>etcbSocZ+fnLsUbJz0LkI2IH94+TEQQYef5apUBQ778=</DigestValue>
      </Reference>
      <Reference URI="/xl/printerSettings/printerSettings30.bin?ContentType=application/vnd.openxmlformats-officedocument.spreadsheetml.printerSettings">
        <DigestMethod Algorithm="http://www.w3.org/2001/04/xmlenc#sha256"/>
        <DigestValue>QYEL4KgfVDON32G6gR2kYQY44f245JdSxX29nAOa8qU=</DigestValue>
      </Reference>
      <Reference URI="/xl/printerSettings/printerSettings4.bin?ContentType=application/vnd.openxmlformats-officedocument.spreadsheetml.printerSettings">
        <DigestMethod Algorithm="http://www.w3.org/2001/04/xmlenc#sha256"/>
        <DigestValue>8ULINyTSns7e3+F/twyhXb2p4OEI5M6paxloUp/0tKM=</DigestValue>
      </Reference>
      <Reference URI="/xl/printerSettings/printerSettings5.bin?ContentType=application/vnd.openxmlformats-officedocument.spreadsheetml.printerSettings">
        <DigestMethod Algorithm="http://www.w3.org/2001/04/xmlenc#sha256"/>
        <DigestValue>8ULINyTSns7e3+F/twyhXb2p4OEI5M6paxloUp/0tKM=</DigestValue>
      </Reference>
      <Reference URI="/xl/printerSettings/printerSettings6.bin?ContentType=application/vnd.openxmlformats-officedocument.spreadsheetml.printerSettings">
        <DigestMethod Algorithm="http://www.w3.org/2001/04/xmlenc#sha256"/>
        <DigestValue>8ULINyTSns7e3+F/twyhXb2p4OEI5M6paxloUp/0tKM=</DigestValue>
      </Reference>
      <Reference URI="/xl/printerSettings/printerSettings7.bin?ContentType=application/vnd.openxmlformats-officedocument.spreadsheetml.printerSettings">
        <DigestMethod Algorithm="http://www.w3.org/2001/04/xmlenc#sha256"/>
        <DigestValue>8ULINyTSns7e3+F/twyhXb2p4OEI5M6paxloUp/0tKM=</DigestValue>
      </Reference>
      <Reference URI="/xl/printerSettings/printerSettings8.bin?ContentType=application/vnd.openxmlformats-officedocument.spreadsheetml.printerSettings">
        <DigestMethod Algorithm="http://www.w3.org/2001/04/xmlenc#sha256"/>
        <DigestValue>8ULINyTSns7e3+F/twyhXb2p4OEI5M6paxloUp/0tKM=</DigestValue>
      </Reference>
      <Reference URI="/xl/printerSettings/printerSettings9.bin?ContentType=application/vnd.openxmlformats-officedocument.spreadsheetml.printerSettings">
        <DigestMethod Algorithm="http://www.w3.org/2001/04/xmlenc#sha256"/>
        <DigestValue>8ULINyTSns7e3+F/twyhXb2p4OEI5M6paxloUp/0tKM=</DigestValue>
      </Reference>
      <Reference URI="/xl/sharedStrings.xml?ContentType=application/vnd.openxmlformats-officedocument.spreadsheetml.sharedStrings+xml">
        <DigestMethod Algorithm="http://www.w3.org/2001/04/xmlenc#sha256"/>
        <DigestValue>V/w+UFDuoKCaMO9SSgiqgdegozZgbqeeTZ78vhxZs4Y=</DigestValue>
      </Reference>
      <Reference URI="/xl/styles.xml?ContentType=application/vnd.openxmlformats-officedocument.spreadsheetml.styles+xml">
        <DigestMethod Algorithm="http://www.w3.org/2001/04/xmlenc#sha256"/>
        <DigestValue>z/eeshVk+brcI+H+/v+xG/3T6WFPSRAeaKjEIgLbkPc=</DigestValue>
      </Reference>
      <Reference URI="/xl/tables/table1.xml?ContentType=application/vnd.openxmlformats-officedocument.spreadsheetml.table+xml">
        <DigestMethod Algorithm="http://www.w3.org/2001/04/xmlenc#sha256"/>
        <DigestValue>QTRSFVlS4HnbP6Y2+j++lvSrT1G6wMfxJrt66Q3MxtU=</DigestValue>
      </Reference>
      <Reference URI="/xl/tables/table2.xml?ContentType=application/vnd.openxmlformats-officedocument.spreadsheetml.table+xml">
        <DigestMethod Algorithm="http://www.w3.org/2001/04/xmlenc#sha256"/>
        <DigestValue>IKN1IhsRr9HunQR58XkrS2sj34eYQN7uwQ3Oy8wQ0eI=</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Iod+Xl9RCPODBPIpko8c6sQtIg/QuqibY8/4p+Z/JNc=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jDc0sWYJkR/CBrRak8ingqluwJ7oQsCcOInX+LVxKvE=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pZw3bSadmKfHZZmptVaCzS0QUOVcJ//YwG7scJq0pf8=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Mnq392zy7n/68NDdV/yytQb7iuJvY10PdgkI8Mb+g6k=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ucQ64hiB/nP1Fi8WKz3Th1kdZisK8aGhJEPJfohLxM8=</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Tli28rN8igOjzPasqezpYxpfwxhNMdfjzhfnghEdtVc=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iCVOH+dXPW5Yow03OFzE3KFxd7gLMdb90NF1eBlmABk=</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zgur8m8h3dHGUIjwiYWUwhCf0M5q1vRr8/fpz0BeqjQ=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7K0RfRaSjDP6tX2AJJpMSRjcmHBmC4suCih810VKQKE=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YJfbdRjw9jzDIHxg9lF8IV5su7pXZUZ3BubXlm6sSbI=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N8qijj8WXJ10YGO5eKPxvirB/H7N/Cb0D2n1Mzyaryo=</DigestValue>
      </Reference>
      <Reference URI="/xl/worksheets/sheet1.xml?ContentType=application/vnd.openxmlformats-officedocument.spreadsheetml.worksheet+xml">
        <DigestMethod Algorithm="http://www.w3.org/2001/04/xmlenc#sha256"/>
        <DigestValue>RQrBSlri31PMwZlIl5U8oN6J/gyebqTN0C1tnBaPr1M=</DigestValue>
      </Reference>
      <Reference URI="/xl/worksheets/sheet10.xml?ContentType=application/vnd.openxmlformats-officedocument.spreadsheetml.worksheet+xml">
        <DigestMethod Algorithm="http://www.w3.org/2001/04/xmlenc#sha256"/>
        <DigestValue>VdSSMhq7PPyGTGDw8th3UTvOa3U89Ih1rcKsbGp6WEc=</DigestValue>
      </Reference>
      <Reference URI="/xl/worksheets/sheet11.xml?ContentType=application/vnd.openxmlformats-officedocument.spreadsheetml.worksheet+xml">
        <DigestMethod Algorithm="http://www.w3.org/2001/04/xmlenc#sha256"/>
        <DigestValue>tvzKKq8EPOADTa94CUdCYmoZ4T6lnIZpEmf/8HsdSIo=</DigestValue>
      </Reference>
      <Reference URI="/xl/worksheets/sheet2.xml?ContentType=application/vnd.openxmlformats-officedocument.spreadsheetml.worksheet+xml">
        <DigestMethod Algorithm="http://www.w3.org/2001/04/xmlenc#sha256"/>
        <DigestValue>R7gGbROsq8wtNMf9wb9NhnoX7CbE0LKzExehQybw3Z8=</DigestValue>
      </Reference>
      <Reference URI="/xl/worksheets/sheet3.xml?ContentType=application/vnd.openxmlformats-officedocument.spreadsheetml.worksheet+xml">
        <DigestMethod Algorithm="http://www.w3.org/2001/04/xmlenc#sha256"/>
        <DigestValue>t7XEAo8Uy0vjd/DJ2C4BITc81JYXlBr/JkVguL11LaQ=</DigestValue>
      </Reference>
      <Reference URI="/xl/worksheets/sheet4.xml?ContentType=application/vnd.openxmlformats-officedocument.spreadsheetml.worksheet+xml">
        <DigestMethod Algorithm="http://www.w3.org/2001/04/xmlenc#sha256"/>
        <DigestValue>cEnOJfsnp/NBRY+3I/VQDmCO7RMEqgGuf8UEqrDuCIU=</DigestValue>
      </Reference>
      <Reference URI="/xl/worksheets/sheet5.xml?ContentType=application/vnd.openxmlformats-officedocument.spreadsheetml.worksheet+xml">
        <DigestMethod Algorithm="http://www.w3.org/2001/04/xmlenc#sha256"/>
        <DigestValue>EswEMBCM4zdmW1cMOh7rkhk8swYW2MNO2WQBh8M1rRc=</DigestValue>
      </Reference>
      <Reference URI="/xl/worksheets/sheet6.xml?ContentType=application/vnd.openxmlformats-officedocument.spreadsheetml.worksheet+xml">
        <DigestMethod Algorithm="http://www.w3.org/2001/04/xmlenc#sha256"/>
        <DigestValue>D58Ad9xw9rLp8vtfuoXZKREoJCKBX5r+HJLMNlecAok=</DigestValue>
      </Reference>
      <Reference URI="/xl/worksheets/sheet7.xml?ContentType=application/vnd.openxmlformats-officedocument.spreadsheetml.worksheet+xml">
        <DigestMethod Algorithm="http://www.w3.org/2001/04/xmlenc#sha256"/>
        <DigestValue>gSn74GrP21z2K652QtORivHMqG62kbL+N6pM0KMuNoM=</DigestValue>
      </Reference>
      <Reference URI="/xl/worksheets/sheet8.xml?ContentType=application/vnd.openxmlformats-officedocument.spreadsheetml.worksheet+xml">
        <DigestMethod Algorithm="http://www.w3.org/2001/04/xmlenc#sha256"/>
        <DigestValue>RHD7ig3kB2XIS94P7M7laThHUC2ZEnlItLh4CQ8e2cA=</DigestValue>
      </Reference>
      <Reference URI="/xl/worksheets/sheet9.xml?ContentType=application/vnd.openxmlformats-officedocument.spreadsheetml.worksheet+xml">
        <DigestMethod Algorithm="http://www.w3.org/2001/04/xmlenc#sha256"/>
        <DigestValue>NbdLLWXsZdwhOiIfvFm/hDyLJl0+E1xl/cjBrRt6I8I=</DigestValue>
      </Reference>
    </Manifest>
    <SignatureProperties>
      <SignatureProperty Id="idSignatureTime" Target="#idPackageSignature">
        <mdssi:SignatureTime xmlns:mdssi="http://schemas.openxmlformats.org/package/2006/digital-signature">
          <mdssi:Format>YYYY-MM-DDThh:mm:ssTZD</mdssi:Format>
          <mdssi:Value>2026-08-13T20:36:15Z</mdssi:Value>
        </mdssi:SignatureTime>
      </SignatureProperty>
    </SignatureProperties>
  </Object>
  <Object Id="idOfficeObject">
    <SignatureProperties>
      <SignatureProperty Id="idOfficeV1Details" Target="#idPackageSignature">
        <SignatureInfoV1 xmlns="http://schemas.microsoft.com/office/2006/digsig">
          <SetupID>{730A7FA2-2D1D-4924-9474-DF347E67DC18}</SetupID>
          <SignatureText/>
          <SignatureImage>AQAAAGwAAAAAAAAAAAAAAJQAAABMAAAAAAAAAAAAAABtCgAAZgUAACBFTUYAAAEAtAsBAAwAAAABAAAAAAAAAAAAAAAAAAAAgAcAADgEAABYAQAAwgAAAAAAAAAAAAAAAAAAAMA/BQDQ9QIARgAAACwAAAAgAAAARU1GKwFAAQAcAAAAEAAAAAIQwNsBAAAAeAAAAHgAAABGAAAA2A8AAMwPAABFTUYrIkAEAAwAAAAAAAAAHkAJAAwAAAAAAAAAJEABAAwAAAAAAAAAMEACABAAAAAEAAAAAACAPyFABwAMAAAAAAAAAAhAAAUkDwAAGA8AAAIQwNsBAAAAAAAAAAAAAAAAAAAAAAAAAAEAAAD/2P/gABBKRklGAAEBAQDIAMgAAP/bAEMACgcHCQcGCgkICQsLCgwPGRAPDg4PHhYXEhkkICYlIyAjIigtOTAoKjYrIiMyRDI2Oz1AQEAmMEZLRT5KOT9APf/bAEMBCwsLDw0PHRAQHT0pIyk9PT09PT09PT09PT09PT09PT09PT09PT09PT09PT09PT09PT09PT09PT09PT09PT09Pf/AABEIAI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gOOtGMnrQPelAoAQ8CjBOaQnJoGaADpS4z+FIRmgEKD70ABGKTBNHPU0vtQAhGaQnjGKX+HNJjIoAb1/lQBRindaADbxSYpe1ITkg0AAGDS9DSdqCaABhk0gpevWkxzQAmM0vagDBpwGOpoAaKM8YpQM0dKAGj0pR0pSOM0nXp2oAO4z2pOM4opD1oAQ9aBTqTpz60AFIaM4NFACGinY55oxQBYA55pe2KQUEcDmkA2lyAD1z60negCmAdBQcYpQM9aaTnA4wKADOePSlxgUMOeKU4KA9D6UANI44oA4ozyKgmv7e2nihnlVGmO1AxxuPoKAJ8DFJ1p2MA0lACd+aRgATjpQ3HNH3u/bNAAR0z3o5oz09qU+woATrSDqM0obceOg61FcXUNq0YndU8xgi7j1J6CgCV14Yeo60AkDFLnn2pOozQAdKCaOooPQcUAJnij1AprOEQsTgDmsbRtWn1jUp5IAv9nxjaHI5Zvb/AD0+tNRbTYG1jH1pcClxikpANPWgHIpTzTQKAAdcUuKAOaMnpQAUlLSYHrQBY6Hg0Z4ozSZpAGO9B5NAY4IIpMcc0AGfxFA60nQ0pPegAbj2qtd3kNlC01w6pEvLMxwBVgjdmud8aTImgyJIMrK6Jj6sKpK7sB0EM0dxCksLrJE4yrKcgiub8QHd4m0aPus2f1WtnRYBb6LaIqhcRjIHr3/WsKRmvfiHCi8paxZb2zn/AOtVQ0bEzriM1GRgkCnk0h6E9agZGc9Kytf1VtIslmjQO5kVFUnjk1qk5rlfFHm3us6TYIhKvL5khHYDj+pP4U42vqBuvq1vFqNrZyttmuV3IME9vWr7g1wdzc/b/idBEpJSFQnHrgsf6V3V1IIYXdjgAE1Uo2sBh6Vcz3XijUvnY20CLGF/h3dfz61BrMhuvFOl2ajcA4kbnsDk/wAqt+GIvL0qW6b791K0uT6ZwP8APvVLw6v9qa5faueUQmCH6Dqf8+tX8Mm+wjpzSYOKARuIo3KM5rEYnpQTgfSqd5qtpYIWuZ0T0BPP5d65+88YxXhNppUcst1J8qHbgA+tUotgWdRmm1u/OlWbFIV5uZh/CP7v1/z61v2tpDZWyQW6BI0GAB/P61DpGmJpOnrCDukPzSOerN3q0zgHk4pya2WwhzHA+tISAOTisjU/E9hpwKNJ5s2cCKP5mz/SqCLreuBWcjTbU8nvKw/p+lJRe4zogysTtOfWlAwao6Zo9rpW4weY0kgw8kjli1Xs5JFJ+QAT2pOKOtIeKQCk0bhR2zSYoAsUdaFwaCMdKADjHpSZ4xRmkpABNA5B9aCw9OaQHHrzQAFsDrg1yfjLNzcadYqeZ58n6Af4kV1Zwa5XUf8AS/Hemwg8QL5h/E5/9lq4b3A6wqIoQAMBRiuX8KIbnXNYvm5/eeWp9gcf+yj866DVboWunzynoiE/pWf4PtDbeH4S4+eYmRvqTj+lC0i2Btk5FNIx0NKfl60x3C9akBG6EmuVjvo317UtRdv3NhD5YPv1P9R+FXta8RQ2UbxW6tcXO04jj5I47+lcLJfMvhryF5admmlOeeSFGfoTn64rejSchNljwo8kvjC0nkGGnaRz9SpJ/LIFdt4yumt9BlCk75iIxj3OD+ma5Hw1bGLXtBZgQ00c0p59cgfoorpfFeLi+0qz6+Zchz9FHP8AOrqtOorAP1u7Gh+GVhjIEwhESY7HGCf61f8AD9gNL0O2t9u1tm5/948//W/CuW165F5DJqJYm3jvI4sdQEByT+f6EVPqHjkTy+TpcasOhnlOxB+dQ6baSXzBM6i+1G3sYGlnkVFXqSev09a51tY1TW5DFpFsY4c4NzLwP8/nWbDi8u/tM0Nxq8+ekaFYV/E9f5VuhPEV2oVFtLGPGAPvED2xxS5VECKPw5YaZDJe6tObyUDcxk+6Pw7/AI1m6dq9jp8k+q35jjlcbLeBBzGg+nc/561oz+GS8Ql1DWLlmRg5YYVRj2ORXPTxw6nL/Z/hmzDDkS3b8k+4Y9B79+2auDT0bAvL4+uJp5TFaqIRwNzck47noO3FTxWuveI0DTTmxtG9AQ7D2HX88VpaD4StNIAllxPddS7DIU+w/rW/15rOcoJ+4hmVpfhyw0ra0UW+Yf8ALWTk/h2H4Vq98UCis229wEpDxTj/AJxTCOaQCngcU0k9aXHSkx81ADh09KbTuQOfSmUAWcYNHXrRmigA70e1JnB4ox3zSAMHHNNOMYp3XJ9Ka3WgBDjbXK6b/pXxEu5O1vEFH5f/AGddNK22Mn/Irm/BKm5u9Vvyf9bMVU+2T/QCrjs2Bb8YysbCK1j5e5lWMD1reiWO0gigUgKihR+FcjreoRp4ws0nbENrGZmPvzj9QPzqBV1bxLqKTKjwwRnMeThFPZj/AHj9OKvlvFAb+q+IIbJxBGGnuX+5EgySf6VRfTdd1Vv9KuUsoD1SPl/z/wDr1qaXotro0bOW824fl5pPvH/Cm3viKxsvlaUNJ2RPmY/lUrtFCH2mhWdjZSQQJgyIVeVuWOfeuB8RaSugaTa2Ly+bNPKWZxn7qjAH/j2a63+0dY1Dizsfs8Z/5aXDYP8A3z1rlL+wvb7xra6feXfnkgMxVdoQckgfgK1pNxd2wL811bab4v0gGRTHa2exyDnDbW/rTtaudQ1jVrOXT7O4j+R44pJEIALdW/AUana2nh/xxpUscSx28kbBs8/MMjJJ/wB4V28TrNCki4KuoYY9DzScrWaA5mx8LXiaetrdagUg53R2643k9csev5VqWfh7TbLBS2WRx/HL87fr0/CtM9KSs3OTHYAABhRimTTpbxtI7BVUZJPanMwVGY8ADJrjJXu/F2otHbO0OmR8NLjG71x6n+VEIc2+wnoQ3Ml54z1R7S2cxaZC371x/F7e/wBPz9uy0/T7bTLRbe0jCRj8yfUnvRYWMGm2kdraxhIkGAPX3PvVmicr6LYEB6UDPFFBNQMccUnag80n8qACk780HrQaAEOc0dKUHJwe1JQAMaSjIpcCgCcdaUikzSZzSAUjqfSm5pfakPWgAPB5pD0oPvVa6voLOPfPKkajuzAUwItVm8jTriU/wRs36Vg+D7u30nwrE1xKqtK7MMnHTA/pUHibxTbTaXPbWiyTmRCu9F+UZ9TUFr4Ym1PTrWaeQwW9vGRGCMswPzZI6D9a2jFcvvaCKmlXdnrHiC81TUnWO2QgKjfxjsPfpkiupOsX16u3TLB9nQSy/IuPUDqazfA2m28mnvfyR+ZM8rbXcZIHH68muu20ptJ2QGENDvL/AAdVvnZf+eUHyr+fetCz0my04AW1uiH+9jJ/PrV7jFIfWocmxjc4FcfpMRuviJqNweRbpgH3IAx/OuukOEY+grmfBKmYalftndPcbPwUf/Xpx0i2BZ8X6DNrdtbG0K/aLeXcu44BBHPP5H8K3YIhBbxRDGEQKMewxUmCRxSHipbbVgCk9qWkpAIVycGmxxJEoSNFRB0CjAFPyaO1ACYzS9KUYA96Q0AJS96SloAMc8UZo6UhGDQAh5NBNB60EUAAOKDx3paYQaAF980fiKTqfrT8f7NAEuKOgpQc0h4pAJ1xVe8vYbGFpbiRUQdyasdKzm0hJr2Wa6czxNjZE44SqSXUDK/tjUNYOzSbYpF3uJhgfgP8/SrFt4VhZhNqc0l5MOcscKPoP8/St1FVECqAqqMADoBQTjpT5rbAYfiDQ2vtLS1sBFDiRSRjaMd+lXNXkFl4fuTGceVbtj8Fq8eKzvEEUk/h+/iiRnd4HCqo5JIPShNuyAr+DIfK8K2fqwYn/vo1u5OCO2c1j+E45I/DNmkyMjANwwwcbjjj6Vr4ol8TAB05pD6ClI/Ok7VIDCAylTyD1qtpWmQaTYi1ttxQMWyxySTVoDtSii+lgD6cUnv3px6cU2gBc96TGeTS4o6UAITSe4p1JyKADtxS9evWmg80vY0ABwR1oHAz2oxkUnagB3akODQDgHBpMcZoAKQnpzmlB496aRxQA5iCOBTTSjpxSE5IoABwaN9FGF9KAJ+1HbmlJyB0pO1ACH1o60cjg0dKAEoFGCaToaAA9OlAFPHcUmcGgApeO1NyM0c9jxQAvbrSUNxgUEk896AG5PenHGAMYIpMg0AECgA60Ypevem9hg0ALnikzk0dD1o6jrQAo5FJgfWgEg+1JnOaAA89KXqpFGKSgAHSg8DmijH40ACnPWlbhsCk+tDc4/KgA4PXqKbnBNLwTil2nbu/A0AJ1/CkbGTikzzSlcke9ACUbvelPWj5fagD/9kAAAhAAQgkAAAAGAAAAAIQwNsBAAAAAwAAAAAAAAAAAAAAAAAAABtAAABAAAAANAAAAAEAAAACAAAAAAAAgAAAAIAAAHlDAAAAQwMAAAAAAACzAAAAs/3/FEMAAACzAAAAs/7/mUIhAAAACAAAAGIAAAAMAAAAAQAAABUAAAAMAAAABAAAABUAAAAMAAAABAAAAFEAAAB4+gAAAAAAAAAAAACUAAAATAAAAAAAAAAAAAAAAAAAAAAAAAD5AAAAgAAAAFAAAAAoAAAAeAAAAAD6AAAAAAAAIADMAJUAAABNAAAAKAAAAPkAAACAAAAAAQAQAAAAAAAAAAAAAAAAAAAAAAAAAAAAAAAAADlnWmtaa3tvWmtaa1pre29aa1prWmt7b1pre29aa3tve297b1pre29aa1prWmtaa1pre29aa3tvWmtaa1prWmtaa1prWmt7b1pre29aa3tvWmtaa1prWms5Z1prWmtaa1prWmtaa1prWmt7b1pre29aa1prWmtaa1prWmtaa1prWmtaazlnWms5Z1prWmtaazlnWmtaa3tvWmtaa1prWmtaa3tvWmtaazlnWms5Z1prWmtaa1prWmtaa1prWmtaazlnWms5Z1prOWdaa1prWmtaa1prWmt7b1prWmtaa1prOWdaa1prWmtaa1prWmtaazlnWmtaa1prOWdaazlnWmtaa1prOWdaazlnWms5Z1prOWdaazlnWms5Z1prOWdaazlnWmtaa1prWmtaazlnWms5ZzlnOWdaazlnWms5Z1prWmtaa1prWmtaa1prWmtaazlnWms5Z1prOWdaazlnWms5Z1prOWdaazlnWms5Z1prOWdaazlnWms5Z1prWmtaazlnWmtaa1prOWdaazlnWmtaa1prOWdaazlnOWc5Z1prOWc5ZzlnOWc5ZzlnOWdaa1prOWc5Z3tve297bzlnWms5ZzlnOWc5ZzlnOWc5ZzlnOWdaa1prWms5ZzlnOWd7bzlnWms5ZzlnOWc5ZzlnWmsYYwAAe29aa3tve297b1pre297b3tvWmt7b3tve29aa3tvWmt7b3tve29aa1prWmt7b1pre29aa3tvWmt7b1pre29aa1prWmt7b1pre29aa3tvWmt7b1prWmtaa1prWmtaa1pre29aa3tvWmt7b1pre297b3tvWmt7b1prWmtaa3tvWmtaa1prWmtaa1prWmtaa1prWmtaa3tvWmt7b1pre29aa3tve297b1prWms5Z1prWmtaa1pre29aa3tvWmt7b1prWms5Z1prWmtaa1prWmtaa1prWmt7b1pre29aa3tvWmtaa1pre29aa3tvWmt7b1prWmtaa3tvWmtaa1prWmtaa1prWmtaa1prWmtaa1prWmtaazlnWmtaa1prWmtaa1prWmtaa1prWmtaa1prWmtaa1prOWdaazlnWmtaa1prOWdaa1prWmtaa1prWmtaa1prWmtaa1prWmtaa1prWmtaa1prWmtaa1prWmtaa1prWmtaa1prWmtaa1prWmtaa1prWmtaa1prWmtaazlnWmtaa1prOWdaa1prWms5Z1prWmtaazlnWms5ZzlnOWdaa1prWms5Z1pre297b1prWms5Z1prOWc5ZzlnOWc5Z1prOWdaa1pre29aa1prOWdaa1prWms5Z1prOWdaazlnWms5Z1prAABaa3tve297b1pre29aa3tvWmt7b1pre29aa3tvWmtaa1pre29aa1prWmtaa1prWmtaa3tvWmtaa1prWmtaa1prWmtaa1prWmtaa1prWmtaa1prWmtaa1prWmtaa1prWmtaa3tvWmtaa1pre29aa3tvWmt7b1prWmtaa1prWmtaa1prWmtaa1prWmtaa1prWmtaa3tvWmtaa1prWmtaa1prWmt7b1prWms5Z1prOWdaazlnWmtaa1prWmtaazlnWmtaa1prOWdaa1prWmtaa1prWmtaa1prWmtaa1prWmtaa1prWmtaa1prWmt7b1pre29aa1prWmtaa1prWms5Z1prWmtaa1prWmtaa1prWmtaazlnWmtaa1prWmtaa1prWmtaa1prOWdaazlnWms5Z1prOWdaazlnWms5Z1prOWdaa1prWms5Z1prWmtaazlnWms5Z1prOWdaazlnWms5Z1prOWdaazlnWms5Z1prOWdaa1prWmtaa1prOWdaazlnWms5Z1prOWdaazlnWms5Z1prWmtaazlnWms5ZzlnOWdaazlnWms5ZzlnOWdaazlnWms5Z1prWmt7b1prWms5Z1prOWc5ZzlnOWc5ZzlnOWc5ZzlnWms5Z1prOWc5ZzlnWms5Z1prOWc5ZzlnOWc5ZzlnOWcAAHtvWmt7b3tve29aa3tvWmt7b1pre29aa3tvWmt7b1prWmtaa1prWmt7b1pre29aa3tvWmt7b1pre29aa3tvWmtaa1prWmtaa1prWmtaa1pre29aa1prWmtaa1prWmtaa3tvWmtaa1pre297b3tvWmt7b1pre29aa3tvWmt7b1pre29aa3tvWmt7b1pre29aa3tvWmtaa1prWmtaa1prWmt7b1pre29aa1prWmtaa1prWmtaa1prWmt7b1prWms5Z3tvWmtaa1pre29aa3tvWmtaa1prWmtaa1prWmtaa1pre29aa3tvWmt7b1pre29aa1prWmt7b1prWmtaa1prWmt7b1prWmtaa1prWmtaa1prWmtaa1prWmt7b1prWmtaa1prWmtaazlnWms5Z1prWmtaa1prWms5Z1prWmtaazlnWmtaa1prWmtaa1prWmtaa1prWmtaa1prWmtaa1prWmtaa1prWmtaa1prWmtaa1prWmtaa1prWmtaa1prWms5Z1prOWdaazlnWmtaa1prWmtaa1prWmtaa1prOWdaazlnWmtaa1prOWdaa1prWmtaazlnOWdaa1prWms5Z1prOWdaazlnOWc5Z1prOWdaazlnWmtaa1prOWdaazlnWmtaa1prOWdaazlnWms5Z1prOWdaawAAWmt7b3tve29aa1prWmt7b1prWmtaa3tvWmt7b1pre285Z1prWmtaa1prWmtaa3tvWmtaa1prWmtaa1prWmt7b1prWmtaa1prOWdaa1prWmtaa1prWmtaazlnWmtaa1prWmtaa1pre29aa3tvWmt7b1prWmtaa1prWmtaa1pre29aa1prWmtaa1prWmtaa3tvWmtaa1prWms5Z1prOWdaa1prWmtaa3tvWmtaa1prWmtaa1prWmtaa1prWms5Z1prWmtaa1prWmtaa1prWmtaazlnWms5Z1prWmtaa1prWmtaa1prWmtaa1prWmtaa1prOWdaa1prWms5Z1prOWdaazlnWms5Z1prOWdaa1prWms5Z1prOWdaazlnWms5Z1prOWdaazlnOWc5Z1prWmtaa1prWms5Z1prOWdaazlnWms5Z1prWmtaazlnWmtaa1prOWdaazlnWms5Z1prOWdaazlnWms5Z1prOWdaazlnWms5Z1prOWdaazlnWmtaa1prOWdaazlnWms5Z1prWmtaazlnWmtaa1prOWc5ZzlnWms5Z1prOWdaazlnWms5Z1prGGNaa1prWms5ZzlnOWdaazlnOWc5ZzlnOWc5ZzlnWms5Z1prOWdaazlnOWc5Z1prOWdaazlnOWc5ZzlnOWdaazlnAAB7b3tvnHN7b3tvWmt7b3tve29aa3tve297b1pre29aa1prWmt7b1pre29aa3tvWmt7b1pre29aa3tvWmt7b1prWmtaa3tvWmtaa1prWmtaa1prWmtaa1prWmtaa3tvWmt7b1pre29aa3tve297b1pre29aa3tvWmt7b1pre297b3tvWmt7b1pre29aa3tvWmtaa1prWmtaa1prWmtaa1prWmtaa3tvWmtaa1prWmtaa3tvWmt7b1prWmtaa1prWmt7b1pre29aa1prWmtaa1prWms5Z1prWmtaa1prWmtaa1prWmtaa1prWmtaa1prWmtaa1prWmtaa1prOWdaa1prWms5Z1prOWdaazlnWmtaa1prWmtaa1prWms5Z1prOWdaa1prWmtaa1prWmt7b1prWmtaa1prWmtaa1prWms5Z1prWmtaa1prWmtaa1prWmtaa1prWmtaa1prWmtaa1prWmtaa1prWmtaa1prWmtaa1prOWdaazlnWmtaa1prWmtaazlnWmtaa1prWmtaa1prWmtaa3tvWmtaazlnWms5Z1prWmtaa1prWms5Z1prOWc5Z1prWms5ZzlnOWdaazlnWms5Z1prOWc5ZzlnWms5Z1prOWdaazlnOWc5ZzlnOWdaazlnWms5Z1prOWdaazlnWmsAAHtve297b3tve297b1pre29aa3tvWmt7b1pre29aa1prWmtaa1pre29aa3tvWmtaa1prWmtaa1prWmt7b1pre29aa1prWmtaa1prWmtaa1prWmtaazlnWmtaa1prWmtaa1prWmtaa3tve297b1prWmtaa3tvWmtaa1pre29aa3tvWmtaa1prWmtaa1prWmtaa1prWmtaa1prWmtaa1prWmtaa1prWmt7b1prWms5Z1pre297b1prWmtaa1prWmtaa1prWmtaa1prWmtaazlnWms5Z1prOWdaa1prWmtaa1prWmtaa1prWmtaa1prWmtaazlnWmtaa1prWmtaazlnWms5Z1prOWdaazlnWmtaa1prWmtaa1prWmtaa1prOWdaazlnWms5Z1prWmtaa1prWmtaa1prOWdaa1prWms5Z1prOWdaazlnWms5Z1prOWdaazlnWms5Z1prOWdaazlnWms5Z1prOWdaazlnWms5Z1prOWdaazlnWms5Z1prOWdaazlnWms5Z1prOWdaazlnWms5Z3tvWmtaazlnWms5ZzlnOWdaazlnWms5Z1prOWc5ZzlnWms5ZzlnOWdaazlnOWc5Z1prOWc5ZzlnOWc5Z1prOWdaazlnOWc5ZzlnGGM5ZzlnWms5ZzlnOWc5ZzlnOWc5ZwAAe297b3tve297b1pre29aa3tvWmt7b1pre29aa3tvWmt7b1pre297b3tve297b1pre29aa3tvWmt7b1pre29aa3tvWmt7b1pre29aa1prWmtaa1prWmtaa1prWmt7b1pre29aa3tvWmt7b3tve29aa3tvWmt7b1pre29aa3tve297b1prWmtaa1prWmtaa1prWmtaa3tve297b3tve29aa1prWmt7b1pre29aa1prWmucc3tve29aa1prWmt7b1pre29aa1prWmtaa1prWmtaa1prWmtaa1pre29aa3tvWmt7b1pre29aa3tvWmtaa1prWmtaa1prWmtaa1prWmtaa1prWmtaa1prWmtaa3tvWmt7b1prWmtaa3tvWmtaazlnWmtaa1prWmt7b1pre29aa3tvWmtaa1prWmtaa1prOWdaa1prWmtaa1prWmtaa1prWmtaa1prWmtaa1prWmtaa1prWmtaa1prWmtaa1prWmtaa1prWms5Z1prOWdaazlnWmtaa1prWmtaazlnWms5Z1prWmt7bzlnWms5Z1prOWdaazlnWms5Z1prOWc5ZzlnWmtaa1prOWdaa1prWms5Z1prOWdaazlnWms5Z1prOWdaazlnOWc5ZzlnOWc5ZzlnWms5Z1prOWdaazlnWms5ZzlnAABaa1prWmt7b1pre29aa3tvWmt7b1pre29aa1prWmtaa1prWmtaa3tvWmtaa1prWmtaa1prWmtaa1prWmtaa3tvWmtaa1prWmtaa1prWmtaa1prWmtaa1prWmtaa1prWmtaa1prWmt7b1prWmtaa1prWmtaa1prWmtaa1prWmtaa1prWmtaa3tvWmtaa1pre29aa1prWmtaa1prWmtaa3tvWmtaa1prWmtaa1prWmtaa1prWmtaa1prWmtaa1prWmtaa1prWmtaazlnWms5Z1pre297b1prWms5Z1prWmtaazlnWmtaa1prWmtaa1prWmtaa1prWmtaa1prWmtaa1prOWdaa1prWmtaa1prOWdaazlnWms5Z1prOWdaa1prWms5Z1prWmtaa1prWmtaa1prOWdaazlnWms5Z1prWmtaazlnWms5Z1prOWdaa1prWms5Z1prOWdaa1prWmtaa1prOWdaazlnWms5Z1prOWdaa1prWmtaa1prOWc5ZzlnOWc5ZzlnOWdaazlnWms5Z1prWmtaazlnWms5Z1prOWdaa1prWms5ZzlnOWdaazlnWms5ZzlnOWc5ZzlnOWc5ZzlnOWc5ZzlnOWc5Z1prOWdaazlnOWc5ZzlnOWc5ZzlnOWc5ZzlnOWc5ZzlnOWc5ZzlnGGMAAHtvWmt7b3tve29aa3tvWmt7b1pre297b3tvWmt7b1pre29aa3tvWmt7b1pre29aa1prWmt7b1pre29aa3tvWmtaa1pre29aa1prWmt7b1prWmtaa3tvWmtaa1pre29aa1prWmt7b1prWmtaa1prWmtaa1prWmtaa1prWmt7b1pre29aa3tvWmt7b1pre29aa3tvWmt7b1pre29aa3tvWmt7b1pre29aa3tvWmt7b1prWmtaa3tvWmtaa1pre29aa1prWmtaa1prWmtaa1prWmt7b1prWmtaa1prWmt7b1prWmtaa1prWmtaa1pre29aa1prWmt7b1prWmtaa3tvWmtaa1prWmtaa1prWmtaa1prWms5Z1prOWdaa1prWmtaa1prOWdaa1pre29aa3tvWmtaa1prWmtaa1prWmtaa1prWms5Z1prWmtaa1prWmtaa1prOWdaa1prWmtaa1prWmtaazlnWmtaa1prWmtaa1prWmtaa1prWmtaazlnWms5ZzlnOWdaazlnWmtaa1prWmt7b1prWms5Z1prOWdaa1prWms5Z1prOWdaa1prWms5Z1prOWdaazlnWms5Z1prOWdaazlnWms5Z1prWmtaazlnWms5Z1prOWdaazlnWms5Z1prOWdaazlnWms5Z1prOWc5ZwAAWmt7b1pre29aa3tvWmtaa1pre29aa3tvWmt7b1pre29aa3tvWmt7b1prWmtaa1prWmtaa1prWmtaa3tvWmtaa1prWmtaa1prWmtaa1prWmtaa1prWmtaa1prWmtaa1prWmtaa1prWmtaa1prOWdaa1prWmtaa1prWmtaa1prWmtaa3tvWmtaa1pre29aa1prWmt7b1pre29aa3tvWmt7b1pre29aa3tvWmt7b1prWmtaa1prWmtaa1prWmtaa1prOWdaazlnWms5Z1prOWdaazlnWmtaa1prWmtaa1prWmtaa1prOWdaa1prWmtaa1prWmtaa1prWmtaa1prWmtaazlnWmtaa1prWmtaazlnWms5Z1prOWdaazlnWms5Z1prOWdaazlnWmtaa1prWmtaa1prWmtaa1prWmtaazlnWms5Z1prOWdaazlnWms5Z1prOWdaazlnWmtaa1prWmtaazlnWms5Z1prWmtaazlnWms5Z1prOWdaazlnWms5ZzlnOWc5ZzlnWms5Z1prWmtaa1pre29aa1prOWdaazlnWms5Z1prOWdaa1prWms5Z1prOWdaazlnOWc5Z1prOWc5ZzlnWms5ZzlnOWdaazlnWmtaa1prOWc5ZzlnWms5ZzlnOWc5ZzlnOWc5ZzlnOWc5ZzlnAAB7b1pre29aa3tvWmt7b1pre29aa3tvWmt7b3tve29aa3tvWmt7b1pre29aa1prWmt7b1pre29aa3tvWmt7b1pre29aa1prWmt7b1prWmtaa1prWmtaa1pre29aa3tvWmtaa1prWmtaa1prWmtaazlnWmtaa1prWmtaa1prWmtaa3tvWmt7b1pre29aa3tvWmt7b3tve297b3tvWmt7b1pre29aa3tvWmt7b1pre29aa3tvWmtaa1pre29aa1prWmtaazlnWms5Z1prWmtaa1prWmtaa3tvWmt7b1prWmtaa1prWmtaa1prWmtaa1prWmtaa1prWmtaa1prWmtaa1prWmtaa1prWmt7b1prWmtaa1prWmtaazlnWmtaa1prWmtaa1prWmtaa3tvWmtaa1pre29aa1prWmtaa1prWmtaa1prWmtaa1prWms5Z1prOWdaa1prWmtaa3tvWmtaazlnWms5Z1prWmtaa1prWmtaa1prWmtaa1prWmtaa1prOWdaazlnWms5Z1prWmtaa1pre29aa1prOWdaazlnWms5Z1prOWdaa1pre29aa1prWmtaazlnOWc5Z1prOWdaazlnWms5Z1prOWdaa1prWms5Z3tvWmtaazlnWms5Z1prOWdaazlnWms5Z1prOWdaazlnWmsAAFprWmtaa3tvWmt7b1pre29aa1prWmt7b1pre29aa3tvWmt7b1prWmtaa1prWmtaa1prWmtaa3tvWmtaa1prWmtaa1prWmtaa1prWmtaa1prWmtaa1prWmtaa1prWmtaa1prWmtaa1prWmtaa1prWms5Z1prWmtaa1prWmtaa1prWmtaa1pre29aa1prWmt7b1pre29aa3tvWmt7b1pre29aa1prWmt7b1prWmtaa1prWmtaa1prWmtaa1prWmtaazlnWms5Z1prOWdaa1prWmtaa3tve297b1prWmtaa1prWmtaa1prWmtaa1prWmtaa1prWmtaa1prWmtaa1prWms5Z1prWmtaa1prWmtaa1prWmtaa1prWms5Z1prWmtaazlnWmtaa1prWmtaa1prWms5Z1prWmtaa1prWmtaa1prWmtaa1prWms5Z1prOWc5ZzlnWms5Z1prWmtaazlnWms5Z1prOWdaazlnWms5Z1prOWdaazlnWms5Z1prOWdaazlnOWc5Z1prOWdaa1prWmtaa1prWmtaazlnWms5Z1prOWdaa1prWmtaa1prWmtaazlnOWc5ZzlnOWdaazlnWms5Z1prOWdaazlnOWc5Z1prWmtaazlnWms5ZzlnOWc5ZzlnOWc5ZzlnOWc5ZzlnOWc5ZwAAe29aa3tve297b1pre29aa3tvWmt7b3tve29aa3tvWmt7b1pre29aa1prWmt7b1pre29aa3tvWmt7b1pre29aa1prWmt7b1prWmtaa3tvWmtaa1pre29aa1prWmt7b1pre29aa3tvWmt7b1prWmtaa1prWmtaa1prWmtaa1prWmt7b1pre29aa3tvWmt7b1pre29aa3tvWmt7b1pre29aa1prWmt7b1pre29aa3tvWmtaa1pre29aa1prWmt7b1prWmtaa1prWmtaa1prWmtaa1pre2+cc3tve29aa1prWmtaa1pre29aa1prWmtaa1prWmtaa1prWmtaa1prWmtaa1prWmt7b1pre29aa1prWmtaa1prWmtaa1prWmtaa1prWmtaa1prWmtaa1prWmtaa1prOWdaa1prWmtaa3tvWmtaa1prWmtaa1prOWdaazlnWmtaa1prWmt7b1prWms5Z1prOWdaa1prWmtaa1prWmtaazlnWmtaa1prWmtaa1prWms5Z1prWmtaa1prWmtaa3tvWmtaa1prWms5Z1prWmtaa1prWmtaa1prOWdaa1prWms5Z1prOWdaa1prWms5Z1prOWdaa1prWms5Z1prWmtaa1prWms5Z1prOWdaazlnWms5Z1prOWdaazlnWms5Z1prAABaa3tvWmt7b1pre29aa1prWmt7b1pre29aa3tvWmtaa1pre29aa1prWmtaa1prWmtaa3tvWmtaa1prWmtaa1prWmtaa1prWmtaa1prWmtaa1prWmtaa1prWmtaa1prWmtaa1prWmtaa1prWms5Z1prOWdaazlnWmtaa1prWmtaa1pre29aa1prWmt7b1prWmtaa3tvWmtaa1pre29aa3tvWmtaa1prWmtaa3tvWmtaa1prWmtaa1prWmtaa1prWmtaa1prWmtaa1prWmtaa1prOWdaa1pre29aa1prOWdaa1prWmtaa1prWmtaazlnWmtaa1prOWdaa1prWms5Z1prWmtaa1prWmtaa1prWmtaa1prWmtaa1prWmtaazlnWmtaa1prWmtaa1prWms5Z1prOWdaazlnWms5Z1prOWdaa1prWms5Z1prOWdaazlnWms5Z1prOWdaa1prWms5ZzlnOWdaazlnWmtaa1prOWdaazlnWms5Z1prOWdaazlnWms5Z1prOWdaa1prWms5Z1prWmtaazlnWms5Z1prOWdaazlnWmtaa1prOWc5ZzlnWms5Z1prOWc5ZzlnWms5Z1prOWdaazlnWms5ZzlnOWdaa1prWms5ZzlnOWdaazlnOWc5ZzlnOWc5ZzlnOWc5ZzlnOWcAAHtvWmt7b1pre29aa3tvWmt7b3tve29aa3tvWmt7b1pre29ba3tvWmtba1pre29aa3tvWmt7b1pre29aa1prWmt7b1prWmtaa3tvWmtaa1prWmtaa1prWmt7b1pre29aa1prWmtaa1prW2taa1prOWdaa1prWmtaa1trWmtba1trfG9ba3tvWmt7b1prem9aa1prWmtba1pre29ba3tvWmt7b1pre29aa3tvWmt7b1pre29aa1prWmt7b1prWmtaa3tvWmt7b1pre29aa1prWmtZa1lrem9aa1prOWdaa1pre29aa1prWmtaa1prWmtaa1prWmtaa1prWmtaa1prWmtaa1pre29aa3tvWmtaa1pre29aa1prWmtaa1prWmtaa1prWmtaa1pre29aa1prWmtaa1prWms5Z1prOWdaazlnWmtaa1prWmtaa1prWms5Z1prWmtaa1pre29aa1prOWdaazlnWmtaa1prWmtaa1prWmtaa1prWmtaa1prWms5Z1prWmtaa1prWmtaa1prWmtaa1prWmtaa1prWmtaa1prWmtaa1prOWc5ZzlnOWc5Z1prOWc5ZzlnWmtaa1prOWdaa1prWmtaa1prOWdaazlnWms5ZzlnOWdaazlnWms5Z1prOWdaazlnWms5Z1prOWdaawAAWWtaa1prem9aa3pvWmt7b1pre29aa3pvWmtaa1prWmtba1tvW2t7b1prW2taa1trWmt7b1prWmt6b3tvOWdaazlnWmtaa1prWmt7b1prOWdZa1prWmtaa1lrWmtZa1prWmtaa1prW2s6Z1prOWdaazlnem97b1prO2s7Z11v2V40StlenXNba1prWWd6b3pvWmt7b1tre29ba1tvWmt7b1pre29aa1prWmtaa1pre29aa1prWmtaa1prWmtaa1prWWtaazlnWms5Z1prWWt6b1lnWWtZa1prWWtaa1prWmtaa1prWmtaa1prWmtaa1prOWdaa1prWms5Z1prWmtaa1prWmtaa1prWmtaa1prWmtaa1prWmtaa1prWmtaa1prWmtaa1prWmtaa1prWmtaa1prWmtaa1prWmtaa1prWms5Z1prOWdaazlnWms5Z1prOWdaazlnWmtaa1prWmtaazlnWmtaa1prWmtaa1prWms5Z1prOWdaazlnWms5Z1prOWc5ZzlnWms5Z1prOWdaazlnWmtaa1prWmtaazlnWms5Z1prOWdaazlnWms5Z1prOWdaazlnWms5Z1prOWc5ZzlnOWc5Z1prOWdaazlnWms5ZzlnOWc5ZzlnOWc5Z1prOWc5ZzlnWms5ZzlnOWdaazlnAABaa1prem9aa3tvWmt7b3tve296b3tvWmt6b1prem9aa3tvW2t7b1trW29ba3tvWms5Z1pre29aa3tvWmtaa3pve29aa3tvWmtaa1pre29aa3pvWmt6b1prWmtZa1prWWt6a1prW2taa1trOmdbazlnWms5Z1prOWd8bxtn2l5vMS0lsTVca3xvnHN6b3pvWWt7b1trfG9ba3tvW2t7b1pre29aa3tvWmt7b1pre29aa1prWmt7b1pre29aa3tvWmtaa1lrWmtZa1prWWt6b1prWmtZa1prWWtaa1prem9aa1prWmt7b1pre29aa1prWmtaa1prWmtaa1prWmtaa1prWmtaa3tvWmtaa1pre29aa1prWmt7b1prWmtaa1prWmtaa1prWmtaa1prWmtaa1prWmtaa1prWmtaa1prWmtaa1prOWdaazlnWms5Z1prWmtaa1prWmtaa1prWmtaazlnWmtaa1prWmtaa1pre29aa1prOWdaa1prWmtaa1prWmtaazlnWmtaa1prWmtaazlnWms5Z1prWmtaa1prWms5Z1prOWdaazlnWms5Z1prWmtaazlnWmtaa1prOWdaazlnOWc5Z1prWmtaa1prWmtaazlnOWdaazlnOWc5Z1prWmtaazlnWms5Z1prOWdaazlnWmsAAFprWmtaa3pvWmt7b1pre29aa3tvWmt6b1prem9aa1prWmtbb1prW2taa1trWmtbazpne29ba1trW2tbazlne29aa1prWmt7b1prWmtaa3tvWmt6b1prWmtZa1prOWdZa1lrWmtaa1prOmdbazpnWmtZa1lrOWc5Z1xvO2t2UqkU6yAtKRpjXGtaa3tvWWt6b1pre29ba1trW2tbb1prWmtaa3tvWmt7b1pre29aa1prWmtaa1prWmtaa1prWmtaa1lrWms5Z1prWWtaa1lrWmtZa1prWWdaa1lrWmtZa1prWmtaa1prWmtaa1prOWdaa1prWms5Z1prWmtaazlnWmtaa1prWmtaa1prWmtaa1prWmtaa1prWmtaa1prOWdaa1prWmtaa1prWmtaa1prWmtaa1prOWdaazlnWms5Z1prOWdaazlnWms5Z1prOWdaa1prWms5Z1prWmtaazlnWms5Z1prOWdaa1prWmtaa1prOWdaazlnWms5Z1prOWdaa1prWms5Z1prWmtaazlnWms5Z1prOWdaa1prWms5Z1prOWdaazlnWmtaa1prOWdaazlnWms5Z1prOWdaazlnOWc5Z1prOWdaazlnWms5Z1prOWdaazlnOWc5ZzlnOWdaazlnWms5ZzlnOWdaazlnOWc5ZwAAe29aa3tvWmt7b3pve296b3tvem97b1pre29aa3pvWmt7b1tre29ba3tvW2tbb1trnHNbaxlj+F5ba1tvW2taa1trOmdba3tvnHNaa3tve297b1prem9aa1prWWtaa1lremtZa1prWmtba1prWms5Z1prWWt7bzlnW2s7Z7hayhhvMS0pXGtbazlnem96b5tze29ba3tvW2t7b1tre29aa3tvWmt7b1pre29aa1prWmtaa1pre29aa3tvWmtaa1prWmtZa1prWWtaa1lrWmtZa1prWWtaa1lrWmtaa1prWmt7b1pre29aa3tvWmtaazlnWmtaa1prWmtaa1prWmtaa1prWmtaa1prWmtaa1prWmtaa1prWmtaa1prWmtaa1prWmtaa1prWmtaa1prWmtaa1prWmtaazlnWmtaa1prOWdaa1prWms5Z1prWmtaa1prWmtaa1prWmt7b1prWms5Z1prWmtaa1prWmtaa1prWmtaa1prWmtaa1prWmtaazlne29aa1prWmt7b1prWms5Z1prWmtaa1prWmtaa1prOWdaazlnWmtaa3tvWmtaazlnWms5Z1prOWdaazlnWms5Z1prOWdaazlnWms5Z1prOWdaazlnWms5Z1prOWdaazlnWms5Z1prOWdaazlnWms5Z1prAABaa3pvWmt7b1pre29aa3tvWmt6b1prem9aa1prWmt6b1prW2taa1trWmtba1trW298b/heEUIRRrdaW2tca1xvW2tbazpre29bb3tvWmtaa1pre29aa1prWWtaa1lrWWtZa1lrWWtaazpnWms6Z1prOGc4Z1prOWcZYztn2FrqHC0lDCU8a51zWmt7b1lnem9aa1trW2tba1prW2taa1prWmtaa1pre29aa1prWmtaa1prWmtaa1prWmtaa1prWms5Z1lrOWdaazlnWmtZa1prOWdaa1lrWmtZa1prWWtaa1prWmtaa3tvWmtaazlnWms5Z1prWmtaazlnWmtaa1prWmtaa1prWmtaa1prWmtaa1prWmtaa1prWmtaa1prWmtaa1prWmtaa1prWmtaa1prOWdaazlnWms5Z1prOWdaazlnWms5Z1prOWdaa1prWms5Z1prOWdaa1prWmtaa1prOWdaa1prWms5Z1prOWdaazlnWms5Z1prOWdaazlnWms5Z1prOWdaa1prWms5Z1prOWdaazlnWms5Z1prOWdaazlnOWc5Z1prWmtaazlnWms5ZzlnOWdaazlnOWc5ZzlnOWdaazlnWms5Z1prOWdaazlnWms5Z1prOWc5ZzlnWms5ZzlnOWdaazlnOWc5Z1prOWcAAHtvWmt7b3pve296b3tvem97b1pre29aa3tvWmt7b1pre29aa3tvWmt7b1tre29ba1trlVKvOY4xdE4aY1xvfG99b3xvfG9aa1trW2t8b1pre29aa3tvWmt6b1lrem9Za1lrWWtaa1prW2taa1trWmt6bzhnWms5Z1trW2vYXocUDCVNKVxrfXN7b3pvWmtaa3pvWmt7b1trW29ba3tvWmt7b1pre29aa3tvWmtaa1prWmtaa3tvWmt7b1pre29aa1prWWdaa1prWmtZa1prWWtaa1lrWmtaa1prWmt6b1pre29aa3tvWmt7b1prWmtaa1prWmtaa1prWmtaa1prWmtaa1prWmtaa1prWmtaa1prWmtaa1prWmtaa1pre29aa1prWmtaa1prWmtaa1prWmtaazlnWmtaa1prWmtaa1prWmtaa1prWmtaa1prWmtaa1prWmtaa1prWmtaa1prOWdaa1prWmtaa1prWmtaazlnWms5Z1prWmtaa1prWmtaa1prOWdaa1prWmtaa1prWmtaazlnWmtaa1prOWdaa1prWms5Z1prWmtaa1prWmtaa1prOWdaazlnWms5Z1prOWdaazlnWmtaa1prOWdaazlnWmtaa1prOWc5ZzlnWms5Z1prOWdaazlnWms5Z1prOWdaawAAWmt7b1pre29aa3tvWmt7b1prem9aa3pvWmt6b1prem9aa1prWmtaa1prW29ba1tvOmf4XjNKEkJUSpZSllK4WvheW2t8b1trOmdbb1tvW2taa1prWmtaa1lrem9Za3prWGtZa1lnWms6a1trOmdaa3tvOGdZa3pvWmtba7dahxQsJdI5O2dca1prWWtZa3pvWmtba1prW2taa1trWmtaa1pre29aa1prWmtaa1prWmtaa1prWmtaa1prWmtaa1prOWdZazlnWmtaa1prOWdaa1prWms5Z1prWWtaa1lrWmtaa1prWmtaa1prWmtaa1prWmtaazlnWmtaa1prOWdaa1prWms5Z1prWmtaazlnWmtaa1prOWdaa1prWmtaa1prWmtaa1prWmtaa1prWmtaazlnWms5Z1prWmtaa1prWms5Z1prOWdaazlnWmtaa1prWmtaazlnWmtaa1prOWdaazlnWms5Z1prOWdaazlnOWc5Z1prOWdaazlnWms5Z1prOWdaazlnWmtaa3tvWmtaazlnWms5Z1prOWdaazlnWms5Z1prOWdaa1prWmtaa1prOWdaazlnOWc5ZzlnOWc5ZzlnOWc5Z1prOWdaazlnWms5Z1prOWdaazlnOWc5Z1prOWdaazlnOWc5Z1prOWc5ZzlnAAB7b3tve296b3tvem97b3pve29aa3pvWmt7b1pre29aa3pvWmt7b1pre29ba3tvW2tba1trO2e3WnVS8kGwObA5VEr5Yp1zXG9ba3xvfG86a1trWmtba1pre29aa3tvemtZa1lrWmtaa1trWmtba1prem8XY3pvem9aaxlj2F7IGOsg8j08a1xrnHNZa3pvWWd6b1prW2tba1tvW2tba1pre29aa1prWmtaa1prWmtaa1prWmt7b1pre29aa1prWmtZa1lnWmtZa1prWmtaazpnW2taa1prWmtaa1premtZa1prWmtaa1pre29aa1prWmtaa1prWmtaa1prWmtaa1prWmtaa1prWmtaa1prWmtaa1prWmtaa1prWmtaa1prWmtaa1prWmtaa1prWmtaa1prWmtaa1prWmt7b1pre29aa1prWmtaazlnWmtaa1prWmtaa1prWmtaa3tvWmtaazlnWmtaa1prWmtaa1prWms5Z1prWmtaa1prWmtaa1prOWdaa1prWmtaa3tve297b1prWmtaa1prOWdaazlnWms5Z1prWmtaazlnWmtaa1prWmtaazlnWms5Z1prOWc5ZzlnOWc5Z1prOWdaa1prWmtaa1prWmtaazlnWms5Z1prOWdaazlnWms5Z1prOWdaazlnOWcAAFprem9aa3tvWmt6b1pre29aa3pvWmt7b1prWmtaa1prWWdaa1prem9aa1trW2t8bzprW2s7Zztn2FpUTo81KyVtLdA5VE4ZYztrW2s6a1trOmtba1tve29aa1prWmtaa1lreWtZa1prWmtbazpnOms5Z1prOGd6bxhjOWfXWskcDCWxOVxrfG9aa3pvemt6a1pre29ba1tvW2t7b1trWmtaa1prWmt7b1prWmtaa1prWmtaa1prWms5Z1prWmt6bzlnWWc5Z1prOmdba1prW2s5Z1trOmdaa1prWmtZZ5tzWWtaa1prWmtaa1prWmtaazlnWmtaa1prOWdaa1prWms5Z1prWmtaa1prWms5Z1prOWdaa1prWmtaa1prWmtaazlnWms5Z1prOWdaazlnWms5ZzlnOWdaa1prWms5Z1prOWdaazlnWmtaa1prWmtaa1prWmtaa1prOWdaa1prWms5ZzlnOWdaazlnWms5Z1prOWdaa1pre29aa1prOWc5ZzlnWmtaa1prWmtaa1prWms5Z1prOWdaazlnWms5Z1prOWdaazlnWms5Z1prOWdaaxhjOWc5ZzlnOWc5ZzlnWms5ZzlnOWdaazlnWms5Z1prOWdaazlnWms5ZzlnOWc5ZzlnWms5ZzlnOWc5ZzlnWmsYYwAAe29aa3tvem97b1pre296b3tvWmt7b3pve29aa3pvWmtaa1pre29aa3tvWmt7b1tvfG9ca3xvXGs7a9hedVISQislTC2uNc85dE4ZY3xvOmc6Z3tvfG86Z1trnXedczlnem96a1prWmt8bztnOmd8b1prWmtZa3pvOWc6Z/he6RwsJZA1fW98b3tvWmt6b1pre29aa3tvW2t7b1tve29aa1prWmt7b1pre29aa3tvWmt7b1pre29aa1prWmt7b1prWmtZa1prWmtaa1prW2tba1trW2tba1pre29aa1prWWtaa1prWmtaa1prWmt7b1prWmtaa1prWmtaa1prWmtaa1prWmtaa1prWmtaa1prWmtaa1prWmtaa3tvWmtaa1prWmtaa1prWmtaazlnWmtaa1prOWdaa1prWmtaa1prWmtaa1prWmtaa1prWmtaa1prWmtaa1prWmtaa1pre29aa1prWmtaa1prWmtaa1prWmtaazlnWmtaa3tvWmtaazlnWmtaa1prWmtaa1prWmtaa1prWmtaa1prWmtaa1prWmtaa1prWmtaa1prWmtaa1prWms5Z1prWmtaazlnWms5Z1prOWdaa1prWms5Z1prOWdaazlnWms5Z1prOWdaazlnWms5Z1prOWdaazlnWms5ZzlnAABaa3pvWmt6b1prem9aa3pvWmt6b1prem9aa3pvWmtaa1lremtaa3prWmtaa1pre29ba1trOmtba1trW2v5YvheU0quNSolTC2NMdA9VE4aY31vOmcZY3xvfG86ZzpnfG84Z3pvOWdba3xv+V6VUhpjOmt8bzlne285Z1pr+F4KIesgkDVca3xvWmt6b1lremtaa1trOmtba1trW29aa1prWmtaa1prWmtaa3tvWmtaa1pre29aa1prWmtaa1prWmtZa1prWWtaazpnWms6Z1trW2tbazpnOmtaa3pvWWtZazlnWms5Z1prWmtaa1prWms5Z1prWmtaa1prWms5Z1prOWdaa1prWmtaa1prOWdaazlnWms5Z1prWmtaa1prWmtaa1prOWdaazlnWms5Z1prOWdaazlnWms5Z1prOWdaa1prWmtaa1prWmtaazlnWms5Z1prOWdaa1prWmtaa1prWmtaa1prWmtaa1prWmtaazlnWms5Z1prWmtaazlnWmtaa1prWmtaa1prWmtaa1prWmtaazlnWmtaa1prOWdaazlnWms5Z1prOWdaazlnWmtaa1prWmtaazlnOWc5ZzlnOWdaazlnWms5Z1prOWc5ZzlnWms5ZzlnOWc5ZzlnOWc5Z1prOWc5ZzlnWms5Z1prOWcAAHtvWmt7b1pre29aa3tvWmt7b1pre29aa3tvWmt6b1prem9aa3pvWmt6b1pre29ba3tvWms6azpnW2taa1prOmcZYxljtlaNNSspbTHQOa81dE4aY31vOmc7Z31vnXM6Z3tvnHN7b1trO2sSQkwp0Dlba3xve297b1trWmv4Xisl6yBvMVxrfG97b1lremtaa3tvWmtba1tre29ba3tvWmtaa1prWmtaa3tve297b1pre29aa3tvWmtaa1prWmtZa1prWWt6a1prW2s6Z1xrW2t8b1trW2taa1prWmt7b1lrWmtaa1prWmtaa1prWmtaa1prWmtaa1pre29aa1prOWdaa1prWmtaa1prWmtaa1prWmtaa1prWmtaa1prWmtaa1prWmtaa1prWmtaa1prOWdaa1prWmtaa1prWmtaazlnWmtaa1prWmtaa1prWms5Z1prWmtaa1pre29aa1prWmt7b1pre29aa3tvWmtaa1prWmtaa1prWmtaa1prWmtaa1prWmtaa1pre29aa1prWmt7b1prWmtaa1prWmtaa1prWmtaa1prWmtaa1prWmtaa1prWmtaa1prWms5Z1prOWd7b1prWmtaa1prOWdaazlnWms5Z1prOWdaazlnWms5Z1prOWdaazlnWms5Z1prOWdaawAAWmt6b1prem9aa3pvWmt6b1prWmtaa3tvWmt6b1prem9Za3prWmt6b1lrWmtaa3tvWmtaazlnWmtaa1prWmtaazpnGGP4YjlnlVKuNSspjTFtLY41M0Y7Z31vO2c7Z753OWd7bzpnO2f5XrA1yRhtLflenHNaa3tvWmtaa/hebTHKHE4tGmN8b1prWmtZa3pvWmtaazpnW29ba1trWmt7bzlnWmtaa3tvWmt7b1pre29aa3tvWmtaa1prWmtaa1prOGdZa1lrWms6Z1trO2tca/he+WJba5xzWmtZa1prWWtaa1prWmtaazlnWms5Z1prOWdaa1prWmtaa1prOWdaa1prWmtaa1prWmtaa1prWms5Z1prOWdaazlnWmtaa1prWmtaa1prWms5Z1prOWdaa1prWms5Z1prOWdaazlnWmtaa1prWmtaazlnWms5Z1prOWdaa1prWmtaa1prWmtaa1prWmtaa1prWmtaazlnWms5Z1prOWdaazlnWmtaa1prOWdaa1prWmtaa1prWmtaa1prWmtaa1prWmtaa1prWms5Z1prOWdaazlnWms5Z1prOWdaazlnWms5ZzlnOWdaa1pre29aa1prWmtaazlnWms5Z1prOWdaazlnOWc5ZzlnOWc5ZzlnOWc5ZzlnOWdaazlnAAB6b1pre29aa3pvWmt7b1prem9aa3tvem97b1pre29aa3pvWmt7b3prWmtaa3pvWmt7b1prem9aa3pvWmt6b1prGGNaa3xvGWcZY/helVLQOUspbS2ONY81M0bZWjxn+V5aa1trW2s7a/pi0TksJW4x11p8b3xvW29bazpnGmOwOescLSkaY1tre29aa3pvWmt7b1prW2t8b3xzW2tba3tvWmtaa3tvWmt7b1pre29aa3tvWmt7b1pre29aa1prWWtZazlnWmtaa1tvW2tbaztn0DnQPddafHN7b1lrem9Za3pvWmt7b1prWmtaa1prWmtaa1prWmtaa1prWmtaa1pre29aa1prWmtaa1pre29aa1prWmtaa1prWms5Z1prWmtaa1prWmtaa1prWmtaa1prWmtaa1prWmtaazlnWmtaa1prWmtaa1prWmtaa1prWmtaa1prWmtaa1prWmtaa1prWmtaa1prWmtaazlnWms5Z1prOWdaa1prWmtaa3tvWmtaa1prWmtaa1prWmtaa1pre29aa3tvWmtaa1prWmtaa1prWmtaa1prWmtaa1prWms5ZzlnWms5Z1prOWdaa1pre29aa3tvWmtaa1prWms5Z1prOWdaazlnWms5Z1prOWdaazlnWms5Z1prOWdaa1prWmsAAFprem9aa1prWmt6b1prWmtaa1prWmt6b1pre29aa3pvWmt6b1prem9Za1prWWt6a1lrWmtZa1prWWt6b1lrWWt7bzpnGGNba1trOmf4XhljdVLxPW0tbjFuMY8x0T11ThljOmc7Z1xr2V7SPQshCyVVTlxrW2t7b1trW2s6ZxNGyhwtJdhaOmdaa3pvWWtaa3pvWmtaa3xzfG97b1pre29aa1prWmtaa1pre29aa1prWmtaa1prWmtaa1prWmtaa1lrWWs4Z1prW2tcaxpj+WLqIAohEkZba3tvWWtaa1prWWtaa1prWmtaa1prWmtaa1prWms5Z1prOWdaa1prWmtaa1prWmtaa1prWmtaa1prWmtaazlnWms5Z1prOWdaa1prWmtaa1prWmtaazlnWms5Z1prOWdaazlnWms5Z1prOWdaazlnWmtaa1prOWdaa1prWmtaa1prWmtaazlnWmtaa1prWmtaazlnWms5ZzlnOWdaazlnWmtaa1prWmtaa1prWmtaa1prWmtaa1prWmtaa1prWmtaazlnWms5Z1prOWdaazlnWms5Z1prOWdaazlnWms5Z1prOWdaazlnWmtaa1prWmtaa1prWms5ZzlnOWdaazlnOWc5ZzlnOWc5ZzlnOWc5ZzlnOWdaazlnWms5ZwAAe29aa3pvWmt7b1prem9aa3pvWmt6b1pre296b3tvWmt7b1pre29aa3pvWWt6a1lre296b3pvWmt6b1prem9Za1lrWmt7b1prOms6ZzpnGWMZY/het1YSQo4xKyVtLY41rjXwPZZS+mL6XhRGkDFNLVRKO2tcb1trfG9ba1tvVE7rIAwl2FoaY3tvem96b1lre29aa3tvnHOdd3tvW2tba3tvWmt7b1pre29aa3tvWmtaa1pre29aa3tvWmtba1prem9Za1lrWmt8b1trGmfYWk0tCiESRltrfG85Z3prWWtaa1prWmtaa3tvWmt7b1pre29aa1prOWdaa1prW2taa3tvWmtaa1prWmtaa3tvWmt7b1prWms5Z1prOWdaazlne29aa1prWmtaa1prWmtaa1prWmtaazlnWmtaa1prWmtaa1prWmtaa1prWmtaa1pre29aa1prWmtaa1prWmtaa3tvWmtaa1prWmtaa1prOWdaazlnWmtaa1prWmtaa1prWmtaa1prWmt7b1prWmtaa1prWmtaa1prWms5Z1prOWdaa1prWmtaa1prWmtaa1pre29aa3tvWmtaazlnWms5Z1prWmtaazlnWms5Z1prOWdaazlnWms5Z1prOWdaazlnWms5ZzlnOWdaazlnWmtaa1prAABaa3pvWmt6b1prem9aa3pvWWtaa1prWmtaa1prWmt6b1prem9aa1prWmtaa1prem9aa3pvWmt6a1lrWmtZa3prWmt7b1prWmtaa1prWmtaazlnOmcYY/helFIRQowxKyULJU0pTimQNdM90j1OLS0lsDU7ZxpjfG98b1lremuUUuogLSkTQn1zW2t7b1lrm29Za3prWmt6b1pre2tba3tvWmtaa1prWmtaa1prWmtaa1prWmtba3tvWmtbazprWmtZa1lrOWdaazprW2saZ/pebzHrIG4tXW86a1lreWtZazlnWmtaa3tvW2t7b3tve29aa1trWmtbazpnWms6Z1prWmtaa1prWmtaa1prWmtaazlnWmtaa1prOWdaa1prWms5Z1prWmtaazlnWmtaa1prOWdaa1prWmtaa1prOWdaa1prWms5Z1prOWdaa1prWmtaa1prWmtaazlnWms5Z1prOWdaazlnWms5Z1prOWdaazlnWmtaa1prOWdaa1prWmtaa1prWmtaazlnWms5Z1prWmtaa1prWms5Z1prOWdaazlnWms5Z1prOWc5ZzlnWms5Z1prOWdaazlnWms5Z1prOWdaazlnWms5Z1prOWdaazlnWms5Z1prOWdaazlnWmsYYzlnOWc5ZxhjOWc5Z1prWmsAAHtvWmt7b1pre29aa3tvWmtaa1prem9aa3pvWmt7b1pre29aa3tvWmt6b1pre296b3tvWmt7b1prWmtaa3pvWmt7b1pre29aa1prWmtaa1prWmtaa3tvWmtaa/de1lqVUjNGE0KxOS0pDCHKHOsc7CBOKXZO2Fpca51zOGNaa7ZWyRwtKTNGXGs6Z3tvWms4Z3pvWWt6b1pre29aa3tvW2tba1pre29aa3tvWmt7b1prW2tba3tvW2t7b1prW2taa1prWWtaazlnW2tbaztn+V6QMcocTi08Z1xrOWd5a1hrWmtaa3tvW2t7b1tre29aa3tvWmtbb1trW2taa1trOmtba1prWmtaa1prWmtaa1prWmtaa1prWmtaa1prWmtaa1prWmtaa1prWmtaa1prWmtaa1prWmtaa1prWmtaa1prWmtaa1prWmtaa1prWmtaa1prWmtaa1prWmtaa1prWmtaa1prWmtaa1prWmtaa1prWmtaa1prWmtaa1prWmtaa1prWmtaa1prWmtaa1prWmt7b1prWmtaa1prOWdaa1prWmtaa1prOWdaazlnWms5Z1prWmtaa1prWms5Z1prOWdaa1prWmtaa1prWmtaa1prWms5Z1prOWdaazlnWms5ZzlnOWdaazlnOWc5Z1prWmtaawAAWmt6b1prem9aa3pvWmt6b1prWmtaa1prWmt6b1prem9aa3pvWmtaa1prem9aa3pvWmt6b1prWmtaa1prWmtaa1prWmtaa1prWmtaa1prWms5ZzlnOWc5ZzlnOWcYYxhj+F75XpZS8j1uLQwlyhjJGOsc0Tk0RhtnXWsaYzpnGWPrIE4p0TldaxljnXM6Z1prWWt6a1lremtaa3trW2tba1pre29aa3tvWmt7b1prWmtaa1trWmtba1prW2taa1prWmtaazlnWmtaa1trGmf6XpA16yAMJfpeW2s5ZzhnWWtZa1trWmtaa1prWmtaa1prWmtaa1prWmtaa1trOmdaa1prWmtaa1prWmtaa1prWmtaa1prOWdaa1prWms5Z1prOWdaazlnWms5Z1prOWdaazlnWms5Z1prWmtaazlnWms5Z1prWmtaa1prWmtaa1prWmtaazlnWmtaa1prOWdaazlnWms5Z1prOWdaazlnWmtaa1prOWdaa1prWms5Z1prWmtaazlnWmtaa1prOWdaa1prWms5Z1prOWdaazlnWms5Z1prOWdaazlnWms5Z1prOWdaazlnWms5Z1prOWdaazlnWms5Z1prOWdaazlnWms5Z1prOWc5ZzlnOWc5ZzlnOWc5ZzlnOWc5ZzlnOWdaazlnAAB7b3pve29aa3tvem97b1pre29aa3pvWmt7b1pre29aa3tvWmt7b1pre29aa3tvWmt7b1prem9aa3pvWmt6b1pre29aa1prWmt7b1pre29aa3tvWmtaazlnWms5ZzlnGGNaazlnOmf4XthaVUqQNakUVkqxNS0pkTWYUhtjPGe4VpA1LSmQNV1vXGt8bzpne296b1premtaa3tvWmt7a1tre29aa3tvWmt7b1pre29aa3tvWmt7b1pre29aa1trWmtaa1prWms5Z1trW2s7Z/pi8j0MJQwll1Z9bzpnWWtZa3pvWmtaa1pre29aa1prWmt7b1prWmtaa1trWmtaa1prWmtaa1prWmtaa1prWmtaa1prWmtaa1prWmtaa1prWmtaa1prWms5Z1prWmtaazlnWmtaa1prWmtaa1prWmtaa1prWmt7b1pre29aa1prWmtaa1prWmtaa1prWmtaa1prWmtaa1prWmtaa1prWmtaa1prWmtaa1prWmtaa1prWmtaa1prWmtaa1prWmtaa1prWmtaa1prOWdaazlnWms5Z1prWmtaazlnWms5Z1prOWdaa1prWms5Z1prOWdaazlnWmtaa1prWmtaa1prWmtaa1prOWc5ZzlnOWc5ZzlnOWdaazlnWms5Z1prOWdaazlnWmsAAFprem9aa3tvWmt6b1pre29aa3pvWmt6b1prem9aa3pvWmt6b1prem9aa3pvWmt6b1prem9aa1prWWtaa1prWmtaa1prWmtaa1prWmtaa1prWmtaa1prWmtaa1prWmtaa1hnN2c4YzlnGWP5XhNC6yBvLdM9V0rUPQ0lcC3TPTZKkTENIU4pPGc8Z31vGWNba1prWmtaa1prWmtaa1prW2taa3tvWmt7b1pre29aa3tvWmtaa1prWmtaa1prWmtaazlnWmtZa1prOmdbazpnG2MTQk4p6hw0RlxrWmtZZ3pvWWtaa1prWmtaa1prOWdaa1prWmtaa1prWmtaa1prWmtaa1prWmtaa1prWmtaa1prOWdaa1prWms5Z1prWmtaazlnWms5Z1prOWdaazlnWms5Z1prWmtaa1prWms5Z1prOWdaa1pre29aa3tvWmtaa1prWmtaa1prOWdaazlnWms5Z1prOWdaazlnWms5Z1prOWdaa1prWms5Z1prWmtaazlnWmtaa1prOWdaa1prWms5Z1prOWdaazlnWms5Z1prOWdaazlnWms5ZzlnOWdaazlnWms5Z1prOWc5ZzlnWms5Z1prOWdaazlnWms5Z1prOWc5ZzlnOWc5ZzlnOWc5ZzlnOWc5ZzlnOWc5ZzlnOWc5ZwAAe296b3tvem97b3pve296b3tvWmt7b3pve29aa3tvWmt6b1pre296b3tvWmt7b1pre29aa3tvWmtaa1prem9aa3tvWmt7b1prWmtaa3tvWms5ZzlnWmtaa1prOWdaa1lnWGs3Z3lvWWsZY/heVUoMIQ0lkjW6VvVBDyVQLVAtDiUOJcscTy13UvpifW+dc1trW2taa1trWmtba1prW2taa3tvWmt7b1pre29aa3tvWmt7b1prem9aa1prWmt6b1prWmtaa1prWWtaa1prW2saY1VOjzHqHI81O2s6a1prWWt6a1prem9aa1prWmtaa1prWmtaa1prWmtaa1lremtaa1prWmtaa1prWmtaa1prWmtaa1prWmtaa1prWmtaa1prWmtaa1prWmtaa1prWmtaa1prWmtaa1prWmtaa1prWmtaa1prWmtaa3tvWmt7b1prWmtaa1prWmtaa1prWmtaa1prWmtaa1prWmtaa1prWmtaa1prWmtaa1prWmtaa1prWmtaa1prWmtaa1prWmtaa1prOWdaazlnWms5Z1prWmtaa1prWms5Z1prOWdaazlnWms5Z1prOWdaazlnWms5Z1prWmtaa1prWmtaa1prWmtaazlnWms5ZzlnOWc5ZzlnWms5ZzlnOWdaazlnWms5Z1prAABaa3tvWmt7b1pre29aa3tvWmt7b1prem9aa3pvWmtaa1prem9aa3pvWmt6b1prWmtaa3pvWmtaa1prWmtaa1prWmt7b1prWmtaa1prWmtaa1pre29aa3tvWmtaazlnWmtYZ1hrmm+bbxljGmNVSgwhDSWzOdxe9UGKFA4lLymzOS8pzBwNJbE1NUbYWlxrW2s6Z1trOmdaa1pnW2s6Z1prWmtba1prW2taa1prWmtaa1prem9Za1prWWtaa1lrWms5Z1prWWtZazlnW2s6Zxtnl1LSPckYLCkZY1trWmtZa1lrWmtaa1prWmtaa1prWmtaa1prWWtaa1lrWmtZa1prWWtaa1prWmtaa1prWmtaa1prWms5Z1prWmtaazlnWmtaa1prWmtaa1prWmtaa1prOWdaazlnWmtaa1prOWdaazlnWms5Z1prWmtaa1prWmtaa1prOWdaa1prWms5Z1prOWdaazlnWms5Z1prOWdaa1prWms5Z1prWmtaazlnWms5Z1prOWdaa1prWmtaa1prOWdaazlnOWc5Z1prOWdaazlnWms5Z1prOWdaazlnWms5Z1prOWc5ZzlnWms5ZzlnOWdaazlnWms5Z1prOWdaazlnOWc5ZzlnOWc5ZzlnOWc5Z1prOWc5ZzlnWms5ZzlnOWcAAHtvem97b3pve296b3tvem97b3pve29aa3tvWmt7b1prem9aa3tvem97b3pvem9aa3tvWmt6b1prem9aa3pvWmt7b1pre29aa3tvWmtaa1prWmtaa1prWmtaa1pre296b5pvOGd5a1lrOmc7Z5dSCyENJZExHmdXTi4lLykOJS4pFkYOJQ0lDCWQMY8xl1L5XlxrW2tba1prW2taa1trWmtba1trW2taa3tvWmtba1pre29aa1prWWtaa1lremtaa1prWmtaa1lnWmtaa1trGmfZWhNC6iAKIRpjW297b1lremtaa3pvWmt7b1prW2taa1trWmtaa1lremtZa1lrWWtaa1prWmtaa1prWmtaa1prWmtaa1prWmtaa1prWmtaa3tvWmtaa1pre29aa1prWmtaa1prWmtaa1prWmtaa1prWmtaa1prOWdaa1prWmtaa1prWmtaa1prWmtaa1prWmtaa1prWmtaa1prWmtaa1prWmtaa1prWmtaa1prWmtaa1prWmtaa1prWmtaa1prWmtaazlnWms5Z1prOWdaa1prWmtaa1prOWdaazlnWms5Z1prOWdaazlnWms5Z1prOWdaa1prWmtaa1prWmtaa1prWms5Z1prOWdaazlnOWc5Z1prOWc5ZzlnWms5ZzlnOWdaawAAWmt6b1prem9aa3pvWmt7b3pve296b3tvWmt7b1pre296b3pvWmt7b3tve29aa1prWWtaa1prWmtZa1prWmtaa3tve29aa1prWmtaa1prWmtaa1prWmtaa1prWmtaa1prOWd6azlnWmcaYztnuFZNKQwhTim6Wvte8z2xOZAxby3LHMsc7CCxNRRCTSmOMUwt0DmWUhljOmcZY1tre2t8bxljWmt7b3xvW2taa1pre29aa1prWmtaazlnWWtZa1prOWdaa1lrWms5Z1prOmc7axtn8kHKHAsldU5bazlne28YY5xzGGN7b1trGGN8bzprOms5Z1prem84Z1lrWWt6a1lrWmtaa1prWmtaa1prWmtaa1prOWdaazlnWmtaa1prWmtaa1prWms5Z1prWmtaazlnWmtaa1prWmtaazlnOWc5Z1prOWdaazlnWmtaa1prWmtaa1prWms5Z1prOWdaazlnWms5Z1prOWdaazlnWmtaa1prOWdaazlnWmtaa1prOWdaa1prWms5Z1prWmt7bzlnWms5Z1prOWdaazlnWms5Z1prOWdaazlnWms5Z1prOWdaazlnWms5ZzlnOWc5ZzlnOWc5Z1prOWc5ZzlnWms5Z1prOWdaazlnOWc5ZzlnOWc5ZzlnWms5ZzlnOWc5ZzlnAAB7b1pre29aa3tvWmt7b3tve297b3tve297b3pve296b3tvem97b3pvm3N7b3tvWmtaa1prem9aa1prWmt6b1pre297b3tvWmtaa1prWmtaa1prWmt7b1pre29aa1prWmtaa1trW2s7ZztnO2fZWk4tDCVNKdpePGu3VpZSllJUSuscDSXrHOscuFb6XlVK8T2OMW0trjUyRvheOWc6ZxljnnNbazpnGWNba1trfG9ba1trWmt7b1prWms5ZzlnOGdaa1lrWmtZa1prOWdbaztnO2c0Rgsh6hwzRltrW29aa3tve28YY1prWms6a1trfG97b1prnHN6b1lrWWt5b1lrWmtaa1prWmtaa1prWmtaa1prWmtaa1prWmtaa1prWmt7b1prWmtaa1prWmtaa1prWms5Z1prOWc5Zzlne297b1prOWdaa1prWmtaa1prWmtaa1prWmtaa1prWmtaa1prWmtaa1prWmtaa1prWmtaa1prWmtaa1prWmtaa1prWmtaa1prWmtaa1prWmt7b1prWmtaa1prWmtaa1prWmtaa1prOWdaazlnWms5Z1prWmtaazlnWms5Z1prOWdaazlnWms5Z1prOWdaazlnWms5Z1prWmtaa1prWms5Z1prOWdaazlnWmtaa1prOWdaazlnWmsAAFprem9aa3pvWmt7b1pre296b3tvem97b3pve29aa3tve297b1prem97b3tvWmtaa1prWmtaa1prWmtaa1prWmtaa3tvWmtaa1prWmtaa1prWmtaa1prWmtaa1prWmtaazpnW2s6ZztrG2M8Z9lajzHrIE0tt1Z9bxljGWP4Xtdabi3rHMoYDCG4Vn5v2VoaY5ZS8T1MKWwtjTGuNRFCtlbYXhpjO2dcb1trW2s6Zzpne297bzpnOWcZYzlnWmucczlnWmtZZ1lrWWtaazpnO2saY5dS6hzJGI81XGtbazpne29bazlnW286Z/he8UF0Tjpne29ba1prWWt5a1lrWWtZa1prWmtaa1prWmtaa1prWmtaazlnWms5Z1prOWdaa1prWms5Z1prOWdaa1prWmtaa1prWmtaazlnOWc5Z3tvOWdaazlnWms5Z1prOWdaa1prWms5Z1prWmtaazlnWms5Z1prOWdaazlnWms5Z1prWmtaazlnWms5Z1prOWdaa1prWms5Z1prOWdaazlnWms5Z1prOWdaazlnWms5Z1prOWdaazlnOWc5Z1prOWdaazlnWms5Z1prOWdaazlnOWc5Z1prOWdaazlnWms5Z1prWmtaazlnWms5Z1prOWdaazlnWms5Z1prOWdaazlnOWc5ZwAAe29aa3tvWmt7b3pve296b3tve297b3pve296b3tvWmt7b3pve29aa3tve297b1prem9aa3pvWmt6b1prem9aa3tvWmt7b1pre29aa3tvWmt7b1pre29aa3tvWmtaa1prW2tbaztnO2c7Zztn+l7ROeogTCl1TnxvW2taazln9152Uuoc6hxuLRNC2Vp9b35vXGv5XrdWdU7xPUwpbC2uNa81EkK3VhpjO2s7a1xvfG86Zzpre297b3xvWmtaazlnWmtZa1prWWtaa1lrWms7Zztnl1brIMkcTS0aY3xvOmdbb1pre298b1tr8D0JIQoh+WJba1trOWd6a1lrem9Za3prWmtaa1prWmtaa1prWmtaa1prWmtaa1prWmtaa1prWmtaa1prOWdaa1prWmtaa1prWmtaazlnWmtaa1prWmtaa1prWmtaa1prWmtaa1prWmtaa1prWmtaa1prWmtaa1prWmtaa1prWmtaa1prWmtaa1prWmtaa1prWmtaa1pre29aa1prWmtaa1prWmtaa1prWmtaa1prWmtaa1prWmtaa1prWms5Z1prOWdaazlnWmtaa1prOWdaazlnWms5Z1prOWdaazlnWms5Z1prOWdaa1prWms5Z1prOWdaazlnWms5Z1prOWdaazlnWms5Z1prAABaa3pvWmt6b1prem9aa3tvWmt7b3pve29aa3pvWmt7b1pre29aa3pvWmt6b1prem9aa1prWmt6b1prWmtaa3pvWmtaa1prWmtaa1prWmt7b1prWmtaa1prWmtaa1prWms6Z1prOmdbaxpjO2f6YhNGqBQrJfE9fG97a5xzWmtaa/le0T3JHAslTSl1Tn5vXGsaYzpnO2dbaxljtlYSQs85bS1uLW4t0Dk0SthaGmdcb1trXG9ba1tvOmc6ZzlnWms5Z1prWWtaa1lrWmtaa1trGmeXVuocCyELJbdWW2tba1pre287aztn2F7pHOogCiGWUlxrOmdaa1prWWt6b1lrWWtaa1prWmtaa1prWmtaazlnWmtaa1prOWdaa1prWms5Z1prOWdaazlnWms5Z1prOWc5ZxhjOWc5Z1prWmtaazlnWms5Z1prOWdaazlnWms5Z1prWmtaazlnWmtaa1prOWdaazlnWms5Z1prOWdaa1prWms5Z1prOWdaa1prWmtaa1prWmtaazlnWms5Z1prOWdaa1prWms5Z1prWmtaazlnWms5Z1prOWc5ZzlnWms5Z1prOWdaazlnWms5Z1prOWc5ZzlnWms5Z1prOWdaazlnWms5Z1prOWc5ZzlnWms5ZzlnOWc5ZzlnOWc5Z1prOWcAAHtvWmt7b1pre29aa3tve297b3pve296b3tvWmt7b1pre296b3tvWmt6b1pre29aa3pvWmt7b1prem9aa3tvWmt7b1pre29aa3tvWmt7b1prWmtaa3tvWmt7b1prWmtaa3prWWdaa1trOmcaYztnVErIGCslzzlba3xvnG97b1trOmfXWisl6SBtLa81t1Z9b31vXG9caxpjO2dbaztnt1p2UjRG0T1uMW4xrzUSQjNK+V75XjpnOmdba1trfG98b1prWWtaa1lremtZa1prW2s8a5dWLCUMJSslNEpca1tvW2tba1xrOmd1TmYMLClMKXVOfW9cb1tre285Z5pvWWtaa1prWmtaa1prWmtaa1prWmtaa1prWmtaa1prWmtaa1prOWdaa1prWms5Z1prOWecc3tvWms5Z1prWmtaa1prWmtaa1prWmtaazlnWms5Z1prWmtaa1prWmtaa1prWmtaa1prWmtaa1prWmtaa1prWmtaa1prWmtaa1prWmtaa1prWmtaa1prWms5Z1prWmtaa1prWmtaa1prWmtaa1prWmtaa1prOWdaazlnWms5Z1prWmtaa1prWms5Z1prOWdaazlnWmtaa1prWmtaa1prWms5Z1prOWdaazlnWms5Z1prOWdaazlnOWc5Z1prOWdaawAAWmt6b1prem9aa3tvWmt7b1pre29aa3pvWmt7b1prem9aa3tvWmtaa1prWmtaa3pvWmt6b1prem9aa3pvWmt6b1pre29aa1prWmtaa1prWmtaa1prWmtaa1prWmtaa1lrWWtZazhnemsZYxljGmOVUsgYTCmNMVtrW2t8bzlnW2s6ZxljjTErJUspbS2vNRljO2d9b51zfG87Z1trOmcaYxtnPGf6XndS0T2OMU0tbjFtMfE9dE75YjpnW2s6ZzlnOmdaa1lnWWtZa1prWmtbazxr2FpNKQsh6hzxPVtrXG87a1trW2tca7A1hxDqHE0t8kF9b1trW2t7bzlnWWtZa1lrWmtaa1prWmtaa1prWms5Z1prOWdaa1prWms5Z1prOWdaazlnWms5ZzlnOWc5Z/deOWc5Z1prOWc5ZzlnWms5Z1prOWdaazlnWms5ZzlnOWdaazlnWmtaa1prWmtaazlnWms5Z1prOWdaazlnWmtaa1prOWdaazlnWms5Z1prOWdaazlnWms5Z1prOWdaa1prWmtaa1prWmtaa1prWmtaa1prOWdaazlnOWc5ZzlnOWdaazlnWms5Z1prOWdaazlnWms5Z1prOWdaa1prWms5Z1prOWdaazlnWms5Z1prOWdaazlnOWc5ZzlnOWdaazlnAAB7b1pre29aa3tvem97b3pve296b3tvWmt7b1pre29aa3tvem97b1prem9aa3pvem97b1pre29aa3tvWmt7b1pre29aa3tvWmt7b1pre29aa3tvWmt7b1pre29aa1prWWt6b1hrWWt6azlnGWM6Z5ZSyBhMKY4xO2d8b3xve2ucc3xv91rxPekc6RwSQrA1bi0aYztnfW9ca31vXG99b1xrXWs8a11rPGcbY5dWM0bQOU0tTC1tMY41EkJ1UhpjXGtba1prWmtaa3pvWmtba1trfW/5Xo816hzpHK81fW9ba51zOmdca1xrKyXJGOogsDXQOVxrW2s6a3tvOGd7b1lrWmtaa1trWmtbb1prW2taa1prWmtba1prW29aa1prOmtaa1prWms5a1prOmc6Zxlj8D1USvleOmdbazpnWmtaa1prWWtaa1lnWms5Z1prOWdaa1prWmtaa1prWmtaa1prWmtaa1prWmtaa1prWmtaa1prWmtaa1prWmtaa1prWmtaazlnWms5Z1prWmtaa1prWmtaa1prWmtaa1prWmtaa1prWmtaazlnWms5Z1prOWdaa1prWmtaa1prWmtaazlnWms5Z1prOWdaa1prWmtaa1prWmtaazlnWmtaa1prWmtaa1prWms5Z1prOWdaa1prWmsAAFpre29aa3tvWmt7b1pre29aa3tvWmt7b1pre29aa3tvWmtaa1prWmtaa1prWmt6b1prWmtaa3tvWmt6b1prWmtaa1prWWt6b3pve29aa1prWmt6b1prWmtZa1prWWtaa1lrWWs4Z1lrWWs5Z/hi+F5NKQohjzG3Vn1zWmt7b3pvWWs5Z1ROCiHqHPNBkDVOKW4tVU7YWhpjXGt+b11rfnN9b31vW2s7ZzpnO2cZY9dadU5USvE9jzEtKU4tsTUUQvleGWMaYzpnGmM6ZztnXGs7Zxpj0T3pHAohKyVba1trfG9baztn2FqHEAshCyGwNdA5W2tbazpnWmtba3tvW2s6a1prOmtbazprWms6a1prOmtaazprW2s6a1prOmtaazlrWW85azprO2tcbxpjuFYMJeoc0TkbX/peO2NcZxlfWmdZZzlnWms5Z1pnOmdbazpnW2s6a1prOWdaa1lrWms5Z1prWmtaazlnWmtaa1prOWdaazlnWms5Z1prOWdaa1prWmtaa1prWmtaa1prWms5Z1prWmtaa1prWms5Z1prWmtaazlnWms5Z1prOWdaazlnWms5Z1prOWdaazlnWmtaa1prOWc5ZzlnWmtaa1prOWdaazlnWms5Z1prOWdaazlnOWc5ZzlnOWc5ZzlnOWc5ZwAAe29aa3tvWmt7b1pre29aa3tvWmt7b3tve29aa3tve297b1pre29aa3pvWmt7b1prem9aa3tve297b3pve29aa3tvWmtaa1pre297b3tvWmt7b1prem9aa1prWWtaa1prWWtZa1lrWWtZazlnGWP5XrA56hyPNXZOnnNba5tzem96bxhjtlbpHCwlsTlWSrI580FuMU0t8T35XjxnXW+eczpne2+9d3xvW2s6Z1trOmdbaxpn+V6XUjRGsTVwMS0pLCmuNXRO+V5ca1xrXGs7Z1xrGmMSQqcU6RwrJRpjXGt7bzpnXGt1TmYQyRixObdWVEp8b3xvWmd8b1prfG9ba1trOmtbb1prW286a1trOmtbazprW286a1trOmtbbzprOWs5a1pvOmtba1xvPGfaWnAxTynsHE4puVZ+a11nO2M5Y1lrm29ZZzlnOmd7a1trW2taa1trWmtaa1prWmtaa1prWmtaa1prWmtaa1prWmtaa1prWmtaa1prOWdaa1prWmtaa1prWmtaa1prWmtaa1prWmtaa1prWmtaa1prWmtaa1prWmtaa1prOWdaa1prWmtaa1prWmtaazlnWms5Z1prOWc5ZzlnWmtaa1prWmtaazlnWms5Z1prOWdaazlnOWc5Z1prOWc5ZzlnWms5Z1prAABaa3tvWmt7b1pre29aa3tvWmt7b1pre29aa3tvWmt7b1pre29aa1prWmtaa1prWmtaa3tvWmt7b3pve29aa3pvWmtaa1lrWmt6b3tvWmtaa1prem9aa1prWWtaa1lrWms4Z1lrWWtZazlnOWf4YhljE0LJHG4tE0Z9b3xvem+bc3pvOWfXWgohLSVvMdted04MJY8xsDVuMUwp8j3ZWn1vW2ucb3tve297b5tvemtaaxljOmcaYztnG2PZWlVKE0KOMY4xTClNLY4xE0aXVhtjG2M8Z3ZSyRyoGAshVU5ca1trW2tcazNGhxDJGPI9+V63Vn1vW2taa3trW2s6Z1trOmtaazprWms6a1prOms6azprWms6a1prOmtbazprWms4Z1lrOWs6azprXG87Zxtjdk7yOQwh6xiPLZhSPGN9azpjWmc5Z1pnOWNaZzpnW2taZ1prOmdaa1prWms5a1prWmtaazlnWmtaa1prOWdaa1prWms5Z1prOWdaazlnWmtaa1prWmtaa1prWmtaa1prWmtaazlnWms5Z1prOWdaa1prWms5Z1prOWdaazlnWmtaa1prOWdaazlnWms5Z1prOWdaazlnOWc5Z1prWmtaazlnWms5Z1prOWdaazlnWms5Z1prOWc5ZzlnWms5ZzlnOWcAAHtve297b1pre297b3tvWmt7b3tve29aa3tve297b1pre296b3tvWmt6b1prem9aa3tvem97b1pre296b3tvWmt7b1prWmtaa3tvem97b1pre29aa3pvWmtaa1prWmtaa1lrWWt6a1lrWWs5ZzlnGWOWUskYbi3QOXxvfG96b3pvem85ZxljTS0tKS4pXmvbXhRGTS1NLa81rzWOMfJBVU5ba1pre297a5tve297b1lne2taZ1prOmd8bztrGmf5XrdaVErxPW0tTClNKa810Tk1SlZOVk7qHMocyhzSORxnW2s6ZztrjjHJGAwhuFYbYxpjW2tbazpnfG9ba1trW2tba1prW29aa1tvWmtaazlrWm86a1prOmtabzprWms6a1lrWWtabzprW2tba1xrO2c8Z3ZO0TlNJescTil3Tl1nnm86YxljWmd8bzpnOWdaZ1prWmtaa1lrWmtaa1prWmtaa1prWmtaa1prWmtaa1prWmtaa1prWmtaa1prWms5Z3tvWmtaa1prWmtaa1prWmt7b1prWms5Z1prWmtaa1prWmtaa1prOWdaazlnWms5Z1prWmtaa1prWmtaa1prOWdaazlnWms5Z1prWmtaa1prWms5Z1prOWdaazlnWms5Z1prOWdaazlnWms5Z1prOWdaawAAWmt7b1pre29aa3tvWmt7b1pre29aa3tvWmt7b1pre29aa3tvWmt6b1prWmtaa3pvWmtaa1prWmtaa1prWmt6b1prem9aa3pvWmt6b1prem9aa3pvWmtaa1lrWmtZa1prWWtZazlnWWtZa1prGWMZY5dW6hwsJY81GmN8c1prem85Z1pr+F7xQQwlTin7Yj1rHGcSQkwpbS2vNRNG8j1tLfA9lVI5Z5xzem9aa1lrm2+bb5tvWmtaazlnOmc6ZzpnGmMaY/le2Fp1ThNCjzVuLS0lDCUtJYgUqhjLHC4pulp9b31zO2cLIYgQDCX7YlxrO2c7ZzpnWmtaa1trOmd8bzprWmtaa1prOWtaazlnWms5Z1prOWtaazlnWms5a1prOWtab1prWms5Z1prOmdbaxpjG2PyPS0lTiktIS4ld0obYztnO2dbazpnWmc5Z1lnWWdZa1lrWms5Z1prOmtaazlnWmtaa1prOWdaa1prWmtaa1prWmtaazlnWms5Z1prWmtaa1prWmtaa1prWmtaa1prWms5Z1prOWdaa1prWmtaa1prOWdaazlnWms5Z1prOWdaazlnWms5Z1prOWdaazlnWms5Z1prOWdaa1prWms5Z1prOWdaazlnWms5Z1prOWdaazlnWms5Z1prOWdaazlnAAB7b3tve297b3tve297b3tve29aa3tve297b1pre297b3tvWmt7b1pre29aa3tvem96b1prem9aa1prWmt6b1pre29aa3tvWmt6b1pre29aa3tvWmt6b1prWmtZa1prWmt6b1lrWWtZa3pvWms6axlj2V4sKSwljjHYWnxve29Za1lrWmsZZ3VSTSlOKZhSPWv6Xlxr2FpMKccYjjEzRq81KiWNMXROOWOcc5xznHN6b1lrWWt7b3tve296a3tve29ba1trW2s6Zxpj2Fq3VnZOE0JOLQ0lqRTsHOwcDSHTPfpeO2cbZwwlyhwMIRxnXGt9bztnfG9aa1tre2tba1trWmtZa1pvWmtaa1lrWmtZa1prWWtaa1lrWmtZa1prWWtab1prWm9aa1prOWdaazpnOmNbZ9ha8j2QMU8pLiUNIRRCG1+/c1xnGWNaa5xvWWdZa1lrWWtZa1prWmtba1prWmtaa1prWmtaa1prWmtaa1prWmtaa1prWmtaa1prWmt7b1pre29aa1prWmtaa1prWmtaa1prWmtaa1prWmtaa1prWmtaa1prWms5Z1prWmtaa1prWmtaa1prOWdaazlnWmtaa1prWmtaazlnWmtaa1prOWdaazlnWms5Z1prOWdaazlnWms5Z1prOWdaazlnWmsAAFpre29aa3tvWmt7b1pre29aa3tvWmt7b1pre29aa3tvWmt6b1prWmtaa3tvWmt7b1prem9aa1prWmtaa1prem9aa3tvWmtaa1prWmtaa3pvWmt6b1prWmtZa1prWWtaa1prWms5Z1lrWWtaazlnOmf5XtA56RyOMXROfG97b1prWWtaazpnt1qPMW4t80Feb11vXGv5XnROjTEKIW0xllauNWwtbC0yRvhenG97b1prWmt6b3tvm3N6b3prWWdaazlnOmc6Z1trO2c7Zxpj+l4bY7hWFEJwMQ0h7SDtHE8tjzHxPfI9CyEtJU4pHGOfc1xrOmd7b1prOmd8bzpnW2taa1prWWtaa1lrWms5Z1lrWWdZazlnWWtZZ1lrOWdZa1prWms5Z1lrWWtZazlnWWdaZzpnXGv6XtI1sjWSMcwYDCE1RhtjPGcaY1tremtZZ1hnWWtYZ1lrWWtaazprWmtaa1prOWdaa1prWms5Z1prWmtaa1prWmtaa1prOWdaa1prWmtaa1prWmtaazlnWms5Z1prOWdaa1prWms5Z1prWmtaazlnWms5Z1prOWdaa1prWms5Z1prOWdaazlnWms5Z1prWmtaazlnWms5Z1prOWdaazlnWms5Z1prOWdaazlnWms5ZzlnOWdaazlnOWc5ZwAAe297b3tve297b3tve297b3tve297b1pre297b3tvWmt6b1prem9aa3tve297b3tve296b3pvWmt6b1pre296b3tvem97b1prem9aa3pvWmt7b1prem9aa1prWmtaa1prWmtaa3pvWWtaazlnWms6ZxpjEkLqHG4xU0pbb713Wmt7bzlnfG/YWtI9Ti3SOV5vXW87aztrW2vXWq41zznYWrdW8T1MKUwpEkK2VjpnfG98b1tremtaa3pvemubb3tve296a3prWmt7b1trW2s7ZxpjPGf7YhRGLiXsHFApcC2xOW4tLCWIEA0l7CCYVhtjXGsZY3xvOmc6Z3xvO2c6Z1trWmtaa1prWmtZa1prOWdaa1lrWmtZa1prWWtZa1lrW2s5ZzlnWWd6b1lrWWs4Z1lrOWM6Yxpf+lpWStM5cS2qFC4lVko8Z55zW2c5Z1lneWtYa1lrWWtaa1prW2taa1trWmtaa1prWmtaa1prWmt7b1prWmtaa1prWmtaa1pre29aa3tvWmtaa1prWms5Z1prWmtaa1pre29aa1prOWdaa1prWms5Z1prOWdaazlnWmtaa1prWmtaa1prWms5Z1prWmt7b1prWms5Z1prWmtaazlnWms5Z1prOWdaazlnWms5Z1prOWdaazlnWms5Z1prAAB7b3tve297b1pre29aa3tvWmt7b1pre29aa3tvWmt7b1prem9aa3pvWmt6b1pre29aa3tvWmt6b1prem9aa3tvWmt7b3pve29aa3tvWmt6b1prWmtZa1prOWdaa1lrWms5Z1prWWtaa1lrWWs5Zzpr+WKXVqgYbi2uNVxvWmucc1pre29baztnVUotJW8xHGd9b1xrW2tbaxljGWMZYzpnGmO4WjNGrzUrJW0tM0Y7Z1xrfG9ba3tvWmt7a1prWmtZZ3pvemt6b5tve285Z1prO2d9b/pe+17LHMsc7SAvKZhSNUrROcoY7CDsIJAxbjEzRrZWOmd8b5VSVEpca3xvOmc6Z1tvnXNaazlnOWd7b1prWms5ZzlnOGdZa1lrWms6Z1prOWdZazhnWWtZa3lrWWdaZzljOmMbYxxjeE7TOXAtqhTrHDRG+l46Z1prWWc3Y1lrWWt6a1lnWms6Z1prOmdaa1prWms5Z1prOWdaazlnWmtaa1prOWdaa1pre29aa1prWmtaa1prWmtaa1prOWdaa1prWmtaa1prWmtaazlnWmtaa1prOWdaa1prWmtaa1prOWdaazlnWms5Z1prWmtaazlnWms5Z1prOWdaazlnWms5Z1prOWc5ZzlnWms5Z1prOWdaazlnOWc5ZzlnOWcAAHtve297b3tve29aa3tve297b1pre297b3tvWmt7b3tve29aa3tvWmt7b1pre296b3tvem97b1prem9aa3tve297b3pve297b3tvWmt7b1prem9aa3pvWmtaa1prWmtaa1prWmt6b1premtZa1prOmc6Z5dW6RxNKa81O2t8b3tve29aa1trO2eXUk4tbzGXVp5zXG98b3tvOms6Z1trW2s7Zxtj+mJVSq81LCWOMfE9GmMaY1trW2t8b1trfG97b5tvem95a1lnem96a3tve2t8b1trXWvaXuscyxzMHA0l+2L7YphSDSUNJewgFEbxPUwpbS2uNa41jTFMKTNGGmNcbzpnOmc6Z1tvW2tbazprWms5Z1prWmt7b1prWms5Z1prOmdaa1lrWWtYZ3lrWWtZZ1lnW2s6Z1xnPGf6XndOsjWxNaoUCyFVSn1vOmc5Z3tvOWc5Z1lnWmtZa1tvW29aa1prWmtaa1prWmtaa1prWmtaa1prWmtaa1prWmtaa3tvWmt7b1prWmtaa1prWmtaa1prWmtaa1prWmtaa1prWmtaa1prWmtaa1prWmtaa1prWmtaa1prWms5Z1prWmtaa1prWms5Z1prOWdaa1prWms5Z1prWmtaazlnWms5Z1prOWdaazlnWms5Z1prOWdaawAAe297b1pre29aa3tvWmt7b1pre29aa3tvWmt7b1pre29aa3tvWmt6b1pre29aa3tvWmt7b1prem9aa3tvWmt7b1prem9aa3pvWmt7b1prem9aa3pvWmtaa1prWmtZa1prWmtba1premtZa1prOWdaazpnt1rqICsljjUaY1trfG96b3tvOmdba7hasDUtKRNCfW+dc3xve29aa3tvW2t8b1trXGsbZ/lellIzRo4xKyWOMRJCllIaY1trfG87Z1pnWWt6b1lrWWtZa5tve297b3trGmN+bzxnTikuJc0cTym4Vn5z2l5OKescDCG5WpdW0D3QOWwtKiUrJQohLCWXUhpjXGs7ZztnO2dbaxpjOmcZY1tre297bzlnGWMZY1prOWdaazlnWWs5Z1lrWWdZazhnWmtaazpnOmdcaxtj+l6YUm8tLSXKGEwpEkJcazpnOWc6Z1pre29aazlnOWd6b1prWmtaa1prWmtaazlnWms5Z1prOWdaazlnWms5Z1prWmt7b1prWmtaa1prWmtaa1prWmtaa1prWmtaa1prWmtaa1prOWdaa1prWms5Z1prOWdaazlnWms5Z1prOWdaazlnWms5ZzlnOWdaazlnOWc5Z1prOWdaazlnWms5ZzlnOWdaazlnWms5ZzlnOWc5ZzlnAAB7b3tve29aa3tve297b3tve29aa3tvWmt7b3tve297b3tvem97b1pre296b3tvem97b3pve29aa3tvem97b1prWmtaa3pvWmt7b1pre29aa3tvWmt7b1pre29aa1prWmtbb1tre29aa3pvWmtaa1prW2vYWk0t6iCvNddafG97b5tze29ba1tr+mLSPU0pjzVca3xznHNaa3tve297b3tvfG9caztnGmdcaxpjdlLQOa81jjFuLW0t0DlUShljfG96a3tvnHN6b1premt7bzpndE4SQtlePGfTPe0g7iAvKRRGfnMbYy0pyhwMIV5rGmMaZ9dalVKOMUwpLCXrIE4tLCXRPZZS2V5da31vXGs6Z51zO2cZYxljW2t8b3xvWmdaa1prWmtZa1prWWtaazlnWmtaa3tvOmc6ZzpnW2c6Y/pad05NKSwhqBRNKfI9XGtba1trfG9aa1prWWtZazlrWmtaa1prWmtaa1prWms5Z1prWmtaa1prWms5Z1prWmt7b1pre29aa3tvWmt7b1prWmtaa1prWmt7b1prWmtaa1prWmtaa1prWmtaa1prWmtaazlnWms5Z1prWmtaa1prWms5Z1prOWdaazlnWms5Z1prWmtaazlnWms5Z1prOWdaa1prWms5Z1prOWdaazlnWmsAAFpre29aa3tvWmt7b1pre29aa3tvWmt7b1pre29aa3tvWmt6b1prem9aa3pvWmt7b1prem9aa3tvWmt6b1pre285Z1prWmt6b1prWmtaa3pvWmtaa1prem9aa1prWmtaa1prW2taa3pvWWtZa1lrWms7a/herzXpHI4xdVJ8b3xvWmt7b1trXGv6YhRGTS2OMflefG+cc3pvWmt7b1pre285Z3tve2taaxpjOmf5XthaE0LxPY4xTCkrJWwtrzURQvheWmucb3xvOWdbazpn11orJU0p0j0dZ1hOzRzvIA4lsTmecxxnTi3JGCwlXm88Z1xrGmMaZ/JB6hyQNU8tiRQMJU0pLCUMIW4tNEbYVjxnG2Nca1xrfG87ZztnOmdaZ1pnemtaa3prWmdaZzlnWmdaa1trWmdaZzlnWWs4ZzlnOmPZWlRG6hwLIagUbi0TQjxrfW87ZxljOWebc3pvOGc5Z1prWmtaazlnWms5Z1prOWdaazlnWms5Z1prOWdaa1pre29aa3tvWmtaa1prWms5Z1prWmtaa1prWmtaa1prOWdaa1prWms5Z1prWmtaazlnWms5Z1prOWdaa1prWms5Z1prOWc5ZzlnOWc5Z1prOWdaazlnWms5Z1prOWdaazlnWms5Z1prOWc5ZzlnOWc5ZwAAe29aa3tvWmt7b1pre297b3tvWmt7b3tve29aa3tve297b1pre29aa3tvWmt7b3pve29aa3tvem97b1pre29aa1prWmt6b1pre29aa3tvWmtaa1pre29aa3tvWmtaa1prW2tba3tvWmt6b1lrWmtaa1tr+V4TRsgYjjEyRp1zfG96b3tve287azxnVU6wNW4xllZba713em+bc3tvem97b3preWt6b1lnWmtaZ1trGmNba/ledU7QOY4xTClMKUwp8D1TShpjfW99b51zW2tTSskYDCVwMbpW3V7OHDEp7iCQMTtnPGtuLescLSlebzxrfW8aY55zVErqHLI5V07sIA0hby01RhRCby0sJW4tTSnyPXVOG2Nca1xnGmNca3xvWmtZZ3prWmt7a1pnW2s6Z1trWmdaa1lnemtZa3lrWGecb/hat1a3VgshyhjrHAwhNUrZWn1vXGtaa1prem9Ya1prWmtaa1prWmtaa1prWmtaazlnWmtaa1prOWdaa1pre29aa3tvWmt7b1pre29aa1prWmtaa1prWmtaa1prWmtaa1prWmtaa1prWmtaa1prWms5Z1prOWdaa1prWmtaa1prOWdaazlnWms5Z1prOWdaazlnWms5Z1prOWdaa1prWmtaa1prWmtaazlnWms5Z1prAABaa3tvWmtaa1pre29aa3tve297b1pre29aa3tvWmtaa1pre29aa3pvWmt7b1pre29aa3pvWmt7b3pve29aa1prWmt6b1prem9aa3pvWmtaa1lrWmtaa3pvWmtaazlnWms6a1trWmtaa1lrWWs5Z1prOmcZY1RKqBhtMfE9fG98b1prnHNaaztrPGu4VrA1bS0SQjpnnHN6b5tzm3Naa5tzmm94azdneWt7b5tvWms6Z/leOmc6Zztn+F50Tq81TCksJW4tE0bYWhpjnnM7Z/JBiBQtJS4l1DmbVvAkzxytGC0p2FobY24tyhxOKRxnfm9caztnXGuWUsoYTy2aUtQ9DiVwMXhS/GI1RtI5sTVOKS0lLCVNKfI9uFZcazxnOmM4Y1hnOGdaZ1pnW2s6Z1tnO2daazlnWWtZa3lrWGt5azljW2c6Y9hWuFYtJYgQLSXsIPI92V59b1trOWc3Z1lrWWtaa1prWmtaa1prOWdaazlnWmtaa1prWmtaa1prWmtaa1prWmtaa1prWmtaa1prWmtaa1prWmtaa1prWmtaa1prWms5Z1prWmtaazlnWmtaa1prOWdaazlnWms5Z1prWmtaazlnWms5Z1prOWdaazlnWms5Z1prOWdaazlnWmtaa1prOWdaazlnWms5ZzlnOWcAAHtvWmt7b1pre29aa3tve2+cc3tve297b3tvWmt7b1pre296b3tvWmt7b3pve296b3tvWmt7b3pve296b3tvWmt7b3pve29aa3tvWmt6b1prWmtaa3pvWmt7b1prWms5Z1prWmtaa1lremtZa1prOWdbaxljllKnFI4xzzl9c3xve2+bc1trOmd9c9le8T1MKdA5GWOdc1prnHObb1prmnOac3lvmm+ab3pvOGc5Z1trnG9bazpnGWM6Z/he11qWUtE9bS1uLa81NEobZzxnE0IMIXAtkjFRKZxWczERJc4cTy2XVl1rbzHrIC0p+mJ9b31vW2t8b9haLCUNJdxau1qSMQ0hFEI9Z15rPWe5Vk4tsTWxNbE1TiktJU0p0jlUShljGGM6ZzpnW2tba1xrW2dcazpnW2tZZ1lrWGd5a3lvWms6YzpnO2fZWpdSsDWHEAwlCyGwObdWfG9ba1lrWWtaa1prWmtaa1prWWtaazlnWmtaa1prWmtba1prW2taa3tvWmtba1prW2taa1prWmtaa1prWmtaa3tvWmtaa1prWmtaa1prWmtaa1prWmtaa1prWmtaazlnWms5Z1prOWdaa1prWms5Z1prWmtaazlnWms5Z1prOWdaa1prWmtaa1prWmtaa1prWms5Z1prOWdaawAAWmtaa1pre29aa3tve297b3tve297b3tvWmt7b3tve29aa3pvWmt6b1prem9aa3pvWmt6b1prem9aa3pvWmt6b1prWmtaa1prOWdaa1prWmtZa3pvWmt6b1lrWmtaa3tvWWdZa1lrWmtZa1prWmtbaxljO2d1UukcbS3wPRpnfG9ba3tvWmt7b1trOmd2Uk0tsDlVTp93W2t8b5tzWGe7d3pvm3N6b3tvWmtaa1prWmtba3tvWmtbazpnOWcZYzln+F51To4xTSltLfI9d041Rg0hDyXVOZQxrhR8Tq4UECHsHDVGPWexOeocTSk6Z51ze2taazlnGWMrJS0peFIeZ7M1kjFwLV5rG2N2Tgsh6xzsHO0cDiFxLZExcC0tJQwlCyFuMfI9dlLZXlxrXGs8a/liXGt8b3xvWmdaa1pre286Z1pnWmtbazpnOWeVUs85hRBLKSslTCl0TlxrO2dbazpnWms5ZzlnOWd6b3pvWms5Z1prWmtba1prW2taa1trOmdbazprW2s6a1trWmtba1prWmtaa1prWmtaa1prWms5Z1prWmtaa1prWmtaa1prWmtaazlnWms5Z1prOWdaazlnWmtaa1prOWdaazlnWms5Z1prOWc5ZzlnOWc5Z1prWmtaa1prWms5Z1prOWc5ZzlnAAB7b1pre297b3tve2+cc3tve297b3tve297b3tve297b3tvWmt7b1pre29aa3tvWmt7b1pre29aa3tvWmt7b1prem9aa3pvWmtaa1prWmtaa1prWmt7b1prWmtZa1prWmtaa1lrem9aa1prWmtbb1trOms7a7dWCSFtLdA5Gmd8b3xve29aa1pre285Z7dWjjGQNTRGn3c8a3xzm295a5pzm3N7b5xze297b1pre29aa3tvWmt7b1prWms5Z1prOWcYYxlj+FpUSq81LSWPLS4lzBhxLTlGtTVTKbY18BwQIe0g0zlea7E56yBMKVtrnHObb3prWmsZY20xLCVXSh1jmVJvKTVCuFZ9a/E5yhhOKU8pDiHNHM0cLyWSMTZKmVY1Sm8tDCEtKY8xjzETQpZSXGs7ZztnOmdba1trfG97b3tvWmtbazlnOWdaZ1pr916VUmQM6ByvOQohsDV/b11vnXM5Zzpne2+cczlnOGdZa1lrWWtaa1pre29ba1tvW2tba1prW2tba1trWmtbb1trW2taa1trWmtaa1prWmtaa3tvWmt7b1prWmtaa1prOWdaa1prWmtaa1prOWdaa1prWmtaa1prWmtaazlnWmtaa1prOWdaazlnWms5Z1prWmtaa1pre29aa1prWmtaazlnWmsAAFpre29aa3tve297b3tve297b3tve297b1pre29aa3tvWmt6b1prem9aa3pvWmt6b1prem9aa3pvWmt6b1prem9aa1prWmtaa1prWmtZa1prWWtaa1prWmtZa1prWWtaa1lremtZa1prWmtba1prW2s6Z1trt1pMKUsprznYWp1ze2+cc1lre29aazpr11rQOSwpE0Jda1xrW2ubc1hrmnN6b3tve297b1pre29aa3tvWmt7b1prWmtaa1prOWdaazlne286ZxljVErQNU0pqRSqFHEtOEb2PXMtcy2uFBAhzBgvKfxisjWqGE0pGmd8b3tvm3M5Zzln0DksJdM9HWP8XrE18zmXTn9vby3KGBRC2lp4TpI1DiWrGOwgcC30QblW+16YUtI9LSlNKSwpLCVuLa81EkK2VvleOmc6Z1trGmNba1xrfG9ba1trOmc6Z/het1YsJagYTi0tJQ0hd1L6Yltre29aazlne296b3pvWWdZa1lrWmtZa1prWWtaazprW2s6Z1trWmtba1prWmtaa1prWmtaa1prWmtaa1prWmt7b1prWmtaa1prOWdaa1prWms5Z1prOWdaazlnWms5Z1prOWdaazlnWms5Z1prOWdaazlnOWc5Z1prOWdaazlnWms5Z1prOWdaazlnOWc5ZwAAe297b3tve297b3tvnHN7b5xze297b3tve297b3tvWmt7b3pve29aa3tvem97b1pre29aa3tvWmt7b1pre29aa3tvWmt7b3pve29aa3pvWmt6b1pre29aa3tvWmt7b3prem9aa3pvWmt7b1pre29ba1trW2v5Xq41KyWOMZdWfXOcc5xzem96b3tvWmsZYxNGCyXRORxnXGt8b5tzem96b3tve297b3tve297b3tve297b3tve29aa3tvWmtaa1pre29aaxljOmc7Z9haVUotJQ0hLiUWQllKUim1Na4Y7yDuIMwc/V6zOcoYLSk8Z3xve2+bc1prOWdUSgshkTUcYxxjmFJvKblWXmdOKQ0hd05+axxjuVYUQpA1DSUNIewgsjkUQrlaHGf6XjRG0TnROW4tTS1tLW0tjjGuNRFCdE4aZztnXGtca3xvO2c7Z1xrPGv6Xtla0jnLHOwcUC3sIBNC2V59bztnOmd7b5xzWmtaa1lrWWtZa3prWWtaa1lrWmtaa1prWmtaa1prW2taa1trWmtaa1prWmtaa1prWmtaa1prWmtaa1prWmtaa1prWmtaa1prOWdaazlnWms5Z1prWmtaazlnWms5Z1prWmtaazlnWms5Z1prOWdaazlnOWc5Z1prOWdaa1prWms5Z1prAABaa3tve297b3tve297b3tve297b3tve29aa3tvWmt7b1prem9aa3tvWmt6b1pre29aa3pvWmt6b1prem9aa3pvWmt7b3pve296b3tvWmt6b1prWmtaa3pvWmt7b1prem9Za3pvWmt6b1prWmtaa1trOms6a/liEULpHG0tNEqdc3tvnHNaa3tvWmtbaxpndlLrII81uFZ9b1trm3N6b5pvWmt7b1pre29aa3tve297b1pre29aa3tvWmt7b1pre29aa3tvOmd7bztnGmPZWjVGLSUNJdM1HmO0NbQ1ci3OHA8lzRx6UvVBqhhOKTxnfW9aa5xzOWc6Z5ZSLCVOLfteXGs8Z28td06ZUnEt7Bx3ThtjO2c7ZxpjuFZVStI5kTEMJQwhTi01StpeG2P6YhtjdlJVSvE9rzVMKSslKiVMKQohjjHxPXZS2Vq4WpdS+2IcY15rf3PcXlAtzBzuIA4lLSWxNXZOPGtdb1trGWM5Z1lrWWtZa1lrWGtZa1hrWWtZZ1prWWtaa1lrWmtaa1prWmtaa1prWmtaa1prWmtaazlnWmtaa1prWmtaa1prWms5Z1prOWdaazlnOWc5Z1prOWdaazlnWms5ZzlnOWdaazlnWms5ZzlnOWc5ZzlnWmsYY1prOWdaazlnWmtaa1prOWcAAHtve297b3tve297b3tve297b3tve297b3tvWmt7b3tve296b3tvem97b3pve296b3tvWmt7b1pre29aa3tvWmt7b3tve297b3tvem97b3pvWmtaa1prWmt6b1pre29aa3pvWmt6b1prWmtaa1prWmtbazlnOmdUSukcTC0SQn1vfHOcc3tve297b1trXGu3Vk0pbi1VTl1vfG97b5tzem96b1pre297b3tve297b3tve297b3tve297b1pre29aa1prem97b3tvW2saYztnt1JNKS0lsjU/Z7tWLyU4RosQMSnOHPZB9kGrGC4pPGdca3tve29aazpn+V4sJU4puFaec/hadkqyNTdG1DntHHdOfW98b5xzemtba/peuVZXThRG8j1vMQwlkDWXUjxnPGc8Zxtj+l7YWthadU4SQo8xbS1tLW4tjzGwNQshqRgMJTZKmVIeZz9ru1rVPTEpqxTtIOwgcDEURvpePGt9b1tre29aa3prWWtZa1hreWtZa1prWWtaa1lrWmtaa3pvWmtaa1prWmtaa1prWmtba1pre29aa3tvWmtaa1prWms5Z1prOWdaazlnWms5Z1prOWdaazlnWmtaa1prOWdaa1prWms5Z1prOWc5ZzlnWms5ZzlnOWdaazlnWmtaa1prOWdaawAAWmt7b1pre29aa3tvWmt7b1pre29aa3tvWmt7b1pre29aa3tvWmt7b1pre29aa3tvWmt6b1prem9aa3pvWmt6b3pve29aa3pvWmt6b1prem9aa1prOWdaa1pre29aa1prWmt6b1prWmtZa1prOWdaa1trOmcaZ5ZW6BxtLdA5fW97b5xzem+cc3pvW2tba9hejjFNKdE5XGtba3tvem96b1pre29aa3tvWmt7b1pre29aa3tvWmt7b1pre29aa1prWWt6azhnWmtaZ1trW2vYWo8xLCFvLfteHWOzNdM5rBgQJRAlMSn3QWoQLiX6Xlxre2ubb1lnWmsZY0wpLSVVSnxr+Fr6XrE19kH2Qe0cVkp8b3tvWWtYazlnW2scZxxn+2JVSrA1jzFNKU0p0T3ZWl1vnnNdaztnG2M8Z/pi2Fp1TjRKjjFtLW4tCyUtJTVK7BxwLbM5N0q7WrxatTnOHO4g7iTNHA0lsTWYVjtnfW9ba1trWmtZa1lnWWtZZ1lrWWtZa1lnWWtZa1prWWtaa1lrWmtaa1prWmtaa1prWmtaa3tvWmtaa1prWms5Z1prOWdaazlnOWc5ZzlnOWc5ZzlnWms5Z1prOWc5ZzlnWms5Z1prOWc5ZzlnOWc5Z1prOWdaa1prWms5Z1prWmtaazlnAAB7b1pre29aa3tve297b3tve29aa3tvWmt7b3tve297b3tvem97b3pve296b3tvem97b1pre29aa3tvWmt7b1pre296b3pvWmt6b1prem9aa3tvWmtaa1pre297b3tvem97b1prWmtaa1prWWtaazlne28ZZ1trt1rpIG0t0Tldb3xvm3N7b5tze29aa3xv+F7QOSwljzU8a3xve296b1lre297b3tve297b3tve297b3tve297b1pre29aa3tvWmtaa3pvem9aa1prOmd8b/liVUoLIW4td04dY/teLiUvJVItMi3wIBhGqxgvKRxnfW+dc3tvemtaZzpnTCktKRNCe2t7azxnVko4StU9DiHSOXxvem+Zb3hrWWtba11rHGd+bxtnl1bRPY4xTS1uLW4tVEr6Xn5zXWs8a1xrXW87ZztnOmf5XthauFbROW8xNUaxOQ0lDiUvKTApcTG0OXIxUi3uIM4gDyUvKU8pFEb6Yn1vXGtba1prWmtZa1prWWtaa1lrWmtZa3prWmt6a1lrWmtaa1prWmtba1prW2taa1prWmtaa1prWmtaa1prWmtaazlnWms5Z1prOWdaazlnWms5Z1prOWdaazlnWms5Z1prOWc5ZzlnOWc5Z1prOWdaa1prWmtaa1prWmtaazlnWmsAAFpre29aa3tvWmt7b1pre29aa3tvWmt7b1pre297b3tvWmt7b1pre29aa3pvWmtaa1prem9aa3pvWmtaa1pre29aa3pvWmt6b1prWmtaa1prWmtaa1lrWmtaa3tvem97b1pre29aa1prOWdZZzlnWWs6Z1prGWPYXukgTCnROTtnfG97b3tvm3N7b3tvOmcaZ1VOCiFuMXVOO2fee1lrem9aa3tvWmt7b1pre29aa3tvWmt7b1pre29aa3tvWmt6b1lrem9Za3pvWmtbazpnOmfXWkwpLCWwNT1nHGNWSssYECUyKVMx90FqEFAtHGN9b3xvWmucc1trGWPROU0psDVaZ3prO2McYzhKkzFxLS0lGF96b7pzV2eac1prO2dda/peO2c7Zxtjl1ISQm4tKyVNKY81M0b6Xl1rXWs8Z1xrO2dbazpnGmMaY/peE0IsJZAx0z2xNbI5DSUNJasY7SAQJc8cbBSUNbM5kjUuKU4pVUrZXjtrW2s6Z1trW298bzhnWmt6b5tvWWtZazlnWmtaa1prWmtaazlnWmtaa3tvOWdaa1prWms5Z1prWmtaa1prWmtaa1prOWdaazlnWms5Z1prWmtaazlnWms5Z1prOWc5ZzlnWms5ZzlnOWc5ZzlnWms5Z1prOWdaazlnWms5ZwAAe297b3tve297b3tve297b3tvWmt7b3tve297b3tve297b1pre297b3tvem97b3pve29aa3tvWmt6b1pre296b3tvWmt7b1prem9aa3pvWmt6b1prem9aa3tvem97b3pve29aa3tvWmtaa1lrWmtZa1prWms6Z/heTC0LIdE9+V58c3tve297b5tzem9bazpnt1bqII81EkJ8b5xze296b3tve297b3tve297b3tve297b3tve297b3tvWmt7b1prem9Za3pvWm97b1prW2s6Z/le8T0LIdA1+l48Z7lWLinOHHQxMil0Ne4gDiU8Z31vnXNaa713W2saY/JBLCWOMXtrWWedbz1nulb1PVAtLSmVUnpveG94b3pvOWt9bzxrnnc7Z/leGmNcaxpjdU6vNY4xLCUsKa81VU7ZWl1rnnNba3tvnXNba1trGmOXUtE9kDGxNblaVko1Rm8tkDGKFO8kMikQJe8k7iBQLdM90jmpGI812Fpca31vO2c7ZzpnnXNaazhnGGM5Z1pre297b3tvWmtaa1prWmtaa3tvWmtaa1prWmtaa1prWmtaa1prWmtaa1prWmtaazlnWms5Z1prWmtaa1prWms5Z1prOWdaazlnWmtaa1prOWdaazlnWms5Z1prWmtaa1prWmtaa1prAABaa3tvWmt7b1pre29aa3tvWmt7b1pre29aa3tvWmt7b1prem9aa3tvem97b3pve29aa3pvWmt6b1prem9aa3pvWmt6b1prWmtaa1prWmtaa1prWmtaa3pvem97b1prWmtaa1trWmt6b1prem9Za1prWmt7bxljGWOvNckcsDm3Vltre296a3pvem97b1prOmfYWgslbi2wNVxvW297b3pvWmt7b1pre297b3tvWmt7b3tve297b3tve297b1prem9Za1lvWWtab1pre286ZzprGWPXWukc0DV2Tl1r+l7zPWsQlTXvIBAlLykNIRtjfm98b3tvnHN7axpjdk7rHG4tGF9ZZ55zPWf8YnhSLilNKc85em83Z5pzOGdZa5xzO2t8b1trGWM6Z1xrXGv4XrZW8T2vNUwpCyUKIW4xVUo7Z3xvnG9ba1xrfG99b/pellIMJS0pNUY9a9pa2Vp3TrI57iDvIK0cDyVxMVAtTy0NJbA1LSkKIdA52Vqec31vO2sZYzprW2t8b1prWms6Z1trWmtbazlnWms5Z1prWWtaa1prWms5Z1prWmtaazlnWmtaa1prOWdaazlnWms5ZzlnWmtaa1prWms5Z1prOWc5ZzlnOWc5ZzlnOWc5ZzlnOWc5ZzlnOWdaa1prWmtaa1prOWcAAHtve297b3tve297b3tve297b3tve297b3tve297b3tve296b3tve2+bc3tve297b3tvem97b1pre296b3tvWmt7b3pve29aa3tvWmt6b1prem9aa3pvem97b3tve29aa1trW2t7b3pve296a3pvWWt6b1prOWcZYzNKpxSwNVRKfG97b5tzem97b3pve286ZxpjTClMKW4xO2tba5xzWmt7b3tve297b3tve297b1prnHN7b3tve297b1pre29aa3pvWWtaa1lre29aa1trOms6ZxljbS1tLTNGXWs8Z5hSzRwyLRElzhwwKQ0hHGd9b3xve2ucc1trW2v5Xiwlbi2VUlpnnXM7Z15v2l6xOQslbS34Xnpvm3M4Z1prnXc6azpnW2ucc3trOmcZYzpnO2dba5ZS0DlNLW0tTS1uLW0tlVL4Xp1znXN9bztnPGcbZ/I9LCVNKfpePGdda9lauVZ4TpI17CDLHLE1bzGxOU0pTS1NLW4xTS1NKY8xllJ9b31vW2s7azpnW2tba1trOmtbb1prWmtaa1prWmtaa1prWmtaa1prWmtaa1prWmtaa1prWmtaa1prWmtaa1prOWdaa1prWmtaa1prOWdaazlnWms5Z1prOWdaazlnOWc5Z1prOWdaa1prWmtaa1prWmtaawAAWmt7b1pre29aa3tvWmt7b1pre29aa3tvWmt7b1pre296b3tve297b3pve29aa3tvWmt6b1pre29aa3tvWmt6b1prem9aa3pvWmtaa1prem9Za1prWmt7b3pve29aa1prWmtba1tre29aa1prWWtZa1lrWmsZYxpndU6oGG4t8j06Z3tvm2+bb1lrem9aa1tr+F6vNeocjzG3Vn1zW2t7b3tve297b3tve297b1pre29aa3tvWmt7b1prWmtaa1prWWtZb1lrWm9aa1pvWmtbazpnGWMSQisp0Dk8axpj+2JRLc4cUS3uIO0gLikbY1xvW2t7b3tve287ZxtnTi1NKfA9nG9baztnfW8bZ1VOCiFMKVRKnXd7bzlre3N6b1prWmt7b3tve29aa1prOmc6Z/heOmcaY7dW8T1tLSslTS1MLc85U0r5XlxrnnNdazxn2VqQNesgjzFda11rO2c8Z/ti+2JWTo8x0DkzRrdadU7xPa81TCksKQshCyVNLbA5llL5XlxrfW87azpnOmdbb1prW2taa1prOWdaa1lrWms5Z1prWmtaazlnWmtaa1prOWdaazlnWms5Z1prOWdaazlnWmtaa1prOWdaazlnOWc5ZzlnOWc5ZzlnOWc5ZzlnOWdaazlnWms5Z1prOWdaazlnAAB7b3tve297b3tve297b3tve297b3tve297b3tve297b3tve2+bc3tve296b3tvWmt7b1pre297b3tvem97b1pre29aa3tvem97b1pre29aa3pvWmt7b3pve296b3tvWmt7b1tre296b3pvWWtZa1lrem9ZazpnGmO3WgshTSmPNTpne2+cc3tvem96b3tvWmv5YjNG6hyOMVRKnXNba3xve297b5xze297b3tve297b3tvWmt7b1pre29aa3tvWmt6b1lrWm9Za3pvWmtbb1prW2v4XtdaKyWvNfleO2M8ZzdKjBRyMQ8lzBxPLTxnXGucb3tve29aa1xrG2PzPSwlzzWdc1trW2t9bztnGmNMKU0trzWecztrfG+bc3lvWWt7b3pre296a3tvW2tbazpnW2saYxpjGmMaY7dWE0aOMUwpCiELIY81l1IcY15vPWscY5hWby0MIblan3N+c11rGmNba1trGWMZY/heWmv4XvhellZUTvE9jjErJQsh6iAsJdE5uFo7Z11vO2tca1trW2taa1trWmtaa1lremtZa1prWmtaa1prWmtaa1prWmtaa1prWmtaa1prOWdaa1prWmtaa1prWmtaazlnWms5Z1prOWdaazlnWms5Z1prOWdaa1prWmtaa1prOWdaazlnWmsAAFpre29aa3tvWmt7b1pre297b3tvWmt7b1pre29aa3tvWmt7b1pre296b3tvWmt6b1pre29aa3tve297b1prWmtaa3tvWmt6b1prem9aa3pvWmt6b1prWmtaa3tvWmtaa1tre29aa3pvWmt6b1lrem9aa1prGWcaZ7dabjELIW4x+F5aa3tvem9Za3pvWmtbaxljl1bqHG0t8T19bzprfG97b3tve297b3tve29aa3tvWmt7b1prWmtaa3tvWmt6b1pvem9Za1prWmtabzprWms6Zzpn+F6NMW0tllI7Zz1rmlbuIO4gLynsHE8tO2d8b5xznHNaa3trXGsbY3dOLSmOMTpnW2t7a1pnWms7ZxJCCyVOLbhaXW9bb5xzWGt5b1hremt6a3pvWWdaazpnW2sZY1trXGtcaxpj+V63VrdWsDWQNW4tTiktKZE1VkodY7paPmv0QW8xkDEcZxtjO2d7b1lr1lp6b3pvWWtZZ3prF2MZY/hi2F51UhJCTS3qHG4tLSkLIY8xVU4bZ1trW2s6a1trOmtaa1prWmtZa1lrWWtaazlnWmtaa1prOWdaazlnWms5Z1prOWdaazlnWms5Z1prOWdaa1prWms5Z1prWmtaazlnOWc5Z1prOWdaazlnWms5Z1prWmtaazlnWms5ZwAAe297b3tve297b3tve297b3tve297b3tve297b3tvWmt6b1pre29aa3tvem97b3pve296b3tve2+bc3tve29aa3tvem97b1pre29aa3tvWmt7b1prem9aa3tvem97b1prfG9ba3tvWmt7b3pvm296b5tvWWtaaxpj2F7QOQshbi3YWjlne296b3pvem97b1prOmfYWiwlLCXQOVtrW2t8b5xze2+cc3tvnHN7b3tvWmt7b1pre29aa3tve297b3pve3N6b1pvWmtab1prWms5a1prW2sYX885bC1TSnxvXGvbWjApzBguJS4lLik8a3xvvXecc3tve2+dcxpjHGdOLW4tl1Z9b3tvOWdaZ3tvt1bqIC0pFEZ+b3xve295b3lvm3N6a1prWWt6b3pre29aa5xvW2s6ZxpjW2tbaztn+WIaY1VKsDVOLY8xby1PLS4p0jk1RlZOLSluLTRGfm99c3pvm3M4Z3lvWWubc5tvOGdaa1prW2sZZzpnGWO3VjNGLCVNLW4xTSlNKY81llJca1xrW2tba1trW29aa1prWmtaa1prWmtaa1prWmtaa1prWmtaa1prOmdaa1prWmtaa1prOWdaa1prWmtaa1prWmt7b1prWms5Z1prOWdaa1prWms5Z1prWmtaa1prWmtaa1prAABaa3tvWmt7b1pre29aa3tvWmt6b1pre29aa3pvWmt7b3tve29aa3tvWmt7b3pve29aa3tvem97b1pre29aa3pvWmt7b1prem9aa1prWmt6b1prem9aa3tvWmt6b1prWmtba1trWmt7b1prem96b3pvOWd6bzpnOmfZXvJBhxCPNXVSt1qcc5xzWWebc1lre29ba/hejjHpHK81GV98a3xvW2t7b3tve29aa3tvWmt7b1pre29aa3tve297b1pre29aa1prWmtaa1lrWmtZa1prWWs5ZzlnMUaMMa41+F58b/peVk6JFOwg7CAuKRtjnnN8b3xve297bzpnOmfYXlVKTy02Sl1vnXMYY7x39146Z24x6xyRNT1rGmecc5pzWWtZa1prOWdZazlnWmtaa3tvWmtaazpnWms6Z1prOWc6ZxpnGmfYWnVO0DluMUwpTSksKSwlCyEMJQshbzFWTl1vnHNZa3pvnHNZZ1pre2tba1trW2taZ1pnOWM5ZxhjOWf4XjNGbTFMKQslCyVtLfJBuFo7Z1xrO2s7Z3xvW2s6ZzlnWmtaa3tvOWc5Zzpne29aa1prOWc6ZzpnWmtaa1trOWdaazlnWms5Z1prWmtaazlnWms5Z1prOWc5ZzlnOWc5Z1prWmtaa1prWms5ZzlnOWcAAHtvem97b3pve296b3tvem97b1pre296b3tvWmt7b3pve29aa3pvWmt7b3pve29aa3tvem97b3tve296b3tvWmt7b1pre29aa3pvWmt7b1prem9aa3tvem97b1prem9aa3xvW2t7b1tre296b3tvem9Za1prW2s6ZxpjE0apGI8xVErYXp13fG96b3pvemtaa3tr+V7xPekcrzGWUnxrfG98b3tve297b3tve297b3tve297b3tve2+cc3tve29aa1trWmtaa1prWmtZa3prWWtaazhnWWtSSgghbC1SSltrO2eXVgshyhgMIQwl+l5db31zfG+cc3tvW2taaxljdlKRMdQ9Xmtca1prm29ZZzpnE0LrHJAx2l59b1trm3NZa3pvWmtaazlnWmtaa3tvWmt7b1prWmtaa1prWmtaazpnWmsZZzpnGWMZY7dWM0avOY4xLCkLJQsh6iDrINE5llJ8b1prm3N7b3tvfG+cb1pne29ba1trWmtaazlnWWs5Z1pr+GLYXpVS8T0sKQslLCVNLTRGG2ddb1xrO2tca1trW29aa1trWmtaazlnWms6Z1trOmdaazpnWmtaa1trWmtaazlnWmtaa1prWmtaa1prWmtaa1prWmtaazlnWms5Z1prOWdaa1prWmtaa1prOWdaawAAem97b1pre296b3tvWmt7b1pre29aa3tvWmt7b1pre29aa1prWWtaa1pre29aa1prWmt7b1pre296b3tvWmt6b1pre29aa1prWmt6b1prem9aa3tvWmt7b1prem9aa1prW2t7b1prWmtaa3tvWmt6b1lnem86ZztrGmNVTskcjzXQPRpjfG97b3pvem9aa1prW2saYzRG6hxtKRJCOmOdc3tve297b3tve297b1pre297b3tve297b3tve29aa1prWmtba1prWmtZa1prWWtZazlnOGc5Z5RShRQqKWwtW2s8a/pibi2IFOsgDCW4WlxrfG98b3tve29aa3tvOme4WrM5kjX7Ylxre296b1prWmeXUi0pLSlVSn1vWmt5a3lremtaazlnWmtaa3tvWmt7b1prWmtaa1prWmt7b1prWms6Z1trW2t8b1trOmf4XthadVIzRvE90T1uMSwpLCmPNRljfG98b1tre2udc3trWmtaa1trWmtaa1prWmtaa1prWmtbazprW2v5XnVOrzVNKQshLCVuLTNG+V59c1xvO2tba1prOmdaazpre297b3tvWmtaazlnOmc6Z1prOmtaazlnWms5Z1prOWdaazlnWms5Z1prOWdaazlnWms5ZzlnOWdaazlnWmtaa1prOWc5ZzlnAAB7b3tve296b3tve297b3pve296b3tvem97b3pve296b3pvWmtaa1pre297b3tvWmt6b1pre296b3tve297b3pve29aa3tvWmt7b1pre29aa3tvem97b1pre29aa3tvWmt8b1tre29aa3tvem96b1lrem9aa1trOmc7Z5dWLCmPNY81Gmd7b1prm3NZa3tvWmt8bxpjt1IKIUwprzU6Y51vfG97b3tve297b3tve297b5xze297b3tve297b3tvWmt7b1prWmtaa3pvWmtaa1lrOWc5Zzpn1loJIegcbC06Z11vO2fzQWcQDCUtJdlaXW+dc1tve296b3tve29ba/leFUZQLblWXG+cc1prem85ZxpjsTUtJbE1G2dba3pvWWt7b1prWmtaa3tve297b3tve29aa3tvWmt7b3tve29aa3tvW2tbazpnOmc6Z1trXGtcaztnGmPZXrhWM0aPNSslllJca55zW2t8b3xve29ba3tvWmt7a1pre29aa3tvW2tbazpnOmc6a31vXGv5XnVO0DluMW0tTCmOMfE92Fp9c1trW2t7bzprOms6Z1trWmt7b1prWms5Z1prWmtaa1prWmtaa1prOWdaa1prWmtaa1prWmtaazlnWms5Z1prOWdaa1prWmtaa1prWmtaazlnWmsAAHpve296b3tvem97b3pve29aa3tvem97b1pre296b3tvWmtaa1pre296b3tvem97b1prWmtaa3tvWmt7b1pre29aa3pvWmt6b1prem9aa3tvWmt7b1pre29aa3pvWmt7b1tre29ba3tvWmt6b1lrWmtaa1prOmc6Zxpj2F5uLbA1jjEaZ1trWmt6b1lremt7b3trOme4VkwpKyWOMRlfnW97b3tve297b3tve297b3tvWmt7b1pre297b3tve297b1prWmtaa1prWWtaa1lrWms5Z3tvGWMZY885pxhuMdhaPGs8a1VKiBTrHC0pl1Jcb3xve29aa3tvWmtbb1trG2M2RlAtE0J9b3trm29ZZzpnGmNWTi0lbi1VSnxvemt6a1prWmtaa1prWmt7b1pre29aa3tvWmt7b1pre297b3tve29aaxhjOmt7b5xzWmsZYxpnXGtbaztnG2caYzNGTSmPMbhaXWt9b3xve29aa3tvWmt6a1premtaa1trWmtba1prfG97b1trOmdbaztrW2v5YpZS8D2NMSolKymuNTJG+F5ba51znXNba1prOmdaa1prWms5Z1prOWdaa1lrWms5Z1prOWdaazlnWms5Z1prOWdaazlnWms5Z1prOWdaazlnWms5Z1prOWdaazlnWms5ZwAAe297b3tve297b3tve297b3tvem97b3tve296b3tve297b3pve297b5xze2+bc3tvem9aa3tvem97b1pre29aa3tvWmt7b1prem9aa3tvem97b3pve296b3tvWmt7b3tvfG9ba3tvWmt7b1prem9Za3tvWmtbazpnO2f5Xo81bjGvOfhefG96b3pvWWt6b3prfG86Z/lejzFMJY4tGV98b3xve2+cc3tve297b3tve297b1pre297b3tve297b3tve29aa3tvWmt6b1lrWmtaa1pre286ZxljllKnFI81NEZcbztnuFbKHMocLSlVThtnnXNba3tvem9aa1trW28aY1dOcC2wNTtne2+cc3trW2s7Z9lakDUtJbA5O2d8b1pre29aa3tvWmt7b3tve29aa3tvWmt7b1pre297b3tve297b1prWmtaa3tve297bzpnOmdba1trGWM7a1tr11rRPS0l80H6Xn5vvnd8b3tre297b3pre29aa1trWmtba1tre297b3tvW2t7b1trW287Z/liOmd8b/heEUJLKUspbC2uNRJCtlb4XltrfG+cc1tre29aa1prWWtaa1lrWmtZa1prWmtaa1prWms5Z1prWmtaazlnWms5Z1prOWdaazlnWmtaa1prWmtaazlnWmtaa1prAAB7b3tvem97b3tve296b3tvem97b1pre296b3tvWmt7b3pve296b3tve2+bc3pve29aa3pvWmt6b1prem9aa1prWmt6b1prWmtaa3pvWmt7b3tve29aa3pvWmt7b1pre297b3tvWmtaa1prWmtZa1lrWmtaa1prW2s6ZxpjbS0KJW0xdE46a3tvWWt6b1lre29ba1xr+l7yPSshjjHYVnxre297b3tve297b3tve297b3tve29aa3tvWmt7b1pre29aa3tvWmtaa1prWmtaa1prW2t7bzpnGmO4WgshTS3yQVxrO2vYWk0tqBhuLTNGGmN8b3tvWmt7b1pre29baztnmFaRMU4tt1Z8b3tvWmt7bztnG2MTQiwlTSm3Vnxve29aa1prWmtaa1pre29aa1prWmtaa1prWmtaa3tvWmtaazlnem9aa1prGGM5Z1prnHN7b3xvWms6ZzpnW2v4XpdWbzGRMRVGPGd+b3xvWmt7b3prem9aa3prWmtba1trW2taa1lrOGd7b5xznHNbazpnW2s6ZxljOmc6Z/deEUKNMQohKyVLKc85lVJba1trOmdaa1prOWdaa1lrWmtZZ1lrWWtaazlnWms5Z1prOWdaazlnWms5Z1prOWdaazlnWms5Z1prOWdaazlnWms5Z1prOWcAAJtze297b3tvm3N7b3tve297b3tve296b3tve297b3pve297b3tve2+cc3tve29aa3tvem97b1pre29aa3pvWmt7b1prem9aa3tvWmt7b3pvm3N7b3tvWmt7b3pve297b5xze297b1pre29aa1prOWd7b1pre29ba1trGWNsLccYTCnPOTlnWmtZa5tzemt7b3xrfGs8ZzRGLCWOMdhWXGucc3tve297b3tve297b3tvnHN7b3tvWmt7b3tve29aa3tvem97b1prem9aa1prWmt8bzpnXG8aY9leTi1NKfJBfW86ZxpjrzXJHI8xVEoaZ51zWmt7b3tve297b3xvO2f7YrE1bi1USp1zWmd7b3trXGsaY5dSLCVNKTRGfW98b3tvWmtaa1pre297b3tvWmt7b1prWmtaa3tvWmt7b1pre29aa1prWmt7b3tvWms6Z3tvWmtba1trW2s5ZzpnO2c2SnAtsTm5Wl1rXGt8b3pve296a3tvWmt7b1trfG9ca3tvem+bc3tve285Z1pre297b1trWms5ZzpnGWcZY/hedVLxPW0xjjGVUltvnXM5Z3tvWmtaa1lrem9Za1lrOWdaa1prWmtaa1prWmtaazlnWms5Z1prOWdaa1prWms5Z1prWmtaazlnWmtaa1prWmtaawAAWmt7b1pre29aa3tvem97b1pre296b3tvWmt7b1pre29aa3tvem97b3tve296b3tvWmt7b1pre29aa3tvem97bzlnWmtaa3tvWmt7b1prem9aa3pvWmt6b1prem9aa3tve298b3tve29aa1prWWtaa1prWms6Z1trOme2Wq41xxgqJVNKWmubc1lrem96b3tvfG98a/lel1IsJY4t8T2db3tve297b3tve297b3tve297b3tvWmtaa1pre29aa3tvWmt6b1prWmtZa1prWmt7bzpnW2s7Zztn+V7ROeoc8T23Vp1zO2cSRukcKyWWUn1ze297b3pve29aa3tvW2tcbxtj80ELIRFCnXNaa1pre286Zxpj2FqwOQslsDU8a55zW2t7b1pre29aa1prWmt7b1pre29aa3tvWmt7b1pre29Za1prWmt6a1lrWmtaa3tvWmtaa1prWmtaa1trOmc7Zxxj9D0uKbA12V5ca3xvWmtaa1prWmt7b1trW2tba3xvWmt6b3pvem9Za1prOWdaa1pre29aa1trOmc6ZzlnOmcZY/li+F4aYzpnW2taa1prWmtaa1lrWmtZZ1lrWWtaa1lrWms5Z1prOWdaazlnWms5Z1prOWdaazlnWms5Z1prOWdaazlnWms5Z1prOWdaazlnAAB7b3tve297b3tvem97b3tve296b3tve297b3pve296b3tvem97b3tve297b3tvem97b3pve296b3tvem97b3tve29aa3tvem97b1pre29aa3tvWmt7b1pre29aa3tve298b3tvfG97b3tvWmt6b1prWmtaa1prWmtbaxljtlYyRrZWOme9d5tzeWtZa3pvWmudb1xrGmOXUk0pbi0SPn1vnG97b5xze2+cc3tvnHN7b5xze297b1pre29aa3tvWmt7b1prem9aa1prWmt7b1prfG9ba1trO2caY9E9CyHQOfhefG86ZxJCLClNLbdWfG98b3tve296b3tvWmt7b1xrPGdWTiwpbS34XltrnXNaa3xvO2caY9E9TSmPMftifnN8b1pre29aa3tvWmt7b1pre29aa3tve297b1pre29aa1prWmt6b1prWmtaa3pvWmt7b1prWmtaa3tvWmtaazpn+166WrI5jzGvNRpjfG97b3tre298b1pre2t7b3xvWmt7b3pvm296b3pvWWtaa1lrem9aa3tvWmt7b1prW2s6aztnGmc6ZzpnW2tba1trWmtba1prWmtZa1prWWt6a1lrWmtaa1prOWdaazlnWmtaa1prOWdaa1prWms5Z1prWmtaazlnWmtaa1prOWdaazlnWmsAAHtvm3N7b3tvem97b3pve29aa3tvWmt7b3pve29aa3tvWmt7b1pre296b3tvWmt7b3pve29aa3pvWmt7b1pre296b3tvWmt6b1prWmtaa1prWmt6b1prem9aa3tvWmt7b1tre29aa3tvWmt7b1pre29aa3tvWms6ZzlnOmcZYzlne2+cc3tvem9Ya3lrWWt7b3xrfGv6XrhWTSluLdE5fW97b3tve297b3tve297b3tve297b1prWmtaa3tvWmtaa1prWmtZa1prWWtaa1lrWmtaa1trOmc7ZxpjEkLqII4x1lp8b1tr2F5UTpZSO2udd3tve29aa3pvWmtaa1prW2s7Z7haTCkrJVNKfG+cb1prW2t8b/le8kFNKU4pVkp+b1tre29aa3tvWmt7b1prWmtaa1prWmt7b1pre29aa1prWWtaa1prWmtZa1prWmtaa1prWmtaa1prWmtaazlnOmsaYxxnuVosJU0p8T07Z3xvW2t7b1tre2tba3tvW2tba1pre29aa3tvWWtaa1lnWWtZa3pvWmt7b1tre29ba1tvW2tbaztnW2s6Z1trOmdaa1prWms5Z1lrWWtaa1lrWmtZa1prOWdaazlnWms5Z1prOWdaazlnWms5Z1prOWdaazlnWms5Z1prOWdaazlnWms5ZwAAnHN7b3tve297b3tve296b3tve297b3tve297b3tvem97b3pve296b3tve297b3pve297b3tvWmt7b3pve296b3tve297b1prem9aa3tvWmt7b1pre29aa3tvem97b3pve297b3tvWmt7b1pre29aa3tve297b1prOWcYYzlnOWd8b1prWmtZa3pveWt6b3tvfG9caztj2VqOLW4t0Tlca5xze297b3tvnHN7b3tve2+cc3tve29aa3tvWmt7b1pre29aa1prWmtaa1lrWmtZa1prOmdbazprW2tUSkwtbTHXWlprW2s6ZxpnGmN9c3tve296b3pvWmt6b1prW2s7a1xr2FpuLWwtU0p7b3tvWmt7a3tvOmczRrA1LSX0PX9zfG97b3tvWmt7b1pre29aa1prWmt7b1pre29aa1prWmtaa1pre29aa1prWmtaa1pre29aa3tvWmt7b1prWms6a1xrPGvZXlRKbS1uMVRKXGudcztnW2t8b5xzOmdaa3tve297b3tvWmt6b1premtZa3pvWmt7b1trfG97b3xvW2t8b1trfG9ba1trOmtba1prW2taa1prWWtaa1prWmtaa1prWmtaa1prWmtaa1prWmtaa1prWmtaa1prWmtaa1prWmtaa1prOWdaa1prWms5Z1prAAB6b3tvem97b1prem9aa3tvWmt7b3pve296b3tvem97b1pre29aa3tvWmt7b1pre296b3tvem97b1prem9aa3tvWmt6b1prem9aa3pvem97b1prem9aa3pvWmt6b1pre297b3tve297b1prWmtaa1trWmtaa1pre29aa1prWmt7b1tvW2taa3pveW95b1lre29ba1xrG2P6Xm4tbi2wNX1re297b3tve297b3tve297b3tve29aa1prWmtaa1prWmtaa1prWmtaa1lrWWtZa1lrWmtaa1prW2tba9heEkZTSjlne285ZzpnGWMaZ1xrW2taa3pvWWt6b1lrWms6a1trO2f5Xo41TCnwPVtrW2t7b1pre286Z5ZS0TlvLbI5n3dca3tvWmt7b1prWmtaa3tvWmtaa1prWmtaa1prWmtaa1prWmtaa1prWmtaa1pre29aa1prWmt7b1prWmtaa1prW2s6Z/heGmcSQm0tbS11TjtnXGt8b3xvWmtaa1prem9ba3tvWmt7b1prem9Za1prWWt6a1pre29ba1trW2tca1prW2tba1trOmdaazprW2s6Z1prOmdaazlnWmtaa1prWmtaa1prWms5Z1prOWdaazlnWmtaa1prOWdaa1prWms5Z1prOWdaazlnWms5Z1prOWcAAHtvem97b3pve296b3tve297b3tvm3N7b3tve297b3tve296b3tvWmt7b1pre297b3tve297b3pve29aa3tvem97b1pre29aa3tvem97b3tve29aa3tvWmt7b1pre297b3tve297b3tve29aa3tvWmt7b1prWmtaa3tvemt7b3tvfG9bb3tvem96b1lrem97b3trXGtcZxtjjzFNKdE5XGucb3tvnHN7b3tve297b3tve29aa3tvWmt7b1pre29aa1trWmt7b1prem9Za1prWWt7b1lrWms5Z1prOmf4Yjpne2+bc1trW298b1trnXNba3tvem96b1lrem9aa1trW2tbaztnM0YKIa81Omecc3tvemtaa1tr11oTQpExsjV/b3xvWmt7b1pre29aa3tvWmtaa1pre29aa3tvWmt7b1prW2taa3tvWmtba1pre29ba1trWmt7b1pre29aa3tvWmt6bxhjnG8ZYxpjrzWPMU0pt1Zca793W2s5Z5tvm3M4Y3tvW2t7b3tve296b3pvWWt6b1pre29ba3tvW2tca1trW2taa1trWmtba1prW2taa1prOmdaa1prWmtaa1trWmtaa1pre29aa1prWmtaa1prWmtaa1prWmtaa1prWmtaa1prWmtaa1prWms5Z1prWmtaawAAWmt7b1pre296b3tvem97b3pve296b3tve297b3pve296b3tvWmt6b1pre29aa3tve297b1pre29aa3pvWmt6b1pre29aa3tvem97b1pre29aa3pvWmt6b1pre29aa3tvem97b1pre29ba3tvWmtba3tvWms5Z1prWmtaazlnWmtaa3tvWmtZa1lreW96a3tvW2t8azxnG2NvLU0psDF9a3xve297b3tve297b1pre29aa1prWmtaa1pre29aa1prWmtba1prem9aa3prWWtZa1lrWWdZazlnGGNaazlnnHMYY1lrOWd8b3xvW2tbazprem96b1lrem9aa1prOmtbaztnW2u3Vq81U0pca3tre29aa1prWmv5XvNBsjlRLR1nXGt7b1pre29aa3tvWmtaa1prWmtaa1prWmtaa1prWmtaa1trWmtba1prW2taa1trWmtba1pre29aa1prWmt6bzhnem8YY5xv2FrZXrA1LSmxObhWO2dbazlne296b1hne297b1pre296b3tvWWtaa1prem9aa3tvW2tbaztrW2taa1prOWc5Z1prW2s6Z1prOmdaazpnOms6Z1trOmtba1prWmtaa1prWmtaazlnWms5Z1prOWdaazlnWms5Z1prWmtaazlnWms5Z1prOWdaa1prAAB7b3pve296b5tze2+cc3tve297b3tve2+bc3tve297b3tvem97b1pre29aa3tvem+bc3tve296b3tvWmt7b1pre297b3tve297b3pvem9aa3tvWmt7b1pre296b3tvem97b1pre29aa3tve297b3tve29aa1prem97b1prWmtaa1tve2+cc3pvem96b3pvOWd7b1xrXGsaY48xTCmwNXxrnHN7b3tve297b3tve29aa3tvWmtaa1pre297b3tvWmt7b1tre29aa3tvWmt6a1lrWWdZZ5xzWmtaa1prOmdaa5xze29aa1trW2s6Z3xve297b3pvem96a3tvWmtba1prW2saY1trtlZca3xvWmt6a5xzWmt8bxljM0bSOZAx+l58b3tve29aa3tvWmt7b1pre29aa3tvWmt7b1pre29aa1trW2t7b1prW2taa1trWmtba1pre29ba3tvWmt7b1premtZZ1prGGN8bxpjl1KQNS0psTm4VlxvnXM5Z1lrmm97b1tve29aa3tve296b1lrem9aa3tvW2t8b1trfG9ba3tvWms5ZzlnWmtaa1prOWdaazpnWms6Z1trWmtba1prW2taa3tvWmt7b1prWms5Z1prOWdaazlnWms5Z1prOWdaa1prWmtaa1prWmtaa1prWmsAAHpve296b3tvem97b3tve29aa3tve2+bc3pve296b3tvWmt7b1pre29aa3tve297b1pre297b3tve297b3tve297b3tve297b3tve297b3tvWmtaa1prWmtaa3tvWmtaa3tve297b3tvWmt7b3tve29aa3tve297b1prWmtaa3tvWmt7b1prem9aa1prWmt7b1prW2tbaxljzznoHK41OWd7b3tve297b3tve29aa3tvWmt7b1pre29aa3tvWmt7b1pre29aa3tvWmtaazlnWWs4Z1prWmtaazlne297b1prWmtaa1prW2taa1trWmtaa1prem9aa3tvWmt7b1tre286ZzpnGWdaa1trfG9ba1prWmucczlnOmfXWo4xTCn5XlprWmtaa3tvWmtaa1prWms5Z1prWmt7b1pre29aa1prWmtaa1pre29aa3tvWmt7b1pre297b3tvWmtaa1pre285Z1prWmtaazpnO2v5XrlayxwuKU4tG2Ndb1trWmt7b1pre29aa3tvWmtaa1prWmtZa1prWmtaa1prWmtaa1trWmtaa1prWmtaa1prWmtaazlnWms6Z1prOmdaa1prWmtaa1prWmtaazlnWmtaa1prWmtaazlnWms5Z1prWmtaazlnWmtaa1prOWdaa1prWms5ZwAAe297b3tve297b3tvm3N7b3tve2+cc3tvm3N7b3tve297b3tve297b3tve297b3tve297b3tve297b3tve297b3tve297b3tve297b5xze297b1pre29aa3tve297b3tvnHN7b3tve297b3tve297b1prWmucc3tvnHN7b3tve297b1pre29aa3tvWmt7b3tve29aa1prGGO1VlJK1lp7b3tve297b3tve297b3tvWmt7b1pre297b3tvWmt7b3tve29aa3tve297b1prWmtaa1prWmt7b1prWmt7b5xzWmt7b1pre29aa3tvWmt7b1pre29aa3tvWmt7b1pre29aa1prOWdaa1pre297b3tvWmt7b5xze29aa1prc05zTntve29aa3tvWmt7b1pre29aa1prWmt7b3tve29aa3tvWmtaa1pre29aa3tvWmt7b1prWmtaa3tvWmt7b1prWmtaa1prWmtaa1prW2tbaztn2V7SPesgsTnSPV1rfW98b1pre29aa3tvWmt7b1pre29aa1prWmt7b1prWmtaa3tvWmtaa1prWmtaa1prWmtaa1prWmtaa1prWmtaa1prWmtaa1prWmtaa1prWmtaa3tvWmtaa1prWmtaa1prWmtaa1prWmtaa1prWmtaa1prWmtaa1prAAB6b3tvem97b3tve297b3tve2+bc3tvm3N7b3tvem97b3tve29aa3tvWmt7b1pre29aa3tvWmt7b3tve297b3tvWmt7b1pre297b3tve297b3tve29aa3tvWmt7b1pre297b3tve297b1pre29aa3tvOWd7b3tvnHOcc5xzWmt7b1pre29aa3tvWmtaa1pre297b3tvOWc5ZxhjWmt7b3tve297b1pre297b3tvWmt7b1pre29aa3tvWmt7b1pre29aa3tvWmt7b1prWms5Z1prWmt7b1prWmtaa3tve29aa1prWmtaa1prWmtaa1prWmtaa3tvWmtaa1prWmtaa1prWmtaazlnWmtaa1prWmt7bzlne29aa1prWms5ZzlnnHNaa3tvWmtaa1prWmtaa3tvWmtaa1pre29aa3tvWmtaa1prWmtaa1prWmt7b1prWmtaa1prWmtaa1prWms5Z1prOWdaa1lrWmtaa3tvO2cbZ5hW0j1OLW8tNEqdc1tre29aa3tvWmtaa1pre29aa1prWmtaa1prWmtaa1prWmtaa1prWmtaa1prWmtaa1prWms5Z1prOWdaazlnWms5Z1prWmtaazlnWmtaa1prWmtaa1prWms5Z1prOWdaazlnWmtaa1prOWdaa1prWms5Z1prWmsAAHtve297b3tvm3N7b5tze2+bc3tvnHN7b5tze297b3tve297b3tvWmt7b3tve297b3tve297b3tve297b3tve297b3tve297b3tve2+cc3tve297b3tvWmtaa1pre297b5xze297b3tve29aa3tvWmtaa3tvnHOcc5xze297b1pre297b3tvWmt7b1pre297b3tve2+cc1prWmtaa3tvWmt7b3tve297b3tve297b1pre297b3tvWmt7b3tve29aa3tve297b1pre29aa1prWmtaa3tve29aa3tve297b1pre29aa3tvWmt7b1pre29aa3tve297b1pre29aa1prWmt7b1pre29aa1prWmt7b3tve29aa3tvWmtaa1pre29aa3tve297b1prWmtaa3tve297b1pre29aa3tvWmt7b1pre29aa3tvWmt7b1pre29aa1prWmt7b1pre29aa1prWmtaa1prWmtZa3tvW2tbaztnG2f6Xm8xbi2PNbdWnHN7b3tvWmt7b1pre29aa3tvWmt7b1prWmtaa3tvWmtaa1pre29aa1prWmtaa1prWmtaa1prWmtaa1prWmtaa1prWmtaa1prWmtaa1prWmtaa1prWmtaa1prOWdaa1prWms5Z1prWmtaa1prWmtaa1prWmtaawAAem97b3pve296b3tve297b1pre297b3tvWmt7b1pre29aa3tvWmt7b1pre297b3tvWmt7b1pre29aa3tve297b1pre29aa3tve297b3tve29aa3tvWmt7b1prWmtaa3tve297b3tve29aa1prWmt7b3tve297b5xze297b1pre29aa3tve297b1prWmtaa3tvWmt7b3tve29aa1pre2+cc1pre29aa3tve297b1pre29aa3tvWmt7b1pre29aa3tvWmt7b1pre29aa1prWmtaa1prWmtaa1prWmtaa1prWmtaa1prWmt7b1prWmtaa3tve297b1pre29aa1prWmtaa1pre29aa1prOWdaa1pre297b1prWmt7bzlnWmtaa1prWmt7b1prWmtaa1prWmt7b1prWmtaa3tvWmtaa1prWmtaa1prWmt7b1prWmtaa1prWmt7b1pre29aa1prWmt7b1prWmtZa1prWWtaazprW2sbZxtnVUpuMdE9U0qcc1lrWmtaa1prWmtaa1prWmt7b1prWmtaa1prWmtaa1prWmtaa1prWmtaa1prWmtaa1prOWdaazlnWms5Z1prOWdaazlnWms5Z1prOWdaa1prWms5Z1prOWdaazlnWms5Z1prOWdaa1prWms5Z1prWmtaazlnAAB7b3tve297b3tve2+bc3tve296b5tze297b1pre296b3tve297b3tve297b3tve297b1pre297b3tve297b3tve297b3tve297b3tve297b3tve2+cc3tve29aa3tve2+cc3tve297b3tvWmt7b1prnHN7b5xze297b1pre297b3tve297b3tve29aa3tve297b1prWmt7b5xze2+cc5xze29aa3tve297b3tve29aa3tvWmt7b3tve29aa3tve297b1pre29aa1prWmt7b1pre29aa3tvWmtaa1prWmtaa1prWmt7b3tvWmtaa3tve297b3tve297b3tvWmt7b1pre297b3tvWmtaa1pre297b3tvWmt7b3tve29aa3tve297b1pre29aa3tvWmt7b3tve29aa3tvWmt7b1pre29aa3tvWmt7b1pre29aa3tvWmt7b1pre297b3tvWmt7b1prem9Za1prWWt6a1lnWmtba1xr+mIbZ1RKllI6Z1lrWmtaa1pre29aa3tvWmt7b1prWmtaa3tvWmtaa1pre29aa3tvWmt7b1prWmtaa1prWmtaazlnWmtaa1prWmtaa1prWms5Z1prWmtaa1prWmtaa1prWmtaa1prWmtaa1prWmtaa1prWmtaa1prWmtaa1prWmsAAHpve296b3tve297b3tve29aa3tve297b3pve29aa3tve297b1pre29aa3tvWmt7b1pre29aa3tvWmt7b1pre297b3tvWmt7b1pre29aa3tvWmt7b3tvnHN7b3tvWmt7b3tve29aa3tvWmt7b1pre297b3tve297b1pre29aa3tvWmt7b1pre29aa3tvWmt7b3tve29aa1pre2+cc1prWmtaa3tvWmt7b3tve29aa3tvWmt7b1pre29aa3tvWmt7b1pre29aa1prWmtaa1prWmtaa3tvWmtaa1prWms5Z1prWmt7b3tve29aa1prWmt7b1pre29aa3tvWmt7b1pre29aa3tvWmt7b1pre29aa3tvOWdaa1prWmtaa3tvWmt7b1pre29aa3tvWmt7b1pre29aa3tvWmtaa1prWmtaa1prWmt7b1pre29aa1prWmtaa1pre29aa3tvWmtaa1prWmtaa1lrWWd5b1lrWWs5Z1tvXGtbaxpnW2v4Xt57OGN6b1lrWmtaa1prWmtaa1prWmtaa1prWmtaa1prWmtaa1prWmtaa1prWmtaa1prOWdaazlnWms5Z1prOWdaazlnWms5Z1prOWdaazlnWms5Z1prWmtaa1prWmtaa1prWmtaa1prWms5Z1prWmtaazlnWms5ZwAAe297b3tve2+bc3tvm3N7b3tve2+cc3tvm3N7b3tve297b3tve29aa3tve297b3tve29aa3tvWmt7b3tve297b5xze297b3tve297b3tvWmtaa3tvnHN7b3tvWmtaa1pre297b3tvWmt7b1pre29aa3tve297b3tve297b3tvWmt7b3tve297b3tvWmt7b3tvWmt7b5xze297b5xznHNaa3tvWmt7b1pre297b3tvWmt7b3tve29aa3tve297b1pre29aa3tvWmtaa1pre29aa3tve297b1pre29aa1prWmtaa3tve297b3tvWmt7b3tve29aa3tvWmt7b1pre29aa3tve297b3tve297b3tvWmtaa5xze285Z1pre29aazlne29aa3tve297b3tve29aa3tvWmt7b1pre29aa3tvWmt7b1pre29aa3tvWmtaa1prWmtaa3tvWmt7b1prWmtaa1prWWtZa3lvem9Za3pre29ba1xvO2s6Z3xv916bc1lrWmtaa1prWmt7b1pre29aa3tvWmtaa1pre29aa1prWmt7b1pre29aa1prWmtaazlnWms5Z1prOWdaa1prWms5Z1prWmtaazlnWmtaa1prWmtaa1pre29aa3tvWmtaa1prWmtaa1prWmtaa1prWmtaa1prAAB7b3tve297b3pve297b3tve297b3tve296b3tve2+bc1pre29aa3tvWmt7b1pre297b3tvWmt7b3tve29aa1prWmt7b3tve29aa3tvWmt7b1pre29aa3tvWmt7b1pre29aa1prWmtaa1pre297b3tve297b3tve297b3tvWmt7b1pre29aa3tvWmt7b1pre29aa3tvWmt7b1pre297b3tvWmt7b1pre29aa3tvWmt7b1prWmtaa3tvWmt7b1pre29aa3tvWmt7b1prWmtaa3tvWmtaa1pre29aa1prWmtaa1pre297b3tvWmtaa1pre29aa3tvWmt7b1pre29aa3tvWmtaa1prWmtaa1prWmt7b1prWmtaa1prOWdaa1pre29aa3tve297b1pre29aa1prWmt7b1prWmtaa1prWmt7b1pre29aa3tvWmtaa1prWmtaa1prWmtaa1prWmtaa1prOWdaa1lreWtYa1lrWWtaa1prW2s7Z1trWmtaa1lrem9aa3tvWmtaazlnWmtaa1prWmtaa1prWmtaa1prWmtaa1prWmtaa1prOWdaazlnWms5ZzlnOWdaazlnWmtaa1prOWdaazlnOWc5Z1prWmtaa1prWmtaa1prWmtaa1prWms5Z1prWmtaazlnWmtaa1prOWcAAJtze2+bc3tve297b5xze2+bc3tvm3N7b3tve2+bc3tve297b3tve297b3tve297b3tve297b1pre29aa3tvWmt7b3tve297b3tve297b1pre297b3tve297b1pre29aa3tvWmtaa1pre297b3tve297b3tve297b3tve297b3tve297b3tve297b3tve297b3tvWmt7b3tve297b3tve297b1pre297b3tve297b1pre29aa3tvWmt7b1pre297b3tvWmt7b1pre29aa3tvWmt7b1pre29aa3tvWmt7b1pre297b5xze29aa1pre297b3tvWmt7b1pre29aa3tvWmtaa1pre29aa3tvWmt7b1prWmtaa3tvWmtaa1pre29aa3tve297b1prWmtaa3tvWmt7b1pre29aa1prWmt7b1pre29aa3tvWmt7b1pre29aa3tvWmt7b1prWmtaa1prWmtaa1prem9Za3lrWWt6a1lre29ba1trWmtba1prem9Za3pvWmt7b1prWmtaa1prWmt7b1pre29aa3tvWmt7b1prWmtaa1prWmtaa1prWmtaa1prOWdaa1prWmtaa1prWmtaa1prWms5Z1prOWdaa1prWmtaa1prWmtaa1prWmtaa1prWmtaa1prWmtaa1prWmtaawAAem97b3pve297b3tve2+bc3tve297b3tve297b3tve29aa3tvWmt7b1pre29aa3tve297b1pre29aa3tvWmt7b1pre29aa3tve297b1pre297b3tve297b3tve29aa3tvWmt7b1prWmtaa3tvWmt7b3tve297b3tve297b1pre297b3tvWmt7b1pre29aa1prWmt7b1pre297b3tvWmt7b1pre29aa3tve297b1pre29aa3tvWmt7b1pre29aa3tvWmt7b1prWmtaa3tvWmt7b3tve29aa1prWmtaa1prWmtaa3tvWmt7b1prWmtaa3tvWmtaa1prWmtaa1prWmtaa1prWmtaa1prWmt7b1prWmtaa1prWmtaa1prWmtaa3tve297b1prWmtaa3tvWmtaa1prWmtaa1prWmtaa1prWmtaa3tvWmtaa1prWmtaa1prWmt7b1prWmtaa1prWmtaa1prWmtZa1lrWWt5a1hrWmtaa1trOmdaa1premtZa1lrWWtaa1prWmtaa1prWmtaa1pre29aa1prWmt7b1prWmtaa1prOWdaazlnWms5Z1prOWdaazlnWmtaa1prOWdaazlnWms5ZzlnOWdaazlnWmtaa1prOWdaa1prWms5Z1prWmtaazlnWmtaa1prOWdaazlnAAB7b3tve296b5tze2+cc3tvm3N7b5tze2+cc3tvm3N7b3tve297b3tve297b3tve2+cc3tve297b5xze2+cc3tve297b3tve297b3tve29aa3tve297b3tve297b3tve297b3tve29aa3tve297b1pre297b3tve297b3tve29aa3tve297b3tve29aa3tvWmt7b1pre297b3tve297b1pre297b3tve297b3tve297b3tvWmt7b1pre29aa3tvWmt7b1pre29aa3tvWmt7b3tvnHN7b3tvWmt7b1pre29aa1prWmt7b1pre29aa3tvWmt7b1prWmtaa3tvWmtaa1pre29aa3tvWmt7b1pre29aa1prWmtaa1prWmtaa3tve297b3tve29aa3tve297bzlnWmtaa1prWmt7b1prWmtaa3tvWmt7b1pre29aa3tvWmt7b1pre29aa3tvWmtaa1prW2taa1prWWt5b1lreWtZa3tvW2tba1pre29aa1lrWWtaa1prWmtaa3tvWmtaa1pre29aa3tvWmt7b1pre29aa3tvWmtaa1prWmtaa1prWmtaa1prWmtaa1prWmtaa1prWmtaa1prOWdaa1prWmtaa1prWmtaa1prWmtaa1prWmtaa1prWmtaa1prWmtaa1prWmsAAFpre29aa3tvem97b3tvnHN6b3tve2+bc3tve297b3tvWmt7b1pre29aa3tvWmt7b1pre297b5xznHOcc3tve29aa3tvWmt7b1pre29aa3tve297b3tve297b3tvWmt7b1pre29aa3tvWmt7b1pre29aa3tvWmt7b1pre29aa3tvWmt7b3tve29aa1prWmtaa1prWmtaa3tvWmt7b1pre29aa3tve297b1pre29aa3tvWmt7b1pre29aa3tvWmt7b1prWmtaa1prWmt7b1pre297b3tvWmtaa1prWmtaa1prWmtaa1pre29aa1prWmt7b1prWmtaa1prWmtaa1prWmtaa1prWmt7b1prWmtaa1prOWdaa1prWmtaa1prWmt7b1pre29aa1prWmt7b1prOWc5Z1prWmtaa1prWmtaa1prWmtaa1prWmtaa1prWmt7b1pre29aa3tvWmtaa1prW2taa1trWmt6a1lreWtZa1prWmtba1prW2taa1prWWtZazlnWmtaa1prWmtaa1prWmtaa1prWmtaa1prWmtaa1prWmtaa1prWms5Z1prOWdaazlnWmtaa1prWmtaa1prWms5Z1prOWdaazlnWmtaa1prOWdaa1prWms5Z1prWmtaazlnWmtaa1prOWdaa1prWms5ZwAAe296b3tve297b3tvm3N7b3tve2+cc3tvnHN7b5tze297b3tve297b3tve297b3tve29aa3tve2+cc3tve29aa3tvWmt7b3tve297b3tve297b3tve297b3tve297b3tve297b3tve297b1pre297b3tvWmt7b3tve297b3tve297b3tve297b3tvWmt7b1pre29aa3tve297b1pre297b3tvWmt7b3tve29aa3tvWmt7b1pre29aa3tvWmt7b1pre29aa3tvWmt7b1pre297b3tvWmt7b1prWmtaa3tvWmt7b1pre29aa3tvWmt7b1pre29aa3tvWmt7b1pre29aa3tvWmt7b1pre29aa3tvWmtaa1pre29aa1prWmt7b3tve29aa3tvWmt7b3tvWmsYY1prWmt7b1pre29aa3tvWmt7b1pre29aa3tvWmt7b1pre29aa3tvWmt7b1pre29aa1trW2t7b1prem9Za3pvWWt7b1prW2tba3tvWmt6a1lrWmtaa1prWmtaa1prWmtaa1prWmt7b1prWmtaa3tvWmtaa1prWmtaa1prWmtaa1prWmtaa1prWmtaa1prWmtaa1prOWdaa1prWmtaa1prWmtaa1prWmtaa1prWmtaa1prWmtaa1prWmtaa1prWmtaa1prAAB6b3tvWmt7b3pve296b3tvem97b3tvm3N7b5tzem97b1pre29aa3tvWmt7b1pre29aa3tvWmt7b3tve297b3tvWmt7b1pre297b3tvWmt7b1pre29aa3tvWmt7b1prWmtaa3tve297b1pre29aa3tvWmt7b1pre29aa3tvWmt7b1pre29aa3tvWmt7b1prWmtaa3tvWmt7b1pre29aa3tvWmt7b1pre29aa3tvWmtaa1pre29aa3tvWmt7b1prWmtaa3tvWmtaa1pre29aa3tvWmtaazlnWmtaa1prWmtaa1pre29aa1prWmtaa1prWmtaa3tvWmtaa1pre29aa1prWmt7b1prWmtaa1prWmtaa1prWmtaa1prWmtaa1pre29aa3tvWmtaa1pre285ZxhjWmtaa1pre297b3tvWmt7b1prWmtaa1prWmt7b1pre29aa3tvWmt7b1pre29aa1trW2tca1prWmtZa3lvWWtaa1prW2s6a1trWmt6b1lrWWs5Z1prOWdaazlnWmtaa1prWmtaa1prWmtaa1prWmtaa1prWms5Z1prOWdaazlnWmtaa1prWmtaa1prWms5Z1prOWdaazlnWms5Z1prOWdaazlnWms5Z1prOWdaazlnWmtaa1prOWdaa1prWms5Z1prOWcAAJtze297b3pve297b3tve297b3tvm3N7b5xze297b3pve297b3tve297b3tve297b5xze297b1pre297b5xze297b1pre297b3tve297b3tve297b3tve297b1pre29aa3tve2+cc3tve29aa3tvWmt7b1pre297b3tve297b3tve29aa3tvWmt7b3tve29aa3tvWmt7b1pre297b3tvWmt7b1pre29aa3tvWmt7b1pre297b3tvWmt7b1pre29aa3tve297b1pre29aa3tvWmtaa1prWmtaa3tvWmtaa1pre29aa3tvWmt7b1prWms5Z3tvWmt7b1pre29aa3tvWmt7b1pre29aa3tvWmtaa1pre29aa3tvWmtaa1prWmtaa3tvWmtaazlne297b1prGGNaa1pre297b5xze297b1pre29aa3tvWmt7b1pre29aa3tve297b1pre29aa3tvWmtbb1tre29aa3pvWWt6b1lrWmtaa1trW2t7b3pvem9Za1prWmtaazlnWmtaa1prWmtaa1prWmtaa1prWmtaa1pre29aa1prWmtaa1prWmtaa1prWmtaa1pre29aa1prWmtaazlnWmtaa1prWmtaa1prWmtaa1prWmtaa1prWmtaa1prWmtaa1prWmtaa1prWmtaawAAe297b3tve29aa3tve297b3tve297b3tve297b3tvnHNaa3tvWmt7b1pre29aa3tvWmt7b3tve297b3tve297b1pre297b3tve297b3tve29aa3tvWmt7b1prWmtaa1prWmt7b3tve297b3tvWmt7b3tve29aa3tvWmt7b3tve29aa1pre297b3tve29aa1prWmtaa1pre29aa3tvWmt7b1prWmtaa1prWmtaa1prWmtaa1prWmt7b1pre29aa3tvWmtaa1pre29aa3tvWmt7bzlnWmtaa3tvWmtaa1prWmtaa1prWmt7b1prWmtaa1prWmtaa1prWmtaa1prWmtaa1prWmtaa3tvWmtaa1prWmtaa1prWmtaa1prWmtaa3tvWmtaa1prWmtaa1prWmt7b1pre29aa3tvWmtaa1prWmtaa1prWmt7b1pre29aa3tvWmt7b1pre29aa1prWmtaa1prW2tba3tvWmt6b1prWmtaa1prOWdaa1pre29aa1prWmtaa1prWmtaa1prWmtaa1prWmtaa1prOWdaazlnWmtaa1prWmtaa1prWmtaa1prOWdaa1pre285Z1prOWdaazlnWms5Z1prOWc5ZzlnWms5Z1prOWdaazlnWms5Z1prWmtaa1prWms5Z1prWmtaa1prAAB7b3tve297b3tve297b3tve297b5xze2+cc3tvnHN7b3tvWmt7b1pre29aa3tve297b3tve297b3tve297b3tve297b3tve297b3tve297b3tve297b3tve29aa3tvWmt7b3tve297b3tve297b1pre297b3tve297b3tve297b1prWmt7b3tve297b3tvWmt7b1pre297b3tve297b3tve29aa3tvWmt7b1pre29aa3tvWmt7b1pre29aa3tve297b1pre297b3tvWmt7b1prWmtaa3tvWmtaa1pre29aa3tvWmt7b1pre29aa3tvWmt7b1pre29aa1prWmtaa1pre29aa3tvWmt7b1pre29aa3tvWmt7b1prWmtaa3tvWmt7b1pre29aa1prWmt7b1pre297b3tve297b1pre29aa1prWmt7b1pre29aa3tve297b1pre29aa3tvWmt7b1pre29aa3tve297b1pre29aa1prWmtaa1pre29aa3tvWmtaa1prWmtaa1prWmtaa1prWmtaa1prWmtaa1prWmtaa1prWmtaa1prWmtaa1prWmtaa1pre29aa1prOWdaa1prWmtaa1prOWdaazlnWms5Z1prWmtaa1prWmtaa1prWmtaa1prWmtaa1prWmtaa1prWmsAAFpre29aa3tve297b3tve297b3tve297b3tve297b3tve297b1pre29aa3tvWmt7b1pre29aa3tvWmt7b1pre297b3tvWmt7b3tve29aa3tvWmt7b1pre297b3tvWmt7b1pre29aa3tvWmt7b1pre297b3tvWmt7b1pre29aa3tvWmt7b1pre297b3tvWmtaa1pre29aa3tvWmt7b1pre29aa1prWmtaa1prWmtaa1prWmt7b1pre29aa3tvWmt7b1pre29aa3tvWmt7b1prWmtaa1prWmtaa1prWmtaa1prWmtaa1prWmtaa3tvWmtaa1pre29aa1prWmtaa1prWmtaa1prWmtaa1pre29aa3tvWmtaa1prWmtaa1prWmtaa1prWmtaa1prWmtaa1prWmtaa3tvWmt7b1pre29aa3tvWmtaa1prWmtaa3tvWmt7b1pre29aa1prWmtaa1prWmtaa3tvWmt7b1pre29aa1prWmtaazlnWmtaa3tvWmtaa1prWmtaa1prWmtaa1prWmtaa1prOWdaazlnWms5Z1prWmtaa1prWmtaa1prWmtaazlnWmtaa1prWmtaazlnWmtaa1prOWdaazlnWms5Z1prOWdaazlnWms5Z1prOWdaa1prWms5Z1prWmtaa1prWmtaawAAe297b3tve297b3tvnHN7b3tve297b3tvnHN7b5xze297b3tve29aa3tve297b3tve29aa3tvWmt7b3tve297b3tve297b3tve297b3tve297b3tve297b5xze297b3tve29aa3tvWmt7b3tve29aa3tve297b3tve297b3tve297b1pre297b3tve297b1pre29aa3tvWmt7b3tve29aa3tvWmt7b1pre29aa3tvWmt7b1pre29aa3tvWmt7b1pre29aa3tvWmt7b1pre29aa3tvWmt7b1pre29aa1prWmt7b1pre29aa3tvWmt7b1pre29aa3tvWmt7b1prWmtaa1prWmtaa1pre29aa3tvWmt7b1prWmtaa3tvWmt7b1pre29aa1prWmt7b1pre29aa3tvWmt7b1pre297b3tve297b1pre29aa3tvWmt7b1pre29aa3tvWmt7b1pre29aa3tvWmt7b1pre29aa1prWmt7b1pre29aa3tvWmtaa1prWmtaa1prWmtaa1prWmtaa3tvWmtaa1prWmtaa1prWmtaa1prWmtaa1prWmtaa1prWmtaa1prWmtaa1prWmtaa1prWmtaazlnWmtaa1prWmtaa1prWmtaa1prWmtaa1prWmtaa1prWmtaa1prWmtaa1prAABaa3tvWmt7b3tve297b5xzWmt7b3tve297b3tve297b3tve297b3tvWmt7b1pre29aa3tvWmt7b1pre29aa3tve297b3tve29aa3tvWmt7b1pre29aa3tve2+cc3tve29aa1prWmt7b1pre29aa3tvWmt7b1pre29aa3tvWmt7b1pre29aa3tvWmt7b1pre29aa1prWmt7b1pre29aa1prWmtaa1prWmtaa1prWmtaa1pre29aa3tvWmt7b1pre29aa1prWmt7b1pre29aa3tvWmt7b1pre29aa1prWmt7b1prWmtaa3tvWmtaa1prWmtaa3tvWmt7b1prWmtaa1prWmtaa1prWmtaa1prWmt7b1prWmtaa1prWmtaa1prWmtaa1prWmtaa1prWmtaa3tvOWdaa1prWmtaa3tvWmt7b1prWmtaa1prWmtaa1pre29aa1prWmtaa1prWmtaa3tvWmtaa1pre29aa1prWmtaa1prWmtaa1prWmtaa1prWmtaa1prWmtaa1prWmtaa1prWmtaa1prWms5Z1prOWdaa1prWmtaa1prWmtaa1prWms5Z1prOWdaazlnWmtaa1prOWdaazlnWms5Z1prOWdaazlnWms5Z1prOWdaazlnWms5Z1prOWdaazlnWmtaa1prOWcAAHtve297b3tve297b5xze297b3tve297b3tve2+cc3tvnHN7b3tve297b1pre297b3tvWmt7b3tve297b3tve297b3tve297b3tvWmt7b1pre29aa3tve2+cc3tvnHN7b3tvWmt7b1pre29aa3tve297b3tve297b3tve297b3tve29aa3tve297b1pre29aa3tvWmt7b1pre29aa3tvWmtaa1pre29aa1prWmt7b1pre29aa3tvWmt7b1pre29aa3tvWmt7b3tve29aa3tvWmt7b3tve29aa1prWmt7b3tve29aa3tvWmt7b1pre29aa3tvWmt7b1pre29aa3tvWmt7b1pre29aa3tvWmt7b1pre29aa1prWmtaa1pre29aa1prWmtaa1prWmtaa3tvWmtaa1prWmtaa3tvWmt7b1pre29aa3tvWmt7b1pre29aa3tvWmt7b1pre29aa3tvWmt7b1pre29aa1prWmt7b1pre29aa3tvWmtaa1prWmtaa1prWmtaa1prWmtaa1prWmtaa1prWmtaa1prWmtaa1prWmtaa1prWmtaa1prWmtaa1prWmtaazlnWmtaa1prWmtaa1prWmtaa1prWmtaa1prWmtaa1prWmtaa1prWmtaa1prWmtaa1prWmtaa1prWmtaawAAe297b1pre297b3tve297b3tve29aa3tve297b3tve297b3tve297b1pre29aa3tvWmt7b1pre297b3tve297b3tve29aa3tvWmt7b1prWmtaa1prWmt7b3tvnHN7b3tve297b1pre29aa3tvWmt7b1pre29aa3tve297b1pre29aa3tvWmt7b1pre29aa3tvWmt7b1pre29aa1prWmtaa1prWmtaa1prWmtaa1prWmtaa3tvWmt7b1pre29aa1prWmt7b1pre29aa3tvWmtaa3tve29aa1prWmtaa1pre29aa1prWmtaa1pre29aa1prWmt7b1pre29aa3tvWmtaa1pre29aa1prWmtaa1prWmtaa1prWmtaa1prWmtaa1prWmtaazlnWmtaa1prWmt7b1prWmtaa1prWmt7b1pre29aa1prWmtaa1prWmtaa1prWmtaa1prWmtaa3tvWmt7b1pre29aa1prWmtaa1prWmtaa1prWmtaa1prWmtaa1prWmtaa1prWmtaa1prWmtaa1prWms5Z1prOWdaazlnWmtaa1prWmtaa1prWmtaa1prWmtaazlnOWdaa1prWmtaazlnWms5Z1prOWdaa1prWms5Z1prOWdaazlnWms5Z1prWmtaazlnWms5Z1prOWdaazlnAAB7b3tve297b3tve297b3tve297b3tve297b3tve297b5xze297b3tve297b3tve297b3tve297b3tve297b3tve297b3tve297b1pre29aa3tvWmtaa1prnHOcc5xze2+cc3tve29aa3tve297b3tve297b3tve297b3tve29aa3tve297b1pre297b3tvWmt7b1pre29aa3tvWmtaa1prWmtaa1prWmtaa1prWmtaa3tve297b1pre29aa3tvWmt7b1pre29aa3tvWmt7b1pre297b3tvWmtaa1pre29aa3tvWmt7b1pre29aa3tvWmt7b3tve29aa3tvWmt7b1pre297b3tvWmt7b1prWmtaa3tvWmtaa1prWmtaa1prWmtaa1prWmtaa1prWmt7b1pre29aa3tvWmt7b1pre29aa3tvWmt7b1pre29aa1prWmt7b1pre29aa3tvWmt7b1pre29aa3tvWmtaa1prWmtaa1prWmt7b1prWmtaa1prWmtaa1prWmtaa1prWmtaa1pre29aa1prWmtaa1prWmtaa1prWmtaa1prWmtaa1prWmt7b1prWms5Z1prWmt7b1prWmtaa1prOWdaa1prWmtaa1prWmtaa1prWmtaa1prWmtaa1prWms5Z1prOWdaazlnWmsAAFpre297b3tve297b3tve29aa3tvWmt7b1pre297b3tve297b3tve297b3tvWmt7b3tve297b3tve2+cc3tve297b3tve297b1pre29aa3tve297b1pre297b5xze297b3tve297b3tvWmt7b1pre29aa3tve297b3tve297b3tvWmt7b1pre29aa3tve297b1pre29aa3tvWmtaa1pre29aa1prOWd7b1prWmtaa3tvWmtaa1prWmtaa1prWmt7b1pre297b3tvWmt7b1pre29aa3tvWmt7b1pre29aa3tvWmt7b1pre29aa1prWmt7b1pre29aa3tvWmtaa1pre29aa3tvWmt7b1prWmtaa3tvWmtaa1prWmtaa1prWmtaa1prWmtaa1prWmtaa1pre29aa1prWmtaa1prWmtaa1prWmtaa1prWmtaa1prWmtaa1prWmtaa1prOWdaa1prWmtaa1prOWdaazlnWmtaa3tvOWdaa1prWmtaa1prWmtaa1prWmtaa1prWmtaa1prWmtaa1prOWdaazlnWmtaa1prWmtaazlnWms5Z1prOWdaazlnWms5Z1prOWdaa1prWms5Z1prWmtaazlnWmtaa1prOWdaazlnWms5Z1prOWdaazlnWms5Z1prOWdaazlnWms5ZwAAe297b5xze2+cc3tvnHN7b3tve297b3tve297b5xze297b3tvnHN7b3tve297b1pre297b3tve2+cc3tvnHN7b3tve297b3tve29aa3tve297b3tve297b5xze2+cc3tvnHN7b5xze297b3tve297b3tvWmt7b3tve297b3tve297b3tve297b3tve297b3tve29aa3tvWmtaa1pre29aa3tvWmtaa1pre29aa1pre29aa1pre29aa3tvWmt7b1pre29aa3tve297b3tve297b3tvWmt7b1pre29aa3tvWmt7b1pre29aa3tvWmt7b1pre29aa3tvWmt7b1pre29aa3tvWmt7b1pre29aa3tvWmtaa1pre29aa1prWmt7b1prWmtaa1prWmtaa1pre29aa1prWmt7b1pre29aa3tvWmtaa1pre29aa1prWmt7b1prWmtaa1prWmtaa1pre29aa1prWmtaa1prWmtaa3tvWmtaa1pre29aa3tvWmt7b1pre29aa3tvWmtaa1pre29aa3tvWmtaa1prWmtaa3tvWmtaa1prWmtaa1prOWdaa1prWms5Z1prWmtaa1prWmtaa1prWmtaa1prWmtaa1prWmtaa1prWmtaa1prOWdaazlnWms5Z1prOWdaazlnWms5Z1prAAB7b3tve297b3tvnHN7b3tve297b3tve297b3tve2+cc3tve297b3tve297b1pre297b3tvWmt7b3tve297b3tve297b1pre29aa3tvWmt7b3tve29aa3tve297b3tve297b3tve297b3tve29aa3tvWmt7b1pre29aa3tvWmt7b1pre29aa3tvWmt7b1pre29aa3tvWmtaa1prWmtaa1prWmtaazlnWmtaa1prWmt7b1prWmtaa1prWmt7b1prWmtaa3tvWmt7b1pre29aa3tvWmt7b1prWmtaa3tvWmtaa1pre29aa1prWmt7b1pre29aa3tvWmtaa1pre29aa3tvWmt7b1prWmtaa1prWmtaa1prWmtaa1prWmtaa1prWmtaa1prWmtaa1prWmtaa1prWmtaa1prWmtaa1prWmtaa1prWmtaa1prWmtaa1prWmtaa1prWmtaa1prWmtaa1prWmtaazlnWmtaa1prWmtaa1prWmtaa1prWmtaa1prWmtaa1prWmtaa1prWmtaa1prWmtaa1prWms5Z1prWmtaa1prWms5Z1prOWdaazlnWms5Z1prOWdaazlnWms5Z1prWmtaazlnWmtaa1prOWdaa1prWms5Z1prOWdaazlnWms5Z1prOWdaazlnWms5ZzlnOWcAAHtve297b3tvnHN7b3tve2+cc3tve297b3tve297b3tve297b3tve297b3tve29aa3tve297b1pre297b3tvWmt7b3tve297b3tve297b3tve297b3tve297b3tve297b3tve297b3tve297b3tvWmt7b1pre29aa3tvWmt7b1pre297b3tvWmt7b3tve29aa3tvWmt7b1pre29aa1prWmt7b1prWmtaa3tvWmtaa1prWmtaa1prWmt7b1pre29aa3tvWmt7b1pre297b3tvWmt7b1pre29aa3tvWmt7b1pre29aa3tvWmt7b1pre29aa3tvWmt7b1pre29aa3tvWmt7b3tve29aa3tvWmtaa1prWmtaa1prWmt7b1pre29aa1prWmtaa1prWmtaa1prWmtaa1pre29aa3tvWmtaa1prWmtaa1prWmt7b1pre29aa1prWmtaa1pre29aa1prWmtaa1prWmtaa1prWmtaa1prWmtaa1prWmt7b1pre29aa1prWmtaa1prWmtaa3tvWmt7b1prWmtaa1prWmt7b1prWmtaa1prOWdaazlnWms5Z1prOWdaazlnWmtaa1prWmtaa1prWmtaa1prWmtaa1prWmtaa1prWmtaa1prWms5Z1prWmtaazlnWms5Z1prOWdaawAAWmt7b1pre297b3tve297b3tve29aa3tvWmt7b1pre29aa3tve297b3tve29aa3tve297b1pre29aa3tvWmt7b1pre29aa3tvWmt7b3tve29aa3tve297b1pre297b3tvWmt7b1pre29aa3tvWmt7b1pre29aa3tvWmtaa1pre29aa3tvWmt7b1pre29aa3tvWmt7b1pre29aa3tvWmtaa1prWmtaa1prWmtaa1prWmtaa1prWmtaa1prWmtaa1prWmtaa1pre29aa3tvWmtaa1prWmtaa1prWmtaa1prWmtaa1prWmtaa1prWmtaa3tvWmt7b1pre29aa3tvWmt7b1pre29aa1prWmtaa1prWmtaa1prWmtaa1prWmtaa1prWmtaa1prWmtaa1prWmtaa1prWmtaa1prWmtaa1prWmtaa1prWmtaa1prWmtaa1prWmtaa1pre29aa1prWmtaazlnWmtaa1prWmtaa1prWms5Z1prWmtaa1prWmtaa1prOWdaa1prWms5Z1prWmt7b1prWmtaa1prWmtaa1prWmtaa1prOWdaazlnWms5Z1prOWdaazlnWms5Z1prWmtaazlnWmtaa1prOWdaa1prWms5Z1prOWdaazlnWms5Z1prOWdaazlnWms5Z1prOWdaazlnAAB7b1pre297b3tve297b3tve297b3tvWmt7b1pre297b3tve297b3tve297b3tve297b3tve297b3tve297b1pre29aa3tve297b3tve297b3tve2+cc3tve29aa3tve297b3tve297b3tvWmt7b3tve29aa3tvWmt7b1pre29aa3tve297b3tve29aa3tvWmt7b3tve297b3tve297b1prWmtaa3tvWmtaa1pre29aa1prWmtaa1prWmtaa3tvWmtaa1pre29aa3tvWmt7b1pre29aa3tvWmt7b1pre29aa1prWmtaa1prWmtaa3tve297b1pre29aa3tvWmt7b3tve29aa3tvWmtaa1prWmtaa1prWmt7b1prWmtaa3tvWmtaa1prWmtaa1prWmtaa1prWmtaa3tvWmt7b1pre29aa1prWmt7b1prWmtaa3tvWmtaa1pre29aa3tvWmt7b1prWmtaa1prWmtaa1pre29aa1prWmt7b1pre29aa3tvWmtaa1pre29aa1prWmt7b3tvWmtaa3tvWmtaa1pre29aa1prWmtaa1prWms5Z1prWmtaazlnWmtaa1prWmtaa1prWmtaa1prWmtaa1prWmtaa1prWmtaa1prWms5Z1prOWdaazlnWms5Z1prOWdaazlnWmsAAFpre29aa3tve297b1pre297b3tvWmt7b1pre29aa3tvWmt7b3tve297b3tvWmt7b3tve29aa3tve297b1pre29aa3tvWmt7b3tve29aa3tvWmt7b3tve29aa3tvWmt7b1pre29aa3tvWmt7b1pre29aa3tvWmt7b1pre29aa1pre297b1pre29aa1prWmtaa1pre29aa3tve297b1prWmtaa3tvWmtaa1pre29aa1prWmtaa1prWmtaa1prWmtaa1prWmtaa1prWmtaa1prWmtaa1prWmtaa1prWmtaa1prWmtaa1prWmtaa3tvWmt7b1pre29aa1prWmt7b1pre29aa3tvWmtaa1prWms5Z1prWmtaa1prWmtaa1prWmtaa1prWmtaa1prWmtaazlnWmtaa1prWmtaa1prWmtaa1prWmtaa1prWmtaa1prWmtaa1prWmtaa3tvWmt7b1prWms5Z1prWmtaa1prWmtaa1prWmtaa1prWmtaa1prWmtaa1pre29aa1prOWdaa1pre29aa1prWmtaa1prWms5Z1prWmtaazlnWms5Z1prOWdaazlnWms5Z1prOWdaazlnWmtaa1prOWdaa1prWms5Z1prWmtaazlnWms5Z1prOWdaazlnWms5Z1prOWdaazlnOWc5ZwAAe297b3tve2+cc3tve297b5xze297b3tve297b3tve297b3tve297b5xze297b3tvnHN7b3tve297b3tve29aa3tve297b3tve297b3tve297b3tvnHN7b3tvWmt7b3tve297b3tvWmt7b3tve297b3tve297b3tve29aa3tvWmt7b3tve29aa3tvWmtaa1pre29aa3tve297b1prWmtaa1pre297b1prWmtaa3tvOWdaa1prWmtaa1prWmtaa1prWmtaa3tvWmt7b1prWmtaa3tvWmtaa1pre29aa1prWmtaa1prWmtaa3tvWmt7b1pre29aa3tvWmt7b1pre297b3tve297b1prWmtaa1prWmtaa1prWmtaa3tvWmt7b1prWmtaa1prWmtaa1prWms5Z1prWmt7b1pre29aa1prWmtaa1prWmtaa3tvWmt7b1prWmtaa3tvWmt7b1prWmtaa1prWmtaa1pre29aa1prWmtaa1prWmtaa3tvWmt7b1prWmtaa3tvWmtaazlnWmtaa1prWmtaa1prWmtaa1prOWdaa1prWms5Z1prOWdaazlnWms5Z1prOWdaa1prWmtaa1prWmtaa1prWmtaa1prWmtaa1prWmtaa1prWmtaazlnWmtaa1prOWdaazlnWms5Z1prAABMAAAAZAAAAAAAAAAAAAAAlAAAAEwAAAAAAAAAAAAAAJUAAABNAAAAKQCqAAAAAAAAAAAAAACAPwAAAAAAAAAAAACAPwAAAAAAAAAAAAAAAAAAAAAAAAAAAAAAAAAAAAAAAAAAIgAAAAwAAAD/////RgAAABwAAAAQAAAARU1GKwJAAAAMAAAAAAAAAA4AAAAUAAAAAAAAABAAAAAUAAAA</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2026-08-13T20:36:15Z</xd:SigningTime>
          <xd:SigningCertificate>
            <xd:Cert>
              <xd:CertDigest>
                <DigestMethod Algorithm="http://www.w3.org/2001/04/xmlenc#sha256"/>
                <DigestValue>Z09FfJIPU49iaJ2dKwd8xo+ZniD7zuLQinbgiUeEqpk=</DigestValue>
              </xd:CertDigest>
              <xd:IssuerSerial>
                <X509IssuerName>C=PY, O=ICPP, OU=Prestador Cualificado de Servicios de Confianza, SERIALNUMBER=RUC 80113823-0, CN=CONFIRMA S.A.</X509IssuerName>
                <X509SerialNumber>6344096911337137794</X509SerialNumber>
              </xd:IssuerSerial>
            </xd:Cert>
          </xd:SigningCertificate>
          <xd:SignaturePolicyIdentifier>
            <xd:SignaturePolicyImplied/>
          </xd:SignaturePolicyIdentifier>
        </xd:SignedSignatureProperties>
      </xd:SignedProperties>
    </xd:QualifyingProperties>
  </Object>
  <Object Id="idValidSigLnImg">AQAAAGwAAAAAAAAAAAAAAKgBAADQAAAAAAAAAAAAAAC/HQAAqw4AACBFTUYAAAEAPBcBAMs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OMAAAAFAAAAMQEAABsAAADjAAAABQAAAE8AAAAXAAAAIQDwAAAAAAAAAAAAAACAPwAAAAAAAAAAAACAPwAAAAAAAAAAAAAAAAAAAAAAAAAAAAAAAAAAAAAAAAAAJQAAAAwAAAAAAACAKAAAAAwAAAABAAAAUgAAAHABAAABAAAA7////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MAAAAFAAAAMgEAABwAAAAlAAAADAAAAAEAAABUAAAAhAAAAOQAAAAFAAAAMAEAABsAAAABAAAAVVWPQSa0j0HkAAAABQAAAAkAAABMAAAAAAAAAAAAAAAAAAAA//////////9gAAAAMQAzAC8AOAAvADIAMAAyADYAAAAJAAAACQAAAAcAAAAJAAAABwAAAAkAAAAJAAAACQAAAAkAAABLAAAAQAAAADAAAAAFAAAAIAAAAAEAAAABAAAAEAAAAAAAAAAAAAAAqQEAANEAAAAAAAAAAAAAAKkBAADR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JAAAAAAAAABQAAAAIQDwAAAAAAAAAAAAAACAPwAAAAAAAAAAAACAPwAAAAAAAAAAAAAAAAAAAAAAAAAAAAAAAAAAAAAAAAAAJQAAAAwAAAAAAACAKAAAAAwAAAADAAAAJwAAABgAAAADAAAAAAAAAAAAAAAAAAAAJQAAAAwAAAADAAAATAAAAGQAAAAAAAAAAAAAAP//////////AAAAACQAAABAAQAAAAAAACEA8AAAAAAAAAAAAAAAgD8AAAAAAAAAAAAAgD8AAAAAAAAAAAAAAAAAAAAAAAAAAAAAAAAAAAAAAAAAACUAAAAMAAAAAAAAgCgAAAAMAAAAAwAAACcAAAAYAAAAAwAAAAAAAAAAAAAAAAAAACUAAAAMAAAAAwAAAEwAAABkAAAAAAAAAAAAAAD//////////0ABAAAkAAAAAAAAAFAAAAAhAPAAAAAAAAAAAAAAAIA/AAAAAAAAAAAAAIA/AAAAAAAAAAAAAAAAAAAAAAAAAAAAAAAAAAAAAAAAAAAlAAAADAAAAAAAAIAoAAAADAAAAAMAAAAnAAAAGAAAAAMAAAAAAAAAAAAAAAAAAAAlAAAADAAAAAMAAABMAAAAZAAAAAAAAAB0AAAAPwEAAHUAAAAAAAAAdAAAAEABAAACAAAAIQDwAAAAAAAAAAAAAACAPwAAAAAAAAAAAACAPwAAAAAAAAAAAAAAAAAAAAAAAAAAAAAAAAAAAAAAAAAAJQAAAAwAAAAAAACAKAAAAAwAAAADAAAAJwAAABgAAAADAAAAAAAAAP///wAAAAAAJQAAAAwAAAADAAAATAAAAGQAAAAAAAAAJAAAAD8BAABzAAAAAAAAACQAAABAAQAAUAAAACEA8AAAAAAAAAAAAAAAgD8AAAAAAAAAAAAAgD8AAAAAAAAAAAAAAAAAAAAAAAAAAAAAAAAAAAAAAAAAACUAAAAMAAAAAAAAgCgAAAAMAAAAAwAAACcAAAAYAAAAAwAAAAAAAAD///8AAAAAACUAAAAMAAAAAwAAAEwAAABkAAAACwAAAEUAAAAnAAAAcwAAAAsAAABFAAAAHQAAAC8AAAAhAPAAAAAAAAAAAAAAAIA/AAAAAAAAAAAAAIA/AAAAAAAAAAAAAAAAAAAAAAAAAAAAAAAAAAAAAAAAAAAlAAAADAAAAAAAAIAoAAAADAAAAAMAAABSAAAAcAEAAAMAAADW////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EUAAAAmAAAAcwAAAAEAAABVVY9BJrSPQQwAAAB0AAAAAQAAAEwAAAAEAAAACwAAAEUAAAAoAAAAdAAAAFAAAABYAAAAGwAAABYAAAAMAAAAAAAAACUAAAAMAAAAAgAAACcAAAAYAAAABAAAAAAAAAD///8AAAAAACUAAAAMAAAABAAAAEwAAABkAAAANgAAACgAAAA0AQAAcwAAADYAAAAoAAAA/wAAAEw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JwAAABgAAAAEAAAAAAAAAP///wAAAAAAJQAAAAwAAAAEAAAATAAAAGQAAAA2AAAAKAAAADQBAABvAAAANgAAACgAAAD/AAAASAAAACEA8AAAAAAAAAAAAAAAgD8AAAAAAAAAAAAAgD8AAAAAAAAAAAAAAAAAAAAAAAAAAAAAAAAAAAAAAAAAACUAAAAMAAAAAAAAgCgAAAAMAAAABAAAACEAAAAIAAAAYgAAAAwAAAABAAAASwAAABAAAAAAAAAABQAAACEAAAAIAAAAHgAAABgAAAAAAAAAAAAAAKkBAADR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CCdtPwAAAAAAAAAAfj9sPwAAWEIAACBCJAAAACQAAAAIJ20/AAAAAAAAAAB+P2w/AABYQgAAIEIEAAAAcwAAAAwAAAAAAAAADQAAABAAAAA2AAAAK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JUAAABNAAAAAAAAACEAAAAIAAAAYgAAAAwAAAABAAAAFQAAAAwAAAAEAAAAFQAAAAwAAAAEAAAAUQAAAHj6AAA2AAAAKAAAAL8AAABuAAAAAAAAAAAAAAAAAAAAAAAAAPkAAACAAAAAUAAAACgAAAB4AAAAAPoAAAAAAAAgAMwAlQAAAE0AAAAoAAAA+QAAAIAAAAABABAAAAAAAAAAAAAAAAAAAAAAAAAAAAAAAAAAOWdaa1pre29aa1prWmt7b1prWmtaa3tvWmt7b1pre297b3tvWmt7b1prWmtaa1prWmt7b1pre29aa1prWmtaa1prWmtaa3tvWmt7b1pre29aa1prWmtaazlnWmtaa1prWmtaa1prWmtaa3tvWmt7b1prWmtaa1prWmtaa1prWmtaa1prOWdaazlnWmtaa1prOWdaa1pre29aa1prWmtaa1pre29aa1prOWdaazlnWmtaa1prWmtaa1prWmtaa1prOWdaazlnWms5Z1prWmtaa1prWmtaa3tvWmtaa1prWms5Z1prWmtaa1prWmtaa1prOWdaa1prWms5Z1prOWdaa1prWms5Z1prOWdaazlnWms5Z1prOWdaazlnWms5Z1prOWdaa1prWmtaa1prOWdaazlnOWc5Z1prOWdaazlnWmtaa1prWmtaa1prWmtaa1prOWdaazlnWms5Z1prOWdaazlnWms5Z1prOWdaazlnWms5Z1prOWdaazlnWmtaa1prOWdaa1prWms5Z1prOWdaa1prWms5Z1prOWc5ZzlnWms5ZzlnOWc5ZzlnOWc5Z1prWms5Zzlne297b3tvOWdaazlnOWc5ZzlnOWc5ZzlnOWc5Z1prWmtaazlnOWc5Z3tvOWdaazlnOWc5ZzlnOWdaaxhjAAB7b1pre297b3tvWmt7b3tve29aa3tve297b1pre29aa3tve297b1prWmtaa3tvWmt7b1pre29aa3tvWmt7b1prWmtaa3tvWmt7b1pre29aa3tvWmtaa1prWmtaa1prWmt7b1pre29aa3tvWmt7b3tve29aa3tvWmtaa1pre29aa1prWmtaa1prWmtaa1prWmtaa1pre29aa3tvWmt7b1pre297b3tvWmtaazlnWmtaa1prWmt7b1pre29aa3tvWmtaazlnWmtaa1prWmtaa1prWmtaa3tvWmt7b1pre29aa1prWmt7b1pre29aa3tvWmtaa1pre29aa1prWmtaa1prWmtaa1prWmtaa1prWmtaa1prOWdaa1prWmtaa1prWmtaa1prWmtaa1prWmtaa1prWms5Z1prOWdaa1prWms5Z1prWmtaa1prWmtaa1prWmtaa1prWmtaa1prWmtaa1prWmtaa1prWmtaa1prWmtaa1prWmtaa1prWmtaa1prWmtaa1prWmtaa1prOWdaa1prWms5Z1prWmtaazlnWmtaa1prOWdaazlnOWc5Z1prWmtaazlnWmt7b3tvWmtaazlnWms5ZzlnOWc5ZzlnWms5Z1prWmt7b1prWms5Z1prWmtaazlnWms5Z1prOWdaazlnWmsAAFpre297b3tvWmt7b1pre29aa3tvWmt7b1pre29aa1prWmt7b1prWmtaa1prWmtaa1pre29aa1prWmtaa1prWmtaa1prWmtaa1prWmtaa1prWmtaa1prWmtaa1prWmtaa1pre29aa1prWmt7b1pre29aa3tvWmtaa1prWmtaa1prWmtaa1prWmtaa1prWmtaa1pre29aa1prWmtaa1prWmtaa3tvWmtaazlnWms5Z1prOWdaa1prWmtaa1prOWdaa1prWms5Z1prWmtaa1prWmtaa1prWmtaa1prWmtaa1prWmtaa1prWmtaa3tvWmt7b1prWmtaa1prWmtaazlnWmtaa1prWmtaa1prWmtaa1prOWdaa1prWmtaa1prWmtaa1prWms5Z1prOWdaazlnWms5Z1prOWdaazlnWms5Z1prWmtaazlnWmtaa1prOWdaazlnWms5Z1prOWdaazlnWms5Z1prOWdaazlnWms5Z1prWmtaa1prWms5Z1prOWdaazlnWms5Z1prOWdaazlnWmtaa1prOWdaazlnOWc5Z1prOWdaazlnOWc5Z1prOWdaazlnWmtaa3tvWmtaazlnWms5ZzlnOWc5ZzlnOWc5ZzlnOWdaazlnWms5ZzlnOWdaazlnWms5ZzlnOWc5ZzlnOWc5ZwAAe29aa3tve297b1pre29aa3tvWmt7b1pre29aa3tvWmtaa1prWmtaa3tvWmt7b1pre29aa3tvWmt7b1pre29aa1prWmtaa1prWmtaa1prWmt7b1prWmtaa1prWmtaa1pre29aa1prWmt7b3tve29aa3tvWmt7b1pre29aa3tvWmt7b1pre29aa3tvWmt7b1pre29aa1prWmtaa1prWmtaa3tvWmt7b1prWmtaa1prWmtaa1prWmtaa3tvWmtaazlne29aa1prWmt7b1pre29aa1prWmtaa1prWmtaa1prWmt7b1pre29aa3tvWmt7b1prWmtaa3tvWmtaa1prWmtaa3tvWmtaa1prWmtaa1prWmtaa1prWmtaa3tvWmtaa1prWmtaa1prOWdaazlnWmtaa1prWmtaazlnWmtaa1prOWdaa1prWmtaa1prWmtaa1prWmtaa1prWmtaa1prWmtaa1prWmtaa1prWmtaa1prWmtaa1prWmtaa1prWmtaazlnWms5Z1prOWdaa1prWmtaa1prWmtaa1prWms5Z1prOWdaa1prWms5Z1prWmtaa1prOWc5Z1prWmtaazlnWms5Z1prOWc5ZzlnWms5Z1prOWdaa1prWms5Z1prOWdaa1prWms5Z1prOWdaazlnWms5Z1prAABaa3tve297b1prWmtaa3tvWmtaa1pre29aa3tvWmt7bzlnWmtaa1prWmtaa1pre29aa1prWmtaa1prWmtaa3tvWmtaa1prWms5Z1prWmtaa1prWmtaa1prOWdaa1prWmtaa1prWmt7b1pre29aa3tvWmtaa1prWmtaa1prWmt7b1prWmtaa1prWmtaa1pre29aa1prWmtaazlnWms5Z1prWmtaa1pre29aa1prWmtaa1prWmtaa1prWmtaazlnWmtaa1prWmtaa1prWmtaa1prOWdaazlnWmtaa1prWmtaa1prWmtaa1prWmtaa1prWms5Z1prWmtaazlnWms5Z1prOWdaazlnWms5Z1prWmtaazlnWms5Z1prOWdaazlnWms5Z1prOWc5ZzlnWmtaa1prWmtaazlnWms5Z1prOWdaazlnWmtaa1prOWdaa1prWms5Z1prOWdaazlnWms5Z1prOWdaazlnWms5Z1prOWdaazlnWms5Z1prOWdaa1prWms5Z1prOWdaazlnWmtaa1prOWdaa1prWms5ZzlnOWdaazlnWms5Z1prOWdaazlnWmsYY1prWmtaazlnOWc5Z1prOWc5ZzlnOWc5ZzlnOWdaazlnWms5Z1prOWc5ZzlnWms5Z1prOWc5ZzlnOWc5Z1prOWcAAHtve2+cc3tve29aa3tve297b1pre297b3tvWmt7b1prWmtaa3tvWmt7b1pre29aa3tvWmt7b1pre29aa3tvWmtaa1pre29aa1prWmtaa1prWmtaa1prWmtaa1pre29aa3tvWmt7b1pre297b3tvWmt7b1pre29aa3tvWmt7b3tve29aa3tvWmt7b1pre29aa1prWmtaa1prWmtaa1prWmtaa1pre29aa1prWmtaa1pre29aa3tvWmtaa1prWmtaa3tvWmt7b1prWmtaa1prWmtaazlnWmtaa1prWmtaa1prWmtaa1prWmtaa1prWmtaa1prWmtaa1prWms5Z1prWmtaazlnWms5Z1prOWdaa1prWmtaa1prWmtaazlnWms5Z1prWmtaa1prWmtaa3tvWmtaa1prWmtaa1prWmtaazlnWmtaa1prWmtaa1prWmtaa1prWmtaa1prWmtaa1prWmtaa1prWmtaa1prWmtaa1prWms5Z1prOWdaa1prWmtaa1prOWdaa1prWmtaa1prWmtaa1pre29aa1prOWdaazlnWmtaa1prWmtaazlnWms5ZzlnWmtaazlnOWc5Z1prOWdaazlnWms5ZzlnOWdaazlnWms5Z1prOWc5ZzlnOWc5Z1prOWdaazlnWms5Z1prOWdaawAAe297b3tve297b3tvWmt7b1pre29aa3tvWmt7b1prWmtaa1prWmt7b1pre29aa1prWmtaa1prWmtaa3tvWmt7b1prWmtaa1prWmtaa1prWmtaa1prOWdaa1prWmtaa1prWmtaa1pre297b3tvWmtaa1pre29aa1prWmt7b1pre29aa1prWmtaa1prWmtaa1prWmtaa1prWmtaa1prWmtaa1prWmtaa3tvWmtaazlnWmt7b3tvWmtaa1prWmtaa1prWmtaa1prWmtaa1prOWdaazlnWms5Z1prWmtaa1prWmtaa1prWmtaa1prWmtaa1prOWdaa1prWmtaa1prOWdaazlnWms5Z1prOWdaa1prWmtaa1prWmtaa1prWms5Z1prOWdaazlnWmtaa1prWmtaa1prWms5Z1prWmtaazlnWms5Z1prOWdaazlnWms5Z1prOWdaazlnWms5Z1prOWdaazlnWms5Z1prOWdaazlnWms5Z1prOWdaazlnWms5Z1prOWdaazlnWms5Z1prOWdaazlne29aa1prOWdaazlnOWc5Z1prOWdaazlnWms5ZzlnOWdaazlnOWc5Z1prOWc5ZzlnWms5ZzlnOWc5ZzlnWms5Z1prOWc5ZzlnOWcYYzlnOWdaazlnOWc5ZzlnOWc5ZzlnAAB7b3tve297b3tvWmt7b1pre29aa3tvWmt7b1pre29aa3tvWmt7b3tve297b3tvWmt7b1pre29aa3tvWmt7b1pre29aa3tvWmt7b1prWmtaa1prWmtaa1prWmtaa3tvWmt7b1pre29aa3tve297b1pre29aa3tvWmt7b1pre297b3tvWmtaa1prWmtaa1prWmtaa1pre297b3tve297b1prWmtaa3tvWmt7b1prWmtaa5xze297b1prWmtaa3tvWmt7b1prWmtaa1prWmtaa1prWmtaa1prWmt7b1pre29aa3tvWmt7b1pre29aa1prWmtaa1prWmtaa1prWmtaa1prWmtaa1prWmtaa1pre29aa3tvWmtaa1pre29aa1prOWdaa1prWmtaa3tvWmt7b1pre29aa1prWmtaa1prWms5Z1prWmtaa1prWmtaa1prWmtaa1prWmtaa1prWmtaa1prWmtaa1prWmtaa1prWmtaa1prWmtaazlnWms5Z1prOWdaa1prWmtaa1prOWdaazlnWmtaa3tvOWdaazlnWms5Z1prOWdaazlnWms5ZzlnOWdaa1prWms5Z1prWmtaazlnWms5Z1prOWdaazlnWms5Z1prOWc5ZzlnOWc5ZzlnOWdaazlnWms5Z1prOWdaazlnOWcAAFprWmtaa3tvWmt7b1pre29aa3tvWmt7b1prWmtaa1prWmtaa1pre29aa1prWmtaa1prWmtaa1prWmtaa1pre29aa1prWmtaa1prWmtaa1prWmtaa1prWmtaa1prWmtaa1prWmtaa3tvWmtaa1prWmtaa1prWmtaa1prWmtaa1prWmtaa1pre29aa1prWmt7b1prWmtaa1prWmtaa1pre29aa1prWmtaa1prWmtaa1prWmtaa1prWmtaa1prWmtaa1prWmtaa1prOWdaazlnWmt7b3tvWmtaazlnWmtaa1prOWdaa1prWmtaa1prWmtaa1prWmtaa1prWmtaa1prWms5Z1prWmtaa1prWms5Z1prOWdaazlnWms5Z1prWmtaazlnWmtaa1prWmtaa1prWms5Z1prOWdaazlnWmtaa1prOWdaazlnWms5Z1prWmtaazlnWms5Z1prWmtaa1prWms5Z1prOWdaazlnWms5Z1prWmtaa1prWms5ZzlnOWc5ZzlnOWc5Z1prOWdaazlnWmtaa1prOWdaazlnWms5Z1prWmtaazlnOWc5Z1prOWdaazlnOWc5ZzlnOWc5ZzlnOWc5ZzlnOWc5ZzlnWms5Z1prOWc5ZzlnOWc5ZzlnOWc5ZzlnOWc5ZzlnOWc5ZzlnOWcYYwAAe29aa3tve297b1pre29aa3tvWmt7b3tve29aa3tvWmt7b1pre29aa3tvWmt7b1prWmtaa3tvWmt7b1pre29aa1prWmt7b1prWmtaa3tvWmtaa1pre29aa1prWmt7b1prWmtaa3tvWmtaa1prWmtaa1prWmtaa1prWmtaa3tvWmt7b1pre29aa3tvWmt7b1pre29aa3tvWmt7b1pre29aa3tvWmt7b1pre29aa3tvWmtaa1pre29aa1prWmt7b1prWmtaa1prWmtaa1prWmtaa3tvWmtaa1prWmtaa3tvWmtaa1prWmtaa1prWmt7b1prWmtaa3tvWmtaa1pre29aa1prWmtaa1prWmtaa1prWmtaazlnWms5Z1prWmtaa1prWms5Z1prWmt7b1pre29aa1prWmtaa1prWmtaa1prWmtaazlnWmtaa1prWmtaa1prWms5Z1prWmtaa1prWmtaa1prOWdaa1prWmtaa1prWmtaa1prWmtaa1prOWdaazlnOWc5Z1prOWdaa1prWmtaa3tvWmtaazlnWms5Z1prWmtaazlnWms5Z1prWmtaazlnWms5Z1prOWdaazlnWms5Z1prOWdaazlnWmtaa1prOWdaazlnWms5Z1prOWdaazlnWms5Z1prOWdaazlnWms5ZzlnAABaa3tvWmt7b1pre29aa1prWmt7b1pre29aa3tvWmt7b1pre29aa3tvWmtaa1prWmtaa1prWmtaa1pre29aa1prWmtaa1prWmtaa1prWmtaa1prWmtaa1prWmtaa1prWmtaa1prWmtaa1prWms5Z1prWmtaa1prWmtaa1prWmtaa1pre29aa1prWmt7b1prWmtaa3tvWmt7b1pre29aa3tvWmt7b1pre29aa3tvWmtaa1prWmtaa1prWmtaa1prWms5Z1prOWdaazlnWms5Z1prOWdaa1prWmtaa1prWmtaa1prWms5Z1prWmtaa1prWmtaa1prWmtaa1prWmtaa1prOWdaa1prWmtaa1prOWdaazlnWms5Z1prOWdaazlnWms5Z1prOWdaa1prWmtaa1prWmtaa1prWmtaa1prOWdaazlnWms5Z1prOWdaazlnWms5Z1prOWdaa1prWmtaa1prOWdaazlnWmtaa1prOWdaazlnWms5Z1prOWdaazlnOWc5ZzlnOWdaazlnWmtaa1prWmt7b1prWms5Z1prOWdaazlnWms5Z1prWmtaazlnWms5Z1prOWc5ZzlnWms5ZzlnOWdaazlnOWc5Z1prOWdaa1prWms5ZzlnOWdaazlnOWc5ZzlnOWc5ZzlnOWc5ZzlnOWcAAHtvWmt7b1pre29aa3tvWmt7b1pre29aa3tve297b1pre29aa3tvWmt7b1prWmtaa3tvWmt7b1pre29aa3tvWmt7b1prWmtaa3tvWmtaa1prWmtaa1prWmt7b1pre29aa1prWmtaa1prWmtaa1prOWdaa1prWmtaa1prWmtaa1pre29aa3tvWmt7b1pre29aa3tve297b3tve29aa3tvWmt7b1pre29aa3tvWmt7b1pre29aa1prWmt7b1prWmtaa1prOWdaazlnWmtaa1prWmtaa1pre29aa3tvWmtaa1prWmtaa1prWmtaa1prWmtaa1prWmtaa1prWmtaa1prWmtaa1prWmtaa3tvWmtaa1prWmtaa1prOWdaa1prWmtaa1prWmtaa1pre29aa1prWmt7b1prWmtaa1prWmtaa1prWmtaa1prWmtaazlnWms5Z1prWmtaa1pre29aa1prOWdaazlnWmtaa1prWmtaa1prWmtaa1prWmtaa1prWms5Z1prOWdaazlnWmtaa1prWmt7b1prWms5Z1prOWdaazlnWms5Z1prWmt7b1prWmtaa1prOWc5ZzlnWms5Z1prOWdaazlnWms5Z1prWmtaazlne29aa1prOWdaazlnWms5Z1prOWdaazlnWms5Z1prOWdaawAAWmtaa1pre29aa3tvWmt7b1prWmtaa3tvWmt7b1pre29aa3tvWmtaa1prWmtaa1prWmtaa1pre29aa1prWmtaa1prWmtaa1prWmtaa1prWmtaa1prWmtaa1prWmtaa1prWmtaa1prWmtaa1prWmtaazlnWmtaa1prWmtaa1prWmtaa1prWmt7b1prWmtaa3tvWmt7b1pre29aa3tvWmt7b1prWmtaa3tvWmtaa1prWmtaa1prWmtaa1prWmtaa1prOWdaazlnWms5Z1prWmtaa1pre297b3tvWmtaa1prWmtaa1prWmtaa1prWmtaa1prWmtaa1prWmtaa1prWmtaazlnWmtaa1prWmtaa1prWmtaa1prWmtaazlnWmtaa1prOWdaa1prWmtaa1prWmtaazlnWmtaa1prWmtaa1prWmtaa1prWmtaazlnWms5ZzlnOWdaazlnWmtaa1prOWdaazlnWms5Z1prOWdaazlnWms5Z1prOWdaazlnWms5Z1prOWc5ZzlnWms5Z1prWmtaa1prWmtaa1prOWdaazlnWms5Z1prWmtaa1prWmtaa1prOWc5ZzlnOWc5Z1prOWdaazlnWms5Z1prOWc5ZzlnWmtaa1prOWdaazlnOWc5ZzlnOWc5ZzlnOWc5ZzlnOWc5ZzlnAAB7b1pre297b3tvWmt7b1pre29aa3tve297b1pre29aa3tvWmt7b1prWmtaa3tvWmt7b1pre29aa3tvWmt7b1prWmtaa3tvWmtaa1pre29aa1prWmt7b1prWmtaa3tvWmt7b1pre29aa3tvWmtaa1prWmtaa1prWmtaa1prWmtaa3tvWmt7b1pre29aa3tvWmt7b1pre29aa3tvWmt7b1prWmtaa3tvWmt7b1pre29aa1prWmt7b1prWmtaa3tvWmtaa1prWmtaa1prWmtaa1prWmt7b5xze297b1prWmtaa1prWmt7b1prWmtaa1prWmtaa1prWmtaa1prWmtaa1prWmtaa3tvWmt7b1prWmtaa1prWmtaa1prWmtaa1prWmtaa1prWmtaa1prWmtaa1prWms5Z1prWmtaa1pre29aa1prWmtaa1prWms5Z1prOWdaa1prWmtaa3tvWmtaazlnWms5Z1prWmtaa1prWmtaa1prOWdaa1prWmtaa1prWmtaazlnWmtaa1prWmtaa1pre29aa1prWmtaazlnWmtaa1prWmtaa1prWms5Z1prWmtaazlnWms5Z1prWmtaazlnWms5Z1prWmtaazlnWmtaa1prWmtaazlnWms5Z1prOWdaazlnWms5Z1prOWdaazlnWmsAAFpre29aa3tvWmt7b1prWmtaa3tvWmt7b1pre29aa1prWmt7b1prWmtaa1prWmtaa1pre29aa1prWmtaa1prWmtaa1prWmtaa1prWmtaa1prWmtaa1prWmtaa1prWmtaa1prWmtaa1prWmtaazlnWms5Z1prOWdaa1prWmtaa1prWmt7b1prWmtaa3tvWmtaa1pre29aa1prWmt7b1pre29aa1prWmtaa1pre29aa1prWmtaa1prWmtaa1prWmtaa1prWmtaa1prWmtaa1prWms5Z1prWmt7b1prWms5Z1prWmtaa1prWmtaa1prOWdaa1prWms5Z1prWmtaazlnWmtaa1prWmtaa1prWmtaa1prWmtaa1prWmtaa1prOWdaa1prWmtaa1prWmtaazlnWms5Z1prOWdaazlnWms5Z1prWmtaazlnWms5Z1prOWdaazlnWms5Z1prWmtaazlnOWc5Z1prOWdaa1prWms5Z1prOWdaazlnWms5Z1prOWdaazlnWms5Z1prWmtaazlnWmtaa1prOWdaazlnWms5Z1prOWdaa1prWms5ZzlnOWdaazlnWms5ZzlnOWdaazlnWms5Z1prOWdaazlnOWc5Z1prWmtaazlnOWc5Z1prOWc5ZzlnOWc5ZzlnOWc5ZzlnOWc5ZwAAe29aa3tvWmt7b1pre29aa3tve297b1pre29aa3tvWmt7b1tre29aa1trWmt7b1pre29aa3tvWmt7b1prWmtaa3tvWmtaa1pre29aa1prWmtaa1prWmtaa3tvWmt7b1prWmtaa1prWmtba1prWms5Z1prWmtaa1prW2taa1trW2t8b1tre29aa3tvWmt6b1prWmtaa1trWmt7b1tre29aa3tvWmt7b1pre29aa3tvWmt7b1prWmtaa3tvWmtaa1pre29aa3tvWmt7b1prWmtaa1lrWWt6b1prWms5Z1prWmt7b1prWmtaa1prWmtaa1prWmtaa1prWmtaa1prWmtaa1prWmt7b1pre29aa1prWmt7b1prWmtaa1prWmtaa1prWmtaa1prWmt7b1prWmtaa1prWmtaazlnWms5Z1prOWdaa1prWmtaa1prWmtaazlnWmtaa1prWmt7b1prWms5Z1prOWdaa1prWmtaa1prWmtaa1prWmtaa1prWmtaazlnWmtaa1prWmtaa1prWmtaa1prWmtaa1prWmtaa1prWmtaa1prWms5ZzlnOWc5ZzlnWms5ZzlnOWdaa1prWms5Z1prWmtaa1prWms5Z1prOWdaazlnOWc5Z1prOWdaazlnWms5Z1prOWdaazlnWms5Z1prAABZa1prWmt6b1prem9aa3tvWmt7b1prem9aa1prWmtaa1trW29ba3tvWmtba1prW2taa3tvWmtaa3pve285Z1prOWdaa1prWmtaa3tvWms5Z1lrWmtaa1prWWtaa1lrWmtaa1prWmtbazpnWms5Z1prOWd6b3tvWms7aztnXW/ZXjRK2V6dc1trWmtZZ3pvem9aa3tvW2t7b1trW29aa3tvWmt7b1prWmtaa1prWmt7b1prWmtaa1prWmtaa1prWmtZa1prOWdaazlnWmtZa3pvWWdZa1lrWmtZa1prWmtaa1prWmtaa1prWmtaa1prWms5Z1prWmtaazlnWmtaa1prWmtaa1prWmtaa1prWmtaa1prWmtaa1prWmtaa1prWmtaa1prWmtaa1prWmtaa1prWmtaa1prWmtaa1prWmtaazlnWms5Z1prOWdaazlnWms5Z1prOWdaa1prWmtaa1prOWdaa1prWmtaa1prWmtaazlnWms5Z1prOWdaazlnWms5ZzlnOWdaazlnWms5Z1prOWdaa1prWmtaa1prOWdaazlnWms5Z1prOWdaazlnWms5Z1prOWdaazlnWms5ZzlnOWc5ZzlnWms5Z1prOWdaazlnOWc5ZzlnOWc5ZzlnWms5ZzlnOWdaazlnOWc5Z1prOWcAAFprWmt6b1pre29aa3tve297b3pve29aa3pvWmt6b1pre29ba3tvW2tbb1tre29aazlnWmt7b1pre29aa1prem97b1pre29aa1prWmt7b1prem9aa3pvWmtaa1lrWmtZa3prWmtba1prW2s6Z1trOWdaazlnWms5Z3xvG2faXm8xLSWxNVxrfG+cc3pvem9Za3tvW2t8b1tre29ba3tvWmt7b1pre29aa3tvWmt7b1prWmtaa3tvWmt7b1pre29aa1prWWtaa1lrWmtZa3pvWmtaa1lrWmtZa1prWmt6b1prWmtaa3tvWmt7b1prWmtaa1prWmtaa1prWmtaa1prWmtaa1pre29aa1prWmt7b1prWmtaa3tvWmtaa1prWmtaa1prWmtaa1prWmtaa1prWmtaa1prWmtaa1prWmtaa1prWms5Z1prOWdaazlnWmtaa1prWmtaa1prWmtaa1prOWdaa1prWmtaa1prWmt7b1prWms5Z1prWmtaa1prWmtaa1prOWdaa1prWmtaa1prOWdaazlnWmtaa1prWmtaazlnWms5Z1prOWdaazlnWmtaa1prOWdaa1prWms5Z1prOWc5ZzlnWmtaa1prWmtaa1prOWc5Z1prOWc5ZzlnWmtaa1prOWdaazlnWms5Z1prOWdaawAAWmtaa1prem9aa3tvWmt7b1pre29aa3pvWmt6b1prWmtaa1tvWmtba1prW2taa1trOmd7b1trW2tba1trOWd7b1prWmtaa3tvWmtaa1pre29aa3pvWmtaa1lrWms5Z1lrWWtaa1prWms6Z1trOmdaa1lrWWs5ZzlnXG87a3ZSqRTrIC0pGmNca1pre29Za3pvWmt7b1trW2tba1tvWmtaa1pre29aa3tvWmt7b1prWmtaa1prWmtaa1prWmtaa1prWWtaazlnWmtZa1prWWtaa1lrWmtZZ1prWWtaa1lrWmtaa1prWmtaa1prWms5Z1prWmtaazlnWmtaa1prOWdaa1prWmtaa1prWmtaa1prWmtaa1prWmtaa1prWms5Z1prWmtaa1prWmtaa1prWmtaa1prWms5Z1prOWdaazlnWms5Z1prOWdaazlnWms5Z1prWmtaazlnWmtaa1prOWdaazlnWms5Z1prWmtaa1prWms5Z1prOWdaazlnWms5Z1prWmtaazlnWmtaa1prOWdaazlnWms5Z1prWmtaazlnWms5Z1prOWdaa1prWms5Z1prOWdaazlnWms5Z1prOWc5ZzlnWms5Z1prOWdaazlnWms5Z1prOWc5ZzlnOWc5Z1prOWdaazlnOWc5Z1prOWc5ZzlnAAB7b1pre29aa3tvem97b3pve296b3tvWmt7b1prem9aa3tvW2t7b1tre29ba1tvW2ucc1trGWP4XltrW29ba1prW2s6Z1tre2+cc1pre297b3tvWmt6b1prWmtZa1prWWt6a1lrWmtaa1trWmtaazlnWmtZa3tvOWdbaztnuFrKGG8xLSlca1trOWd6b3pvm3N7b1tre29ba3tvW2t7b1pre29aa3tvWmt7b1prWmtaa1prWmt7b1pre29aa1prWmtaa1lrWmtZa1prWWtaa1lrWmtZa1prWWtaa1prWmtaa3tvWmt7b1pre29aa1prOWdaa1prWmtaa1prWmtaa1prWmtaa1prWmtaa1prWmtaa1prWmtaa1prWmtaa1prWmtaa1prWmtaa1prWmtaa1prWmtaa1prOWdaa1prWms5Z1prWmtaazlnWmtaa1prWmtaa1prWmtaa3tvWmtaazlnWmtaa1prWmtaa1prWmtaa1prWmtaa1prWmtaa1prOWd7b1prWmtaa3tvWmtaazlnWmtaa1prWmtaa1prWms5Z1prOWdaa1pre29aa1prOWdaazlnWms5Z1prOWdaazlnWms5Z1prOWdaazlnWms5Z1prOWdaazlnWms5Z1prOWdaazlnWms5Z1prOWdaazlnWmsAAFprem9aa3tvWmt7b1pre29aa3pvWmt6b1prWmtaa3pvWmtba1prW2taa1trW2tbb3xv+F4RQhFGt1pba1xrXG9ba1trOmt7b1tve29aa1prWmt7b1prWmtZa1prWWtZa1lrWWtZa1prOmdaazpnWms4ZzhnWms5ZxljO2fYWuocLSUMJTxrnXNaa3tvWWd6b1prW2tba1trWmtba1prWmtaa1prWmt7b1prWmtaa1prWmtaa1prWmtaa1prWmtaazlnWWs5Z1prOWdaa1lrWms5Z1prWWtaa1lrWmtZa1prWmtaa1pre29aa1prOWdaazlnWmtaa1prOWdaa1prWmtaa1prWmtaa1prWmtaa1prWmtaa1prWmtaa1prWmtaa1prWmtaa1prWmtaa1prWms5Z1prOWdaazlnWms5Z1prOWdaazlnWms5Z1prWmtaazlnWms5Z1prWmtaa1prWms5Z1prWmtaazlnWms5Z1prOWdaazlnWms5Z1prOWdaazlnWms5Z1prWmtaazlnWms5Z1prOWdaazlnWms5Z1prOWc5ZzlnWmtaa1prOWdaazlnOWc5Z1prOWc5ZzlnOWc5Z1prOWdaazlnWms5Z1prOWdaazlnWms5ZzlnOWdaazlnOWc5Z1prOWc5ZzlnWms5ZwAAe29aa3tvem97b3pve296b3tvWmt7b1pre29aa3tvWmt7b1pre29aa3tvW2t7b1trW2uVUq85jjF0ThpjXG98b31vfG98b1prW2tba3xvWmt7b1pre29aa3pvWWt6b1lrWWtZa1prWmtba1prW2taa3pvOGdaazlnW2tba9hehxQMJU0pXGt9c3tvem9aa1prem9aa3tvW2tbb1tre29aa3tvWmt7b1pre29aa1prWmtaa1pre29aa3tvWmt7b1prWmtZZ1prWmtaa1lrWmtZa1prWWtaa1prWmtaa3pvWmt7b1pre29aa3tvWmtaa1prWmtaa1prWmtaa1prWmtaa1prWmtaa1prWmtaa1prWmtaa1prWmtaa1prWmt7b1prWmtaa1prWmtaa1prWmtaa1prOWdaa1prWmtaa1prWmtaa1prWmtaa1prWmtaa1prWmtaa1prWmtaa1prWms5Z1prWmtaa1prWmtaa1prOWdaazlnWmtaa1prWmtaa1prWms5Z1prWmtaa1prWmtaa1prOWdaa1prWms5Z1prWmtaazlnWmtaa1prWmtaa1prWms5Z1prOWdaazlnWms5Z1prOWdaa1prWms5Z1prOWdaa1prWms5ZzlnOWdaazlnWms5Z1prOWdaazlnWms5Z1prAABaa3tvWmt7b1pre29aa3tvWmt6b1prem9aa3pvWmt6b1prWmtaa1prWmtbb1trW286Z/heM0oSQlRKllKWUrha+F5ba3xvW2s6Z1tvW29ba1prWmtaa1prWWt6b1lremtYa1lrWWdaazprW2s6Z1pre284Z1lrem9aa1trt1qHFCwl0jk7Z1xrWmtZa1lrem9aa1trWmtba1prW2taa1prWmt7b1prWmtaa1prWmtaa1prWmtaa1prWmtaa1prWms5Z1lrOWdaa1prWms5Z1prWmtaazlnWmtZa1prWWtaa1prWmtaa1prWmtaa1prWmtaa1prOWdaa1prWms5Z1prWmtaazlnWmtaa1prOWdaa1prWms5Z1prWmtaa1prWmtaa1prWmtaa1prWmtaa1prOWdaazlnWmtaa1prWmtaazlnWms5Z1prOWdaa1prWmtaa1prOWdaa1prWms5Z1prOWdaazlnWms5Z1prOWc5ZzlnWms5Z1prOWdaazlnWms5Z1prOWdaa1pre29aa1prOWdaazlnWms5Z1prOWdaazlnWms5Z1prWmtaa1prWms5Z1prOWc5ZzlnOWc5ZzlnOWc5ZzlnWms5Z1prOWdaazlnWms5Z1prOWc5ZzlnWms5Z1prOWc5ZzlnWms5ZzlnOWcAAHtve297b3pve296b3tvem97b1prem9aa3tvWmt7b1prem9aa3tvWmt7b1tre29ba1trW2s7Z7dadVLyQbA5sDlUSvlinXNcb1trfG98bzprW2taa1trWmt7b1pre296a1lrWWtaa1prW2taa1trWmt6bxdjem96b1prGWPYXsgY6yDyPTxrXGucc1lrem9ZZ3pvWmtba1trW29ba1trWmt7b1prWmtaa1prWmtaa1prWmtaa3tvWmt7b1prWmtaa1lrWWdaa1lrWmtaa1prOmdba1prWmtaa1prWmt6a1lrWmtaa1prWmt7b1prWmtaa1prWmtaa1prWmtaa1prWmtaa1prWmtaa1prWmtaa1prWmtaa1prWmtaa1prWmtaa1prWmtaa1prWmtaa1prWmtaa1prWmtaa3tvWmt7b1prWmtaa1prOWdaa1prWmtaa1prWmtaa1pre29aa1prOWdaa1prWmtaa1prWmtaazlnWmtaa1prWmtaa1prWms5Z1prWmtaa1pre297b3tvWmtaa1prWms5Z1prOWdaazlnWmtaa1prOWdaa1prWmtaa1prOWdaazlnWms5ZzlnOWc5ZzlnWms5Z1prWmtaa1prWmtaa1prOWdaazlnWms5Z1prOWdaazlnWms5Z1prOWc5ZwAAWmt6b1pre29aa3pvWmt7b1prem9aa3tvWmtaa1prWmtZZ1prWmt6b1prW2tba3xvOmtbaztnO2fYWlROjzUrJW0t0DlUThljO2tbazprW2s6a1trW297b1prWmtaa1prWWt5a1lrWmtaa1trOmc6azlnWms4Z3pvGGM5Z9dayRwMJbE5XGt8b1prem96a3prWmt7b1trW29ba3tvW2taa1prWmtaa3tvWmtaa1prWmtaa1prWmtaazlnWmtaa3pvOWdZZzlnWms6Z1trWmtbazlnW2s6Z1prWmtaa1lnm3NZa1prWmtaa1prWmtaa1prOWdaa1prWms5Z1prWmtaazlnWmtaa1prWmtaazlnWms5Z1prWmtaa1prWmtaa1prOWdaazlnWms5Z1prOWdaazlnOWc5Z1prWmtaazlnWms5Z1prOWdaa1prWmtaa1prWmtaa1prWms5Z1prWmtaazlnOWc5Z1prOWdaazlnWms5Z1prWmt7b1prWms5ZzlnOWdaa1prWmtaa1prWmtaazlnWms5Z1prOWdaazlnWms5Z1prOWdaazlnWms5Z1prGGM5ZzlnOWc5ZzlnOWdaazlnOWc5Z1prOWdaazlnWms5Z1prOWdaazlnOWc5ZzlnOWdaazlnOWc5ZzlnOWdaaxhjAAB7b1pre296b3tvWmt7b3pve29aa3tvem97b1prem9aa1prWmt7b1pre29aa3tvW298b1xrfG9caztr2F51UhJCKyVMLa41zzl0ThljfG86Zzpne298bzpnW2udd51zOWd6b3prWmtaa3xvO2c6Z3xvWmtaa1lrem85Zzpn+F7pHCwlkDV9b3xve29aa3pvWmt7b1pre29ba3tvW297b1prWmtaa3tvWmt7b1pre29aa3tvWmt7b1prWmtaa3tvWmtaa1lrWmtaa1prWmtba1trW2tba1trWmt7b1prWmtZa1prWmtaa1prWmtaa3tvWmtaa1prWmtaa1prWmtaa1prWmtaa1prWmtaa1prWmtaa1prWmtaa1pre29aa1prWmtaa1prWmtaa1prOWdaa1prWms5Z1prWmtaa1prWmtaa1prWmtaa1prWmtaa1prWmtaa1prWmtaa1prWmt7b1prWmtaa1prWmtaa1prWmtaa1prOWdaa1pre29aa1prOWdaa1prWmtaa1prWmtaa1prWmtaa1prWmtaa1prWmtaa1prWmtaa1prWmtaa1prWmtaazlnWmtaa1prOWdaazlnWms5Z1prWmtaazlnWms5Z1prOWdaazlnWms5Z1prOWdaazlnWms5Z1prOWdaazlnOWcAAFprem9aa3pvWmt6b1prem9aa3pvWmt6b1prem9aa1prWWt6a1premtaa1prWmt7b1trW2s6a1trW2tba/li+F5TSq41KiVMLY0x0D1UThpjfW86ZxljfG98bzpnOmd8bzhnem85Z1trfG/5XpVSGmM6a3xvOWd7bzlnWmv4Xgoh6yCQNVxrfG9aa3pvWWt6a1prW2s6a1trW2tbb1prWmtaa1prWmtaa1pre29aa1prWmt7b1prWmtaa1prWmtaa1lrWmtZa1prOmdaazpnW2tba1trOmc6a1prem9Za1lrOWdaazlnWmtaa1prWmtaazlnWmtaa1prWmtaazlnWms5Z1prWmtaa1prWms5Z1prOWdaazlnWmtaa1prWmtaa1prWms5Z1prOWdaazlnWms5Z1prOWdaazlnWms5Z1prWmtaa1prWmtaa1prOWdaazlnWms5Z1prWmtaa1prWmtaa1prWmtaa1prWmtaa1prOWdaazlnWmtaa1prOWdaa1prWmtaa1prWmtaa1prWmtaa1prOWdaa1prWms5Z1prOWdaazlnWms5Z1prOWdaa1prWmtaa1prOWc5ZzlnOWc5Z1prOWdaazlnWms5ZzlnOWdaazlnOWc5ZzlnOWc5ZzlnWms5ZzlnOWdaazlnWms5ZwAAe29aa3tvWmt7b1pre29aa3tvWmt7b1pre29aa3pvWmt6b1prem9aa3pvWmt7b1tre29aazprOmdba1prWms6ZxljGWO2Vo01KyltMdA5rzV0ThpjfW86ZztnfW+dczpne2+cc3tvW2s7axJCTCnQOVtrfG97b3tvW2taa/heKyXrIG8xXGt8b3tvWWt6a1pre29aa1trW2t7b1tre29aa1prWmtaa1pre297b3tvWmt7b1pre29aa1prWmtaa1lrWmtZa3prWmtbazpnXGtba3xvW2tba1prWmtaa3tvWWtaa1prWmtaa1prWmtaa1prWmtaa1prWmt7b1prWms5Z1prWmtaa1prWmtaa1prWmtaa1prWmtaa1prWmtaa1prWmtaa1prWmtaa1prWms5Z1prWmtaa1prWmtaa1prOWdaa1prWmtaa1prWmtaazlnWmtaa1prWmt7b1prWmtaa3tvWmt7b1pre29aa1prWmtaa1prWmtaa1prWmtaa1prWmtaa1prWmt7b1prWmtaa3tvWmtaa1prWmtaa1prWmtaa1prWmtaa1prWmtaa1prWmtaa1prWmtaazlnWms5Z3tvWmtaa1prWms5Z1prOWdaazlnWms5Z1prOWdaazlnWms5Z1prOWdaazlnWms5Z1prAABaa3pvWmt6b1prem9aa3pvWmtaa1pre29aa3pvWmt6b1lremtaa3pvWWtaa1pre29aa1prOWdaa1prWmtaa1prOmcYY/hiOWeVUq41KymNMW0tjjUzRjtnfW87Zztnvnc5Z3tvOmc7Z/lesDXJGG0t+V6cc1pre29aa1pr+F5tMcocTi0aY3xvWmtaa1lrem9aa1prOmdbb1trW2taa3tvOWdaa1pre29aa3tvWmt7b1pre29aa1prWmtaa1prWms4Z1lrWWtaazpnW2s7a1xr+F75YltrnHNaa1lrWmtZa1prWmtaa1prOWdaazlnWms5Z1prWmtaa1prWms5Z1prWmtaa1prWmtaa1prWmtaazlnWms5Z1prOWdaa1prWmtaa1prWmtaazlnWms5Z1prWmtaazlnWms5Z1prOWdaa1prWmtaa1prOWdaazlnWms5Z1prWmtaa1prWmtaa1prWmtaa1prWmtaa1prOWdaazlnWms5Z1prOWdaa1prWms5Z1prWmtaa1prWmtaa1prWmtaa1prWmtaa1prWmtaazlnWms5Z1prOWdaazlnWms5Z1prOWdaazlnOWc5Z1prWmt7b1prWmtaa1prOWdaazlnWms5Z1prOWc5ZzlnOWc5ZzlnOWc5ZzlnOWc5Z1prOWcAAHpvWmt7b1prem9aa3tvWmt6b1pre296b3tvWmt7b1prem9aa3tvemtaa1prem9aa3tvWmt6b1prem9aa3pvWmsYY1prfG8ZZxlj+F6VUtA5SyltLY41jzUzRtlaPGf5XlprW2tbaztr+mLROSwlbjHXWnxvfG9bb1trOmcaY7A56xwtKRpjW2t7b1prem9aa3tvWmtba3xvfHNba1tre29aa1pre29aa3tvWmt7b1pre29aa3tvWmt7b1prWmtZa1lrOWdaa1prW29ba1trO2fQOdA911p8c3tvWWt6b1lrem9aa3tvWmtaa1prWmtaa1prWmtaa1prWmtaa1prWmt7b1prWmtaa1prWmt7b1prWmtaa1prWmtaazlnWmtaa1prWmtaa1prWmtaa1prWmtaa1prWmtaa1prOWdaa1prWmtaa1prWmtaa1prWmtaa1prWmtaa1prWmtaa1prWmtaa1prWmtaa1prOWdaazlnWms5Z1prWmtaa1pre29aa1prWmtaa1prWmtaa1prWmt7b1pre29aa1prWmtaa1prWmtaa1prWmtaa1prWmtaazlnOWdaazlnWms5Z1prWmt7b1pre29aa1prWmtaazlnWms5Z1prOWdaazlnWms5Z1prOWdaazlnWms5Z1prWmtaawAAWmt6b1prWmtaa3pvWmtaa1prWmtaa3pvWmt7b1prem9aa3pvWmt6b1lrWmtZa3prWWtaa1lrWmtZa3pvWWtZa3tvOmcYY1trW2s6Z/heGWN1UvE9bS1uMW4xjzHRPXVOGWM6ZztnXGvZXtI9CyELJVVOXGtba3tvW2tbazpnE0bKHC0l2Fo6Z1prem9Za1prem9aa1prfHN8b3tvWmt7b1prWmtaa1prWmt7b1prWmtaa1prWmtaa1prWmtaa1prWWtZazhnWmtba1xrGmP5YuogCiESRltre29Za1prWmtZa1prWmtaa1prWmtaa1prWmtaazlnWms5Z1prWmtaa1prWmtaa1prWmtaa1prWmtaa1prOWdaazlnWms5Z1prWmtaa1prWmtaa1prOWdaazlnWms5Z1prOWdaazlnWms5Z1prOWdaa1prWms5Z1prWmtaa1prWmtaa1prOWdaa1prWmtaa1prOWdaazlnOWc5Z1prOWdaa1prWmtaa1prWmtaa1prWmtaa1prWmtaa1prWmtaa1prOWdaazlnWms5Z1prOWdaazlnWms5Z1prOWdaazlnWms5Z1prOWdaa1prWmtaa1prWmtaazlnOWc5Z1prOWc5ZzlnOWc5ZzlnOWc5ZzlnOWc5Z1prOWdaazlnAAB7b1prem9aa3tvWmt6b1prem9aa3pvWmt7b3pve29aa3tvWmt7b1prem9Za3prWWt7b3pvem9aa3pvWmt6b1lrWWtaa3tvWms6azpnOmcZYxlj+F63VhJCjjErJW0tjjWuNfA9llL6YvpeFEaQMU0tVEo7a1xvW2t8b1trW29UTusgDCXYWhpje296b3pvWWt7b1pre2+cc513e29ba1tre29aa3tvWmt7b1pre29aa1prWmt7b1pre29aa1trWmt6b1lrWWtaa3xvW2saZ9haTS0KIRJGW2t8bzlnemtZa1prWmtaa1pre29aa3tvWmt7b1prWms5Z1prWmtba1pre29aa1prWmtaa1pre29aa3tvWmtaazlnWms5Z1prOWd7b1prWmtaa1prWmtaa1prWmtaa1prOWdaa1prWmtaa1prWmtaa1prWmtaa1prWmt7b1prWmtaa1prWmtaa1pre29aa1prWmtaa1prWms5Z1prOWdaa1prWmtaa1prWmtaa1prWmtaa3tvWmtaa1prWmtaa1prWmtaazlnWms5Z1prWmtaa1prWmtaa1prWmt7b1pre29aa1prOWdaazlnWmtaa1prOWdaazlnWms5Z1prOWdaazlnWms5Z1prOWdaazlnOWc5Z1prOWdaa1prWmsAAFprem9aa3pvWmt6b1prem9Za1prWmtaa1prWmtaa3pvWmt6b1prWmtaa1prWmt6b1prem9aa3prWWtaa1lremtaa3tvWmtaa1prWmtaa1prOWc6Zxhj+F6UUhFCjDErJQslTSlOKZA10z3SPU4tLSWwNTtnGmN8b3xvWWt6a5RS6iAtKRNCfXNba3tvWWubb1lremtaa3pvWmt7a1tre29aa1prWmtaa1prWmtaa1prWmtaa1tre29aa1trOmtaa1lrWWs5Z1prOmtbaxpn+l5vMesgbi1dbzprWWt5a1lrOWdaa1pre29ba3tve297b1prW2taa1trOmdaazpnWmtaa1prWmtaa1prWmtaa1prOWdaa1prWms5Z1prWmtaazlnWmtaa1prOWdaa1prWms5Z1prWmtaa1prWms5Z1prWmtaazlnWms5Z1prWmtaa1prWmtaa1prOWdaazlnWms5Z1prOWdaazlnWms5Z1prOWdaa1prWms5Z1prWmtaa1prWmtaa1prOWdaazlnWmtaa1prWmtaazlnWms5Z1prOWdaazlnWms5ZzlnOWdaazlnWms5Z1prOWdaazlnWms5Z1prOWdaazlnWms5Z1prOWdaazlnWms5Z1prOWdaaxhjOWc5ZzlnGGM5ZzlnWmtaawAAe29aa3tvWmt7b1pre29aa1prWmt6b1prem9aa3tvWmt7b1pre29aa3pvWmt7b3pve29aa3tvWmtaa1prem9aa3tvWmt7b1prWmtaa1prWmtaa1pre29aa1pr917WWpVSM0YTQrE5LSkMIcoc6xzsIE4pdk7YWlxrnXM4Y1prtlbJHC0pM0Zcazpne29aazhnem9Za3pvWmt7b1pre29ba1trWmt7b1pre29aa3tvWmtba1tre29ba3tvWmtba1prWmtZa1prOWdba1trO2f5XpAxyhxOLTxnXGs5Z3lrWGtaa1pre29ba3tvW2t7b1pre29aa1tvW2tba1prW2s6a1trWmtaa1prWmtaa1prWmtaa1prWmtaa1prWmtaa1prWmtaa1prWmtaa1prWmtaa1prWmtaa1prWmtaa1prWmtaa1prWmtaa1prWmtaa1prWmtaa1prWmtaa1prWmtaa1prWmtaa1prWmtaa1prWmtaa1prWmtaa1prWmtaa1prWmtaa1prWmtaa1prWmtaa3tvWmtaa1prWms5Z1prWmtaa1prWms5Z1prOWdaazlnWmtaa1prWmtaazlnWms5Z1prWmtaa1prWmtaa1prWmtaazlnWms5Z1prOWdaazlnOWc5Z1prOWc5ZzlnWmtaa1prAABaa3pvWmt6b1prem9aa3pvWmtaa1prWmtaa3pvWmt6b1prem9aa1prWmt6b1prem9aa3pvWmtaa1prWmtaa1prWmtaa1prWmtaa1prWmtaazlnOWc5ZzlnOWc5ZxhjGGP4XvlellLyPW4tDCXKGMkY6xzROTRGG2ddaxpjOmcZY+sgTinROV1rGWOdczpnWmtZa3prWWt6a1pre2tba1trWmt7b1pre29aa3tvWmtaa1prW2taa1trWmtba1prWmtaa1prOWdaa1prW2saZ/pekDXrIAwl+l5bazlnOGdZa1lrW2taa1prWmtaa1prWmtaa1prWmtaa1prW2s6Z1prWmtaa1prWmtaa1prWmtaa1prWms5Z1prWmtaazlnWms5Z1prOWdaazlnWms5Z1prOWdaazlnWmtaa1prOWdaazlnWmtaa1prWmtaa1prWmtaa1prOWdaa1prWms5Z1prOWdaazlnWms5Z1prOWdaa1prWms5Z1prWmtaazlnWmtaa1prOWdaa1prWms5Z1prWmtaazlnWms5Z1prOWdaazlnWms5Z1prOWdaazlnWms5Z1prOWdaazlnWms5Z1prOWdaazlnWms5Z1prOWdaazlnWms5ZzlnOWc5ZzlnOWc5ZzlnOWc5ZzlnOWc5Z1prOWcAAHtvem97b1pre296b3tvWmt7b1prem9aa3tvWmt7b1pre29aa3tvWmt7b1pre29aa3tvWmt6b1prem9aa3pvWmt7b1prWmtaa3tvWmt7b1pre29aa1prOWdaazlnOWcYY1prOWc6Z/he2FpVSpA1qRRWSrE1LSmRNZhSG2M8Z7hWkDUtKZA1XW9ca3xvOmd7b3pvWmt6a1pre29aa3trW2t7b1pre29aa3tvWmt7b1pre29aa3tvWmt7b1prW2taa1prWmtaazlnW2tbaztn+mLyPQwlDCWXVn1vOmdZa1lrem9aa1prWmt7b1prWmtaa3tvWmtaa1prW2taa1prWmtaa1prWmtaa1prWmtaa1prWmtaa1prWmtaa1prWmtaa1prWmtaazlnWmtaa1prOWdaa1prWmtaa1prWmtaa1prWmtaa3tvWmt7b1prWmtaa1prWmtaa1prWmtaa1prWmtaa1prWmtaa1prWmtaa1prWmtaa1prWmtaa1prWmtaa1prWmtaa1prWmtaa1prWmtaa1prWms5Z1prOWdaazlnWmtaa1prOWdaazlnWms5Z1prWmtaazlnWms5Z1prOWdaa1prWmtaa1prWmtaa1prWms5ZzlnOWc5ZzlnOWc5Z1prOWdaazlnWms5Z1prOWdaawAAWmt6b1pre29aa3pvWmt7b1prem9aa3pvWmt6b1prem9aa3pvWmt6b1prem9aa3pvWmt6b1prWmtZa1prWmtaa1prWmtaa1prWmtaa1prWmtaa1prWmtaa1prWmtaa1prWGc3ZzhjOWcZY/leE0LrIG8t0z1XStQ9DSVwLdM9NkqRMQ0hTik8ZzxnfW8ZY1trWmtaa1prWmtaa1prWmtba1pre29aa3tvWmt7b1pre29aa1prWmtaa1prWmtaa1prOWdaa1lrWms6Z1trOmcbYxNCTinqHDRGXGtaa1lnem9Za1prWmtaa1prWms5Z1prWmtaa1prWmtaa1prWmtaa1prWmtaa1prWmtaa1prWms5Z1prWmtaazlnWmtaa1prOWdaazlnWms5Z1prOWdaazlnWmtaa1prWmtaazlnWms5Z1prWmt7b1pre29aa1prWmtaa1prWms5Z1prOWdaazlnWms5Z1prOWdaazlnWms5Z1prWmtaazlnWmtaa1prOWdaa1prWms5Z1prWmtaazlnWms5Z1prOWdaazlnWms5Z1prOWdaazlnOWc5Z1prOWdaazlnWms5ZzlnOWdaazlnWms5Z1prOWdaazlnWms5ZzlnOWc5ZzlnOWc5ZzlnOWc5ZzlnOWc5ZzlnOWc5ZzlnAAB7b3pve296b3tvem97b3pve29aa3tvem97b1pre29aa3pvWmt7b3pve29aa3tvWmt7b1pre29aa1prWmt6b1pre29aa3tvWmtaa1pre29aazlnOWdaa1prWms5Z1prWWdYazdneW9Zaxlj+F5VSgwhDSWSNbpW9UEPJVAtUC0OJQ4lyxxPLXdS+mJ9b51zW2tba1prW2taa1trWmtba1pre29aa3tvWmt7b1pre29aa3tvWmt6b1prWmtaa3pvWmtaa1prWmtZa1prWmtbaxpjVU6PMeocjzU7azprWmtZa3prWmt6b1prWmtaa1prWmtaa1prWmtaa1prWWt6a1prWmtaa1prWmtaa1prWmtaa1prWmtaa1prWmtaa1prWmtaa1prWmtaa1prWmtaa1prWmtaa1prWmtaa1prWmtaa1prWmtaa1pre29aa3tvWmtaa1prWmtaa1prWmtaa1prWmtaa1prWmtaa1prWmtaa1prWmtaa1prWmtaa1prWmtaa1prWmtaa1prWmtaa1prWms5Z1prOWdaazlnWmtaa1prWmtaazlnWms5Z1prOWdaazlnWms5Z1prOWdaazlnWmtaa1prWmtaa1prWmtaa1prOWdaazlnOWc5ZzlnOWdaazlnOWc5Z1prOWdaazlnWmsAAFpre29aa3tvWmt7b1pre29aa3tvWmt6b1prem9aa1prWmt6b1prem9aa3pvWmtaa1prem9aa1prWmtaa1prWmtaa3tvWmtaa1prWmtaa1prWmt7b1pre29aa1prOWdaa1hnWGuab5tvGWMaY1VKDCENJbM53F71QYoUDiUvKbM5LynMHA0lsTU1RthaXGtbazpnW2s6Z1prWmdbazpnWmtaa1trWmtba1prWmtaa1prWmt6b1lrWmtZa1prWWtaazlnWmtZa1lrOWdbazpnG2eXUtI9yRgsKRljW2taa1lrWWtaa1prWmtaa1prWmtaa1prWmtZa1prWWtaa1lrWmtZa1prWmtaa1prWmtaa1prWmtaazlnWmtaa1prOWdaa1prWmtaa1prWmtaa1prWms5Z1prOWdaa1prWms5Z1prOWdaazlnWmtaa1prWmtaa1prWms5Z1prWmtaazlnWms5Z1prOWdaazlnWms5Z1prWmtaazlnWmtaa1prOWdaazlnWms5Z1prWmtaa1prWms5Z1prOWc5ZzlnWms5Z1prOWdaazlnWms5Z1prOWdaazlnWms5ZzlnOWdaazlnOWc5Z1prOWdaazlnWms5Z1prOWc5ZzlnOWc5ZzlnOWc5ZzlnWms5ZzlnOWdaazlnOWc5ZwAAe296b3tvem97b3pve296b3tvem97b1pre29aa3tvWmt6b1pre296b3tvem96b1pre29aa3pvWmt6b1prem9aa3tvWmt7b1pre29aa1prWmtaa1prWmtaa1prWmt7b3pvmm84Z3lrWWs6Zztnl1ILIQ0lkTEeZ1dOLiUvKQ4lLikWRg4lDSUMJZAxjzGXUvleXGtba1trWmtba1prW2taa1trW2tba1pre29aa1trWmt7b1prWmtZa1prWWt6a1prWmtaa1prWWdaa1prW2saZ9laE0LqIAohGmNbb3tvWWt6a1prem9aa3tvWmtba1prW2taa1prWWt6a1lrWWtZa1prWmtaa1prWmtaa1prWmtaa1prWmtaa1prWmtaa1pre29aa1prWmt7b1prWmtaa1prWmtaa1prWmtaa1prWmtaa1prWms5Z1prWmtaa1prWmtaa1prWmtaa1prWmtaa1prWmtaa1prWmtaa1prWmtaa1prWmtaa1prWmtaa1prWmtaa1prWmtaa1prWmtaa1prOWdaazlnWms5Z1prWmtaa1prWms5Z1prOWdaazlnWms5Z1prOWdaazlnWms5Z1prWmtaa1prWmtaa1prWmtaazlnWms5Z1prOWc5ZzlnWms5ZzlnOWdaazlnOWc5Z1prAABaa3pvWmt6b1prem9aa3tvem97b3pve29aa3tvWmt7b3pvem9aa3tve297b1prWmtZa1prWmtaa1lrWmtaa1pre297b1prWmtaa1prWmtaa1prWmtaa1prWmtaa1prWms5Z3prOWdaZxpjO2e4Vk0pDCFOKbpa+17zPbE5kDFvLcscyxzsILE1FEJNKY4xTC3QOZZSGWM6ZxljW2t7a3xvGWNaa3tvfG9ba1prWmt7b1prWmtaa1prOWdZa1lrWms5Z1prWWtaazlnWms6ZztrG2fyQcocCyV1TltrOWd7bxhjnHMYY3tvW2sYY3xvOms6azlnWmt6bzhnWWtZa3prWWtaa1prWmtaa1prWmtaa1prWms5Z1prOWdaa1prWmtaa1prWmtaazlnWmtaa1prOWdaa1prWmtaa1prOWc5ZzlnWms5Z1prOWdaa1prWmtaa1prWmtaazlnWms5Z1prOWdaazlnWms5Z1prOWdaa1prWms5Z1prOWdaa1prWms5Z1prWmtaazlnWmtaa3tvOWdaazlnWms5Z1prOWdaazlnWms5Z1prOWdaazlnWms5Z1prOWdaazlnOWc5ZzlnOWc5ZzlnWms5ZzlnOWdaazlnWms5Z1prOWc5ZzlnOWc5ZzlnOWdaazlnOWc5ZzlnOWcAAHtvWmt7b1pre29aa3tve297b3tve297b3tvem97b3pve296b3tvem+bc3tve29aa1prWmt6b1prWmtaa3pvWmt7b3tve29aa1prWmtaa1prWmtaa3tvWmt7b1prWmtaa1prW2tbaztnO2c7Z9laTi0MJU0p2l48a7dWllKWUlRK6xwNJesc6xy4VvpeVUrxPY4xbS2uNTJG+F45ZzpnGWOec1trOmcZY1trW2t8b1trW2taa3tvWmtaazlnOWc4Z1prWWtaa1lrWms5Z1trO2c7ZzRGCyHqHDNGW2tbb1pre297bxhjWmtaazprW2t8b3tvWmucc3pvWWtZa3lvWWtaa1prWmtaa1prWmtaa1prWmtaa1prWmtaa1prWmtaa3tvWmtaa1prWmtaa1prWmtaazlnWms5ZzlnOWd7b3tvWms5Z1prWmtaa1prWmtaa1prWmtaa1prWmtaa1prWmtaa1prWmtaa1prWmtaa1prWmtaa1prWmtaa1prWmtaa1prWmtaa1prWmtaa3tvWmtaa1prWmtaa1prWmtaa1prWms5Z1prOWdaazlnWmtaa1prOWdaazlnWms5Z1prOWdaazlnWms5Z1prOWdaazlnWmtaa1prWmtaazlnWms5Z1prOWdaa1prWms5Z1prOWdaawAAWmt6b1prem9aa3tvWmt7b3pve296b3tvem97b1pre297b3tvWmt6b3tve29aa1prWmtaa1prWmtaa1prWmtaa1pre29aa1prWmtaa1prWmtaa1prWmtaa1prWmtaa1prOmdbazpnO2sbYzxn2VqPMesgTS23Vn1vGWMZY/he11puLescyhgMIbhWfm/ZWhpjllLxPUwpbC2NMa41EUK2VtheGmM7Z1xvW2tbazpnOmd7b3tvOmc5ZxljOWdaa5xzOWdaa1lnWWtZa1prOmc7axpjl1LqHMkYjzVca1trOmd7b1trOWdbbzpn+F7xQXROOmd7b1trWmtZa3lrWWtZa1lrWmtaa1prWmtaa1prWmtaa1prOWdaazlnWms5Z1prWmtaazlnWms5Z1prWmtaa1prWmtaa1prOWc5Zzlne285Z1prOWdaazlnWms5Z1prWmtaazlnWmtaa1prOWdaazlnWms5Z1prOWdaazlnWmtaa1prOWdaazlnWms5Z1prWmtaazlnWms5Z1prOWdaazlnWms5Z1prOWdaazlnWms5Z1prOWc5ZzlnWms5Z1prOWdaazlnWms5Z1prOWc5ZzlnWms5Z1prOWdaazlnWmtaa1prOWdaazlnWms5Z1prOWdaazlnWms5Z1prOWc5ZzlnAAB7b1pre29aa3tvem97b3pve297b3tvem97b3pve29aa3tvem97b1pre297b3tvWmt6b1prem9aa3pvWmt6b1pre29aa3tvWmt7b1pre29aa3tvWmt7b1pre29aa1prWmtba1trO2c7ZztnO2f6XtE56iBMKXVOfG9ba1prOWf3XnZS6hzqHG4tE0LZWn1vfm9ca/let1Z1TvE9TClsLa41rzUSQrdWGmM7aztrXG98bzpnOmt7b3tvfG9aa1prOWdaa1lrWmtZa1prWWtaaztnO2eXVusgyRxNLRpjfG86Z1tvWmt7b3xvW2vwPQkhCiH5YltrW2s5Z3prWWt6b1lremtaa1prWmtaa1prWmtaa1prWmtaa1prWmtaa1prWmtaa1prWms5Z1prWmtaa1prWmtaa1prOWdaa1prWmtaa1prWmtaa1prWmtaa1prWmtaa1prWmtaa1prWmtaa1prWmtaa1prWmtaa1prWmtaa1prWmtaa1prWmtaa1prWmt7b1prWmtaa1prWmtaa1prWmtaa1prWmtaa1prWmtaa1prWmtaazlnWms5Z1prOWdaa1prWms5Z1prOWdaazlnWms5Z1prOWdaazlnWms5Z1prWmtaazlnWms5Z1prOWdaazlnWms5Z1prOWdaazlnWmsAAFprem9aa3pvWmt6b1pre29aa3tvem97b1prem9aa3tvWmt7b1prem9aa3pvWmt6b1prWmtaa3pvWmtaa1prem9aa1prWmtaa1prWmtaa3tvWmtaa1prWmtaa1prWmtaazpnWms6Z1trGmM7Z/piE0aoFCsl8T18b3trnHNaa1pr+V7RPckcCyVNKXVOfm9caxpjOmc7Z1trGWO2VhJCzzltLW4tbi3QOTRK2FoaZ1xvW2tcb1trW286ZzpnOWdaazlnWmtZa1prWWtaa1prW2saZ5dW6hwLIQslt1Zba1trWmt7bztrO2fYXukc6iAKIZZSXGs6Z1prWmtZa3pvWWtZa1prWmtaa1prWmtaa1prOWdaa1prWms5Z1prWmtaazlnWms5Z1prOWdaazlnWms5ZzlnGGM5ZzlnWmtaa1prOWdaazlnWms5Z1prOWdaazlnWmtaa1prOWdaa1prWms5Z1prOWdaazlnWms5Z1prWmtaazlnWms5Z1prWmtaa1prWmtaa1prOWdaazlnWms5Z1prWmtaazlnWmtaa1prOWdaazlnWms5ZzlnOWdaazlnWms5Z1prOWdaazlnWms5ZzlnOWdaazlnWms5Z1prOWdaazlnWms5ZzlnOWdaazlnOWc5ZzlnOWc5ZzlnWms5ZwAAe29aa3tvWmt7b1pre297b3tvem97b3pve29aa3tvWmt7b3pve29aa3pvWmt7b1prem9aa3tvWmt6b1pre29aa3tvWmt7b1pre29aa3tvWmtaa1pre29aa3tvWmtaa1premtZZ1prW2s6ZxpjO2dUSsgYKyXPOVtrfG+cb3tvW2s6Z9daKyXpIG0trzW3Vn1vfW9cb1xrGmM7Z1trO2e3WnZSNEbRPW4xbjGvNRJCM0r5XvleOmc6Z1trW2t8b3xvWmtZa1prWWt6a1lrWmtbazxrl1YsJQwlKyU0SlxrW29ba1trXGs6Z3VOZgwsKUwpdU59b1xvW2t7bzlnmm9Za1prWmtaa1prWmtaa1prWmtaa1prWmtaa1prWmtaa1prWms5Z1prWmtaazlnWms5Z5xze29aazlnWmtaa1prWmtaa1prWmtaa1prOWdaazlnWmtaa1prWmtaa1prWmtaa1prWmtaa1prWmtaa1prWmtaa1prWmtaa1prWmtaa1prWmtaa1prWmtaazlnWmtaa1prWmtaa1prWmtaa1prWmtaa1prWms5Z1prOWdaazlnWmtaa1prWmtaazlnWms5Z1prOWdaa1prWmtaa1prWmtaazlnWms5Z1prOWdaazlnWms5Z1prOWc5ZzlnWms5Z1prAABaa3pvWmt6b1pre29aa3tvWmt7b1prem9aa3tvWmt6b1pre29aa1prWmtaa1prem9aa3pvWmt6b1prem9aa3pvWmt7b1prWmtaa1prWmtaa1prWmtaa1prWmtaa1prWWtZa1lrOGd6axljGWMaY5VSyBhMKY0xW2tba3xvOWdbazpnGWONMSslSyltLa81GWM7Z31vnXN8bztnW2s6ZxpjG2c8Z/ped1LRPY4xTS1uMW0x8T10TvliOmdbazpnOWc6Z1prWWdZa1lrWmtaa1trPGvYWk0pCyHqHPE9W2tcbztrW2tba1xrsDWHEOocTS3yQX1vW2tba3tvOWdZa1lrWWtaa1prWmtaa1prWmtaazlnWms5Z1prWmtaazlnWms5Z1prOWdaazlnOWc5Zzln9145ZzlnWms5ZzlnOWdaazlnWms5Z1prOWdaazlnOWc5Z1prOWdaa1prWmtaa1prOWdaazlnWms5Z1prOWdaa1prWms5Z1prOWdaazlnWms5Z1prOWdaazlnWms5Z1prWmtaa1prWmtaa1prWmtaa1prWms5Z1prOWc5ZzlnOWc5Z1prOWdaazlnWms5Z1prOWdaazlnWms5Z1prWmtaazlnWms5Z1prOWdaazlnWms5Z1prOWc5ZzlnOWc5Z1prOWcAAHtvWmt7b1pre296b3tvem97b3pve29aa3tvWmt7b1pre296b3tvWmt6b1prem96b3tvWmt7b1pre29aa3tvWmt7b1pre29aa3tvWmt7b1pre29aa3tvWmt7b1prWmtZa3pvWGtZa3prOWcZYzpnllLIGEwpjjE7Z3xvfG97a5xzfG/3WvE96RzpHBJCsDVuLRpjO2d9b1xrfW9cb31vXGtdazxrXWs8Zxtjl1YzRtA5TS1MLW0xjjUSQnVSGmNca1trWmtaa1prem9aa1trW2t9b/lejzXqHOkcrzV9b1trnXM6Z1xrXGsrJckY6iCwNdA5XGtbazpre284Z3tvWWtaa1prW2taa1tvWmtba1prWmtaa1trWmtbb1prWms6a1prWmtaazlrWms6ZzpnGWPwPVRK+V46Z1trOmdaa1prWmtZa1prWWdaazlnWms5Z1prWmtaa1prWmtaa1prWmtaa1prWmtaa1prWmtaa1prWmtaa1prWmtaa1prWmtaa1prOWdaazlnWmtaa1prWmtaa1prWmtaa1prWmtaa1prWmtaa1prOWdaazlnWms5Z1prWmtaa1prWmtaa1prOWdaazlnWms5Z1prWmtaa1prWmtaa1prOWdaa1prWmtaa1prWmtaazlnWms5Z1prWmtaawAAWmt7b1pre29aa3tvWmt7b1pre29aa3tvWmt7b1pre29aa1prWmtaa1prWmtaa3pvWmtaa1pre29aa3pvWmtaa1prWmtZa3pvem97b1prWmtaa3pvWmtaa1lrWmtZa1prWWtZazhnWWtZazln+GL4Xk0pCiGPMbdWfXNaa3tvem9ZazlnVE4KIeoc80GQNU4pbi1VTthaGmNca35vXWt+c31vfW9baztnOmc7Zxlj11p1TlRK8T2PMS0pTi2xNRRC+V4ZYxpjOmcaYzpnO2dcaztnGmPRPekcCiErJVtrW2t8b1trO2fYWocQCyELIbA10Dlba1trOmdaa1tre29bazprWms6a1trOmtaazprWms6a1prOmtbazprWms6a1prOWtZbzlrOms7a1xvGmO4Vgwl6hzRORtf+l47Y1xnGV9aZ1lnOWdaazlnWmc6Z1trOmdbazprWms5Z1prWWtaazlnWmtaa1prOWdaa1prWms5Z1prOWdaazlnWms5Z1prWmtaa1prWmtaa1prWmtaazlnWmtaa1prWmtaazlnWmtaa1prOWdaazlnWms5Z1prOWdaazlnWms5Z1prOWdaa1prWms5ZzlnOWdaa1prWms5Z1prOWdaazlnWms5Z1prOWc5ZzlnOWc5ZzlnOWc5ZzlnAAB7b1pre29aa3tvWmt7b1pre29aa3tve297b1pre297b3tvWmt7b1prem9aa3tvWmt6b1pre297b3tvem97b1pre29aa1prWmt7b3tve29aa3tvWmt6b1prWmtZa1prWmtZa1lrWWtZa1lrOWcZY/lesDnqHI81dk6ec1trm3N6b3pvGGO2VukcLCWxOVZKsjnzQW4xTS3xPflePGddb55zOmd7b713fG9bazpnW2s6Z1trGmf5XpdSNEaxNXAxLSksKa41dE75XlxrXGtcaztnXGsaYxJCpxTpHCslGmNca3tvOmdca3VOZhDJGLE5t1ZUSnxvfG9aZ3xvWmt8b1trW2s6a1tvWmtbbzprW2s6a1trOmtbbzprW2s6a1tvOms5azlrWm86a1trXG88Z9pacDFPKewcTim5Vn5rXWc7YzljWWubb1lnOWc6Z3trW2tba1prW2taa1prWmtaa1prWmtaa1prWmtaa1prWmtaa1prWmtaa1prWms5Z1prWmtaa1prWmtaa1prWmtaa1prWmtaa1prWmtaa1prWmtaa1prWmtaa1prWms5Z1prWmtaa1prWmtaa1prOWdaazlnWms5ZzlnOWdaa1prWmtaa1prOWdaazlnWms5Z1prOWc5ZzlnWms5ZzlnOWdaazlnWmsAAFpre29aa3tvWmt7b1pre29aa3tvWmt7b1pre29aa3tvWmt7b1prWmtaa1prWmtaa1pre29aa3tvem97b1prem9aa1prWWtaa3pve29aa1prWmt6b1prWmtZa1prWWtaazhnWWtZa1lrOWc5Z/hiGWMTQskcbi0TRn1vfG96b5tzem85Z9daCiEtJW8x2153TgwljzGwNW4xTCnyPdlafW9ba5xve297b3tvm296a1prGWM6ZxpjO2cbY9laVUoTQo4xjjFMKU0tjjETRpdWG2MbYzxndlLJHKgYCyFVTlxrW2tba1xrM0aHEMkY8j35XrdWfW9ba1pre2tbazpnW2s6a1prOmtaazprWms6azprOmtaazprWms6a1trOmtaazhnWWs5azprOmtcbztnG2N2TvI5DCHrGI8tmFI8Y31rOmNaZzlnWmc5Y1pnOmdba1pnWms6Z1prWmtaazlrWmtaa1prOWdaa1prWms5Z1prWmtaazlnWms5Z1prOWdaa1prWmtaa1prWmtaa1prWmtaa1prOWdaazlnWms5Z1prWmtaazlnWms5Z1prOWdaa1prWms5Z1prOWdaazlnWms5Z1prOWc5ZzlnWmtaa1prOWdaazlnWms5Z1prOWdaazlnWms5ZzlnOWdaazlnOWc5ZwAAe297b3tvWmt7b3tve29aa3tve297b1pre297b3tvWmt7b3pve29aa3pvWmt6b1pre296b3tvWmt7b3pve29aa3tvWmtaa1pre296b3tvWmt7b1prem9aa1prWmtaa1prWWtZa3prWWtZazlnOWcZY5ZSyRhuLdA5fG98b3pvem96bzlnGWNNLS0pLilea9teFEZNLU0trzWvNY4x8kFVTltrWmt7b3trm297b3tvWWd7a1pnWms6Z3xvO2saZ/let1pUSvE9bS1MKU0przXROTVKVk5WTuocyhzKHNI5HGdbazpnO2uOMckYDCG4VhtjGmNba1trOmd8b1trW2tba1trWmtbb1prW29aa1prOWtabzprWms6a1pvOmtaazprWWtZa1pvOmtba1trXGs7Zzxndk7ROU0l6xxOKXdOXWeebzpjGWNaZ3xvOmc5Z1pnWmtaa1prWWtaa1prWmtaa1prWmtaa1prWmtaa1prWmtaa1prWmtaa1prWmtaazlne29aa1prWmtaa1prWmtaa3tvWmtaazlnWmtaa1prWmtaa1prWms5Z1prOWdaazlnWmtaa1prWmtaa1prWms5Z1prOWdaazlnWmtaa1prWmtaazlnWms5Z1prOWdaazlnWms5Z1prOWdaazlnWms5Z1prAABaa3tvWmt7b1pre29aa3tvWmt7b1pre29aa3tvWmt7b1pre29aa3pvWmtaa1prem9aa1prWmtaa1prWmtaa3pvWmt6b1prem9aa3pvWmt6b1prem9aa1prWWtaa1lrWmtZa1lrOWdZa1lrWmsZYxljl1bqHCwljzUaY3xzWmt6bzlnWmv4XvFBDCVOKftiPWscZxJCTCltLa81E0byPW0t8D2VUjlnnHN6b1prWWubb5tvm29aa1prOWc6ZzpnOmcaYxpj+V7YWnVOE0KPNW4tLSUMJS0liBSqGMscLim6Wn1vfXM7ZwshiBAMJftiXGs7ZztnOmdaa1prW2s6Z3xvOmtaa1prWms5a1prOWdaazlnWms5a1prOWdaazlrWms5a1pvWmtaazlnWms6Z1trGmMbY/I9LSVOKS0hLiV3ShtjO2c7Z1trOmdaZzlnWWdZZ1lrWWtaazlnWms6a1prOWdaa1prWms5Z1prWmtaa1prWmtaa1prOWdaazlnWmtaa1prWmtaa1prWmtaa1prWmtaazlnWms5Z1prWmtaa1prWms5Z1prOWdaazlnWms5Z1prOWdaazlnWms5Z1prOWdaazlnWms5Z1prWmtaazlnWms5Z1prOWdaazlnWms5Z1prOWdaazlnWms5Z1prOWcAAHtve297b3tve297b3tve297b1pre297b3tvWmt7b3tve29aa3tvWmt7b1pre296b3pvWmt6b1prWmtaa3pvWmt7b1pre29aa3pvWmt7b1pre29aa3pvWmtaa1lrWmtaa3pvWWtZa1lrem9aazprGWPZXiwpLCWOMdhafG97b1lrWWtaaxlndVJNKU4pmFI9a/peXGvYWkwpxxiOMTNGrzUqJY0xdE45Y5xznHOcc3pvWWtZa3tve297b3pre297b1trW2tbazpnGmPYWrdWdk4TQk4tDSWpFOwc7BwNIdM9+l47ZxtnDCXKHAwhHGdca31vO2d8b1prW2t7a1trW2taa1lrWm9aa1prWWtaa1lrWmtZa1prWWtaa1lrWmtZa1pvWmtab1prWms5Z1prOmc6Y1tn2FryPZAxTykuJQ0hFEIbX79zXGcZY1prnG9ZZ1lrWWtZa1lrWmtaa1trWmtaa1prWmtaa1prWmtaa1prWmtaa1prWmtaa1prWmtaa3tvWmt7b1prWmtaa1prWmtaa1prWmtaa1prWmtaa1prWmtaa1prWmtaazlnWmtaa1prWmtaa1prWms5Z1prOWdaa1prWmtaa1prOWdaa1prWms5Z1prOWdaazlnWms5Z1prOWdaazlnWms5Z1prOWdaawAAWmt7b1pre29aa3tvWmt7b1pre29aa3tvWmt7b1pre29aa3pvWmtaa1pre29aa3tvWmt6b1prWmtaa1prWmt6b1pre29aa1prWmtaa1prem9aa3pvWmtaa1lrWmtZa1prWmtaazlnWWtZa1prOWc6Z/le0DnpHI4xdE58b3tvWmtZa1prOme3Wo8xbi3zQV5vXW9ca/ledE6NMQohbTGWVq41bC1sLTJG+F6cb3tvWmtaa3pve2+bc3pvemtZZ1prOWc6ZzpnW2s7ZztnGmP6XhtjuFYUQnAxDSHtIO0cTy2PMfE98j0LIS0lTikcY59zXGs6Z3tvWms6Z3xvOmdba1prWmtZa1prWWtaazlnWWtZZ1lrOWdZa1lnWWs5Z1lrWmtaazlnWWtZa1lrOWdZZ1pnOmdca/pe0jWyNZIxzBgMITVGG2M8ZxpjW2t6a1lnWGdZa1hnWWtZa1prOmtaa1prWms5Z1prWmtaazlnWmtaa1prWmtaa1prWms5Z1prWmtaa1prWmtaa1prOWdaazlnWms5Z1prWmtaazlnWmtaa1prOWdaazlnWms5Z1prWmtaazlnWms5Z1prOWdaazlnWmtaa1prOWdaazlnWms5Z1prOWdaazlnWms5Z1prOWdaazlnOWc5Z1prOWc5ZzlnAAB7b3tve297b3tve297b3tve297b3tvWmt7b3tve29aa3pvWmt6b1pre297b3tve297b3pvem9aa3pvWmt7b3pve296b3tvWmt6b1prem9aa3tvWmt6b1prWmtaa1prWmtaa1prem9Za1prOWdaazpnGmMSQuocbjFTSltvvXdaa3tvOWd8b9ha0j1OLdI5Xm9dbztrO2tba9darjXPOdhat1bxPUwpTCkSQrZWOmd8b3xvW2t6a1prem96a5tve297b3premtaa3tvW2tbaztnGmM8Z/tiFEYuJewcUClwLbE5bi0sJYgQDSXsIJhWG2NcaxljfG86ZzpnfG87ZzpnW2taa1prWmtaa1lrWms5Z1prWWtaa1lrWmtZa1lrWWtbazlnOWdZZ3pvWWtZazhnWWs5YzpjGl/6WlZK0zlxLaoULiVWSjxnnnNbZzlnWWd5a1hrWWtZa1prWmtba1prW2taa1prWmtaa1prWmtaa3tvWmtaa1prWmtaa1prWmt7b1pre29aa1prWmtaazlnWmtaa1prWmt7b1prWms5Z1prWmtaazlnWms5Z1prOWdaa1prWmtaa1prWmtaazlnWmtaa3tvWmtaazlnWmtaa1prOWdaazlnWms5Z1prOWdaazlnWms5Z1prOWdaazlnWmsAAHtve297b3tvWmt7b1pre29aa3tvWmt7b1pre29aa3tvWmt6b1prem9aa3pvWmt7b1pre29aa3pvWmt6b1pre29aa3tvem97b1pre29aa3pvWmtaa1lrWms5Z1prWWtaazlnWmtZa1prWWtZazlnOmv5YpdWqBhuLa41XG9aa5xzWmt7b1trO2dVSi0lbzEcZ31vXGtba1trGWMZYxljOmcaY7haM0avNSslbS0zRjtnXGt8b1tre29aa3trWmtaa1lnem96a3pvm297bzlnWms7Z31v+l77XsscyxztIC8pmFI1StE5yhjsIOwgkDFuMTNGtlY6Z3xvlVJUSlxrfG86ZzpnW2+dc1prOWc5Z3tvWmtaazlnOWc4Z1lrWWtaazpnWms5Z1lrOGdZa1lreWtZZ1pnOWM6YxtjHGN4TtM5cC2qFOscNEb6XjpnWmtZZzdjWWtZa3prWWdaazpnWms6Z1prWmtaazlnWms5Z1prOWdaa1prWms5Z1prWmt7b1prWmtaa1prWmtaa1prWms5Z1prWmtaa1prWmtaa1prOWdaa1prWms5Z1prWmtaa1prWms5Z1prOWdaazlnWmtaa1prOWdaazlnWms5Z1prOWdaazlnWms5ZzlnOWdaazlnWms5Z1prOWc5ZzlnOWc5ZwAAe297b3tve297b1pre297b3tvWmt7b3tve29aa3tve297b1pre29aa3tvWmt7b3pve296b3tvWmt6b1pre297b3tvem97b3tve29aa3tvWmt6b1prem9aa1prWmtaa1prWmtaa3pvWmt6a1lrWms6Zzpnl1bpHE0przU7a3xve297b1prW2s7Z5dSTi1vMZdWnnNcb3xve286azpnW2tbaztnG2P6YlVKrzUsJY4x8T0aYxpjW2tba3xvW2t8b3tvm296b3lrWWd6b3pre297a3xvW2tda9pe6xzLHMwcDSX7YvtimFINJQ0l7CAURvE9TCltLa41rjWNMUwpM0YaY1xvOmc6ZzpnW29ba1trOmtaazlnWmtaa3tvWmtaazlnWms6Z1prWWtZa1hneWtZa1lnWWdbazpnXGc8Z/ped06yNbE1qhQLIVVKfW86Zzlne285ZzlnWWdaa1lrW29bb1prWmtaa1prWmtaa1prWmtaa1prWmtaa1prWmtaa1pre29aa3tvWmtaa1prWmtaa1prWmtaa1prWmtaa1prWmtaa1prWmtaa1prWmtaa1prWmtaa1prWmtaazlnWmtaa1prWmtaazlnWms5Z1prWmtaazlnWmtaa1prOWdaazlnWms5Z1prOWdaazlnWms5Z1prAAB7b3tvWmt7b1pre29aa3tvWmt7b1pre29aa3tvWmt7b1pre29aa3pvWmt7b1pre29aa3tvWmt6b1pre29aa3tvWmt6b1prem9aa3tvWmt6b1prem9aa1prWmtaa1lrWmtaa1trWmt6a1lrWms5Z1prOme3WuogKyWONRpjW2t8b3pve286Z1truFqwNS0pE0J9b51zfG97b1pre29ba3xvW2tcaxtn+V6WUjNGjjErJY4xEkKWUhpjW2t8bztnWmdZa3pvWWtZa1lrm297b3tve2saY35vPGdOKS4lzRxPKbhWfnPaXk4p6xwMIblal1bQPdA5bC0qJSslCiEsJZdSGmNcaztnO2c7Z1trGmM6ZxljW2t7b3tvOWcZYxljWms5Z1prOWdZazlnWWtZZ1lrOGdaa1prOmc6Z1xrG2P6XphSby0tJcoYTCkSQlxrOmc5ZzpnWmt7b1prOWc5Z3pvWmtaa1prWmtaa1prOWdaazlnWms5Z1prOWdaazlnWmtaa3tvWmtaa1prWmtaa1prWmtaa1prWmtaa1prWmtaa1prWms5Z1prWmtaazlnWms5Z1prOWdaazlnWms5Z1prOWdaazlnOWc5Z1prOWc5ZzlnWms5Z1prOWdaazlnOWc5Z1prOWdaazlnOWc5ZzlnOWcAAHtve297b1pre297b3tve297b1pre29aa3tve297b3tve296b3tvWmt7b3pve296b3tvem97b1pre296b3tvWmtaa1prem9aa3tvWmt7b1pre29aa3tvWmt7b1prWmtaa1tvW2t7b1prem9aa1prWmtba9haTS3qIK8111p8b3tvm3N7b1trW2v6YtI9TSmPNVxrfHOcc1pre297b3tve298b1xrO2caZ1xrGmN2UtA5rzWOMW4tbS3QOVRKGWN8b3pre2+cc3pvWmt6a3tvOmd0ThJC2V48Z9M97SDuIC8pFEZ+cxtjLSnKHAwhXmsaYxpn11qVUo4xTCksJesgTi0sJdE9llLZXl1rfW9cazpnnXM7ZxljGWNba3xvfG9aZ1prWmtaa1lrWmtZa1prOWdaa1pre286ZzpnOmdbZzpj+lp3Tk0pLCGoFE0p8j1ca1trW2t8b1prWmtZa1lrOWtaa1prWmtaa1prWmtaazlnWmtaa1prWmtaazlnWmtaa3tvWmt7b1pre29aa3tvWmtaa1prWmtaa3tvWmtaa1prWmtaa1prWmtaa1prWmtaa1prOWdaazlnWmtaa1prWmtaazlnWms5Z1prOWdaazlnWmtaa1prOWdaazlnWms5Z1prWmtaazlnWms5Z1prOWdaawAAWmt7b1pre29aa3tvWmt7b1pre29aa3tvWmt7b1pre29aa3pvWmt6b1prem9aa3tvWmt6b1pre29aa3pvWmt7bzlnWmtaa3pvWmtaa1prem9aa1prWmt6b1prWmtaa1prWmtba1prem9Za1lrWWtaaztr+F6vNekcjjF1UnxvfG9aa3tvW2tca/piFEZNLY4x+V58b5xzem9aa3tvWmt7bzlne297a1prGmM6Z/le2FoTQvE9jjFMKSslbC2vNRFC+F5aa5xvfG85Z1trOmfXWislTSnSPR1nWE7NHO8gDiWxOZ5zHGdOLckYLCVebzxnXGsaYxpn8kHqHJA1Ty2JFAwlTSksJQwhbi00RthWPGcbY1xrXGt8bztnO2c6Z1pnWmd6a1premtaZ1pnOWdaZ1prW2taZ1pnOWdZazhnOWc6Y9laVEbqHAshqBRuLRNCPGt9bztnGWM5Z5tzem84ZzlnWmtaa1prOWdaazlnWms5Z1prOWdaazlnWms5Z1prWmt7b1pre29aa1prWmtaazlnWmtaa1prWmtaa1prWms5Z1prWmtaazlnWmtaa1prOWdaazlnWms5Z1prWmtaazlnWms5ZzlnOWc5ZzlnWms5Z1prOWdaazlnWms5Z1prOWdaazlnWms5ZzlnOWc5ZzlnAAB7b1pre29aa3tvWmt7b3tve29aa3tve297b1pre297b3tvWmt7b1pre29aa3tvem97b1pre296b3tvWmt7b1prWmtaa3pvWmt7b1pre29aa1prWmt7b1pre29aa1prWmtba1tre29aa3pvWWtaa1prW2v5XhNGyBiOMTJGnXN8b3pve297bztrPGdVTrA1bjGWVltrvXd6b5tze296b3tvemt5a3pvWWdaa1pnW2saY1tr+V51TtA5jjFMKUwpTCnwPVNKGmN9b31vnXNba1NKyRgMJXAxulbdXs4cMSnuIJAxO2c8a24t6xwtKV5vPGt9bxpjnnNUSuocsjlXTuwgDSFvLTVGFEJvLSwlbi1NKfI9dU4bY1xrXGcaY1xrfG9aa1lnemtaa3trWmdbazpnW2taZ1prWWd6a1lreWtYZ5xv+Fq3VrdWCyHKGOscDCE1StlafW9ca1prWmt6b1hrWmtaa1prWmtaa1prWmtaa1prOWdaa1prWms5Z1prWmt7b1pre29aa3tvWmt7b1prWmtaa1prWmtaa1prWmtaa1prWmtaa1prWmtaa1prWmtaazlnWms5Z1prWmtaa1prWms5Z1prOWdaazlnWms5Z1prOWdaazlnWms5Z1prWmtaa1prWmtaa1prOWdaazlnWmsAAFpre29aa1prWmt7b1pre297b3tvWmt7b1pre29aa1prWmt7b1prem9aa3tvWmt7b1prem9aa3tvem97b1prWmtaa3pvWmt6b1prem9aa1prWWtaa1prem9aa1prOWdaazprW2taa1prWWtZazlnWms6ZxljVEqoGG0x8T18b3xvWmucc1prO2s8a7hWsDVtLRJCOmecc3pvm3Obc1prm3Oab3hrN2d5a3tvm29aazpn+V46ZzpnO2f4XnROrzVMKSwlbi0TRthaGmOecztn8kGIFC0lLiXUOZtW8CTPHK0YLSnYWhtjbi3KHE4pHGd+b1xrO2dca5ZSyhhPLZpS1D0OJXAxeFL8YjVG0jmxNU4pLSUsJU0p8j24VlxrPGc6YzhjWGc4Z1pnWmdbazpnW2c7Z1prOWdZa1lreWtYa3lrOWNbZzpj2Fa4Vi0liBAtJewg8j3ZXn1vW2s5ZzdnWWtZa1prWmtaa1prWms5Z1prOWdaa1prWmtaa1prWmtaa1prWmtaa1prWmtaa1prWmtaa1prWmtaa1prWmtaa1prWmtaazlnWmtaa1prOWdaa1prWms5Z1prOWdaazlnWmtaa1prOWdaazlnWms5Z1prOWdaazlnWms5Z1prOWdaa1prWms5Z1prOWdaazlnOWc5ZwAAe29aa3tvWmt7b1pre297b5xze297b3tve29aa3tvWmt7b3pve29aa3tvem97b3pve29aa3tvem97b3pve29aa3tvem97b1pre29aa3pvWmtaa1prem9aa3tvWmtaazlnWmtaa1prWWt6a1lrWms5Z1trGWOWUqcUjjHPOX1zfG97b5tzW2s6Z31z2V7xPUwp0DkZY51zWmucc5tvWmuac5pzeW+ab5pvem84ZzlnW2ucb1trOmcZYzpn+F7XWpZS0T1tLW4trzU0ShtnPGcTQgwhcC2SMVEpnFZzMRElzhxPLZdWXWtvMesgLSn6Yn1vfW9ba3xv2FosJQ0l3Fq7WpIxDSEUQj1nXms9Z7lWTi2xNbE1sTVOKS0lTSnSOVRKGWMYYzpnOmdba1trXGtbZ1xrOmdba1lnWWtYZ3lreW9aazpjOmc7Z9lal1KwNYcQDCULIbA5t1Z8b1trWWtZa1prWmtaa1prWmtZa1prOWdaa1prWmtaa1trWmtba1pre29aa1trWmtba1prWmtaa1prWmtaa1pre29aa1prWmtaa1prWmtaa1prWmtaa1prWmtaa1prOWdaazlnWms5Z1prWmtaazlnWmtaa1prOWdaazlnWms5Z1prWmtaa1prWmtaa1prWmtaazlnWms5Z1prAABaa1prWmt7b1pre297b3tve297b3tve29aa3tve297b1prem9aa3pvWmt6b1prem9aa3pvWmt6b1prem9aa3pvWmtaa1prWms5Z1prWmtaa1lrem9aa3pvWWtaa1pre29ZZ1lrWWtaa1lrWmtaa1trGWM7Z3VS6RxtLfA9Gmd8b1tre29aa3tvW2s6Z3ZSTS2wOVVOn3dba3xvm3NYZ7t3em+bc3pve29aa1prWmtaa1tre29aa1trOmc5ZxljOWf4XnVOjjFNKW0t8j13TjVGDSEPJdU5lDGuFHxOrhQQIewcNUY9Z7E56hxNKTpnnXN7a1prOWcZYyslLSl4Uh5nszWSMXAtXmsbY3ZOCyHrHOwc7RwOIXEtkTFwLS0lDCULIW4x8j12UtleXGtcazxr+WJca3xvfG9aZ1prWmt7bzpnWmdaa1trOmc5Z5VSzzmFEEspKyVMKXROXGs7Z1trOmdaazlnOWc5Z3pvem9aazlnWmtaa1trWmtba1prW2s6Z1trOmtbazprW2taa1trWmtaa1prWmtaa1prWmtaazlnWmtaa1prWmtaa1prWmtaa1prOWdaazlnWms5Z1prOWdaa1prWms5Z1prOWdaazlnWms5ZzlnOWc5ZzlnWmtaa1prWmtaazlnWms5ZzlnOWcAAHtvWmt7b3tve297b5xze297b3tve297b3tve297b3tve29aa3tvWmt7b1pre29aa3tvWmt7b1pre29aa3tvWmt6b1prem9aa1prWmtaa1prWmtaa3tvWmtaa1lrWmtaa1prWWt6b1prWmtaa1tvW2s6aztrt1YJIW0t0DkaZ3xvfG97b1prWmt7bzlnt1aOMZA1NEafdzxrfHObb3lrmnObc3tvnHN7b3tvWmt7b1pre29aa3tvWmtaazlnWms5ZxhjGWP4WlRKrzUtJY8tLiXMGHEtOUa1NVMptjXwHBAh7SDTOV5rsTnrIEwpW2ucc5tvemtaaxljbTEsJVdKHWOZUm8pNUK4Vn1r8TnKGE4pTykOIc0czRwvJZIxNkqZVjVKby0MIS0pjzGPMRNCllJcaztnO2c6Z1trW2t8b3tve29aa1trOWc5Z1pnWmv3XpVSZAzoHK85CiGwNX9vXW+dczlnOmd7b5xzOWc4Z1lrWWtZa1prWmt7b1trW29ba1trWmtba1trW2taa1tvW2tba1prW2taa1prWmtaa1pre29aa3tvWmtaa1prWms5Z1prWmtaa1prWms5Z1prWmtaa1prWmtaa1prOWdaa1prWms5Z1prOWdaazlnWmtaa1prWmt7b1prWmtaa1prOWdaawAAWmt7b1pre297b3tve297b3tve297b3tvWmt7b1pre29aa3pvWmt6b1prem9aa3pvWmt6b1prem9aa3pvWmt6b1prWmtaa1prWmtaa1lrWmtZa1prWmtaa1lrWmtZa1prWWt6a1lrWmtaa1trWmtbazpnW2u3WkwpSymvOdhanXN7b5xzWWt7b1prOmvXWtA5LCkTQl1rXGtba5tzWGuac3pve297b3tvWmt7b1pre29aa3tvWmtaa1prWms5Z1prOWd7bzpnGWNUStA1TSmpFKoUcS04RvY9cy1zLa4UECHMGC8p/GKyNaoYTSkaZ3xve2+bczlnOWfQOSwl0z0dY/xesTXzOZdOf29vLcoYFELaWnhOkjUOJasY7CBwLfRBuVb7XphS0j0tKU0pLCksJW4trzUSQrZW+V46ZzpnW2saY1trXGt8b1trW2s6Zzpn+F63ViwlqBhOLS0lDSF3UvpiW2t7b1prOWd7b3pvem9ZZ1lrWWtaa1lrWmtZa1prOmtbazpnW2taa1trWmtaa1prWmtaa1prWmtaa1prWmtaa3tvWmtaa1prWms5Z1prWmtaazlnWms5Z1prOWdaazlnWms5Z1prOWdaazlnWms5Z1prOWc5ZzlnWms5Z1prOWdaazlnWms5Z1prOWc5ZzlnAAB7b3tve297b3tve2+cc3tvnHN7b3tve297b3tve29aa3tvem97b1pre296b3tvWmt7b1pre29aa3tvWmt7b1pre29aa3tvem97b1prem9aa3pvWmt7b1pre29aa3tvemt6b1prem9aa3tvWmt7b1trW2tba/lerjUrJY4xl1Z9c5xznHN6b3pve29aaxljE0YLJdE5HGdca3xvm3N6b3pve297b3tve297b3tve297b3tve297b1pre29aa1prWmt7b1prGWM6Zztn2FpVSi0lDSEuJRZCWUpSKbU1rhjvIO4gzBz9XrM5yhgtKTxnfG97b5tzWms5Z1RKCyGRNRxjHGOYUm8puVZeZ04pDSF3Tn5rHGO5VhRCkDUNJQ0h7CCyORRCuVocZ/peNEbROdE5bi1NLW0tbS2OMa41EUJ0ThpnO2dca1xrfG87ZztnXGs8a/pe2VrSOcsc7BxQLewgE0LZXn1vO2c6Z3tvnHNaa1prWWtZa1lremtZa1prWWtaa1prWmtaa1prWmtba1prW2taa1prWmtaa1prWmtaa1prWmtaa1prWmtaa1prWmtaa1prWms5Z1prOWdaazlnWmtaa1prOWdaazlnWmtaa1prOWdaazlnWms5Z1prOWc5ZzlnWms5Z1prWmtaazlnWmsAAFpre297b3tve297b3tve297b3tve297b1pre29aa3tvWmt6b1pre29aa3pvWmt7b1prem9aa3pvWmt6b1prem9aa3tvem97b3pve29aa3pvWmtaa1prem9aa3tvWmt6b1lrem9aa3pvWmtaa1prW2s6azpr+WIRQukcbS00Sp1ze2+cc1pre29aa1trGmd2UusgjzW4Vn1vW2ubc3pvmm9aa3tvWmt7b1pre297b3tvWmt7b1pre29aa3tvWmt7b1pre286Z3tvO2caY9laNUYtJQ0l0zUeY7Q1tDVyLc4cDyXNHHpS9UGqGE4pPGd9b1prnHM5ZzpnllIsJU4t+15cazxnby13TplScS3sHHdOG2M7ZztnGmO4VlVK0jmRMQwlDCFOLTVK2l4bY/piG2N2UlVK8T2vNUwpKyUqJUwpCiGOMfE9dlLZWrhal1L7YhxjXmt/c9xeUC3MHO4gDiUtJbE1dk48a11vW2sZYzlnWWtZa1lrWWtYa1lrWGtZa1lnWmtZa1prWWtaa1prWmtaa1prWmtaa1prWmtaa1prOWdaa1prWmtaa1prWmtaazlnWms5Z1prOWc5ZzlnWms5Z1prOWdaazlnOWc5Z1prOWdaazlnOWc5ZzlnOWdaaxhjWms5Z1prOWdaa1prWms5ZwAAe297b3tve297b3tve297b3tve297b3tve29aa3tve297b3pve296b3tvem97b3pve29aa3tvWmt7b1pre29aa3tve297b3tve296b3tvem9aa1prWmtaa3pvWmt7b1prem9aa3pvWmtaa1prWmtaa1trOWc6Z1RK6RxMLRJCfW98c5xze297b3tvW2tca7dWTSluLVVOXW98b3tvm3N6b3pvWmt7b3tve297b3tve297b3tve297b3tvWmt7b1prWmt6b3tve29baxpjO2e3Uk0pLSWyNT9nu1YvJThGixAxKc4c9kH2QasYLik8Z1xre297b1prOmf5XiwlTim4Vp5z+Fp2SrI1N0bUOe0cd059b3xvnHN6a1tr+l65VldOFEbyPW8xDCWQNZdSPGc8ZzxnG2P6Xtha2Fp1ThJCjzFtLW0tbi2PMbA1CyGpGAwlNkqZUh5nP2u7WtU9MSmrFO0g7CBwMRRG+l48a31vW2t7b1premtZa1lrWGt5a1lrWmtZa1prWWtaa1prem9aa1prWmtaa1prWmtaa1trWmt7b1pre29aa1prWmtaazlnWms5Z1prOWdaazlnWms5Z1prOWdaa1prWms5Z1prWmtaazlnWms5ZzlnOWdaazlnOWc5Z1prOWdaa1prWms5Z1prAABaa3tvWmt7b1pre29aa3tvWmt7b1pre29aa3tvWmt7b1pre29aa3tvWmt7b1pre29aa3pvWmt6b1prem9aa3pvem97b1prem9aa3pvWmt6b1prWms5Z1prWmt7b1prWmtaa3pvWmtaa1lrWms5Z1prW2s6ZxpnllboHG0t0Dl9b3tvnHN6b5xzem9ba1tr2F6OMU0p0Tlca1tre296b3pvWmt7b1pre29aa3tvWmt7b1pre29aa3tvWmt7b1prWmtZa3prOGdaa1pnW2tba9hajzEsIW8t+14dY7M10zmsGBAlECUxKfdBahAuJfpeXGt7a5tvWWdaaxljTCktJVVKfGv4WvpesTX2QfZB7RxWSnxve29Za1hrOWdbaxxnHGf7YlVKsDWPMU0pTSnRPdlaXW+ec11rO2cbYzxn+mLYWnVONEqOMW0tbi0LJS0lNUrsHHAtszk3SrtavFq1Oc4c7iDuJM0cDSWxNZhWO2d9b1trW2taa1lrWWdZa1lnWWtZa1lrWWdZa1lrWmtZa1prWWtaa1prWmtaa1prWmtaa1pre29aa1prWmtaazlnWms5Z1prOWc5ZzlnOWc5ZzlnOWdaazlnWms5ZzlnOWdaazlnWms5ZzlnOWc5ZzlnWms5Z1prWmtaazlnWmtaa1prOWcAAHtvWmt7b1pre297b3tve297b1pre29aa3tve297b3tve296b3tvem97b3pve296b3tvWmt7b1pre29aa3tvWmt7b3pvem9aa3pvWmt6b1pre29aa1prWmt7b3tve296b3tvWmtaa1prWmtZa1prOWd7bxlnW2u3WukgbS3ROV1vfG+bc3tvm3N7b1prfG/4XtA5LCWPNTxrfG97b3pvWWt7b3tve297b3tve297b3tve297b3tvWmt7b1pre29aa1prem96b1prWms6Z3xv+WJVSgshbi13Th1j+14uJS8lUi0yLfAgGEarGC8pHGd9b51ze296a1pnOmdMKS0pE0J7a3trPGdWSjhK1T0OIdI5fG96b5lveGtZa1trXWscZ35vG2eXVtE9jjFNLW4tbi1USvpefnNdazxrXGtdbztnO2c6Z/le2Fq4VtE5bzE1RrE5DSUOJS8pMClxMbQ5cjFSLe4gziAPJS8pTykURvpifW9ca1trWmtaa1lrWmtZa1prWWtaa1lremtaa3prWWtaa1prWmtaa1trWmtba1prWmtaa1prWmtaa1prWmtaa1prOWdaazlnWms5Z1prOWdaazlnWms5Z1prOWdaazlnWms5ZzlnOWc5ZzlnWms5Z1prWmtaa1prWmtaa1prOWdaawAAWmt7b1pre29aa3tvWmt7b1pre29aa3tvWmt7b3tve29aa3tvWmt7b1prem9aa1prWmt6b1prem9aa1prWmt7b1prem9aa3pvWmtaa1prWmtaa1prWWtaa1pre296b3tvWmt7b1prWms5Z1lnOWdZazpnWmsZY9he6SBMKdE5O2d8b3tve2+bc3tve286ZxpnVU4KIW4xdU47Z957WWt6b1pre29aa3tvWmt7b1pre29aa3tvWmt7b1pre29aa3pvWWt6b1lrem9aa1trOmc6Z9daTCksJbA1PWccY1ZKyxgQJTIpUzH3QWoQUC0cY31vfG9aa5xzW2sZY9E5TSmwNVpnems7YxxjOEqTMXEtLSUYX3pvunNXZ5pzWms7Z11r+l47ZztnG2OXUhJCbi0rJU0pjzUzRvpeXWtdazxnXGs7Z1trOmcaYxpj+l4TQiwlkDHTPbE1sjkNJQ0lqxjtIBAlzxxsFJQ1szmSNS4pTilVStleO2tbazpnW2tbb3xvOGdaa3pvm29Za1lrOWdaa1prWmtaa1prOWdaa1pre285Z1prWmtaazlnWmtaa1prWmtaa1prWms5Z1prOWdaazlnWmtaa1prOWdaazlnWms5ZzlnOWdaazlnOWc5ZzlnOWdaazlnWms5Z1prOWdaazlnAAB7b3tve297b3tve297b3tve29aa3tve297b3tve297b3tvWmt7b3tve296b3tvem97b1pre29aa3pvWmt7b3pve29aa3tvWmt6b1prem9aa3pvWmt6b1pre296b3tvem97b1pre29aa1prWWtaa1lrWmtaazpn+F5MLQsh0T35Xnxze297b3tvm3N6b1trOme3VuogjzUSQnxvnHN7b3pve297b3tve297b3tve297b3tve297b3tve29aa3tvWmt6b1lrem9ab3tvWmtbazpn+V7xPQsh0DX6XjxnuVYuKc4cdDEyKXQ17iAOJTxnfW+dc1prvXdbaxpj8kEsJY4xe2tZZ51vPWe6VvU9UC0tKZVSem94b3hvem85a31vPGuedztn+V4aY1xrGmN1Tq81jjEsJSwprzVVTtlaXWuec1tre2+dc1trW2saY5dS0T2QMbE1uVpWSjVGby2QMYoU7yQyKRAl7yTuIFAt0z3SOakYjzXYWlxrfW87ZztnOmedc1prOGcYYzlnWmt7b3tve29aa1prWmtaa1pre29aa1prWmtaa1prWmtaa1prWmtaa1prWmtaa1prOWdaazlnWmtaa1prWmtaazlnWms5Z1prOWdaa1prWms5Z1prOWdaazlnWmtaa1prWmtaa1prWmsAAFpre29aa3tvWmt7b1pre29aa3tvWmt7b1pre29aa3tvWmt6b1pre296b3tvem97b1prem9aa3pvWmt6b1prem9aa3pvWmtaa1prWmtaa1prWmtaa1prem96b3tvWmtaa1prW2taa3pvWmt6b1lrWmtaa3tvGWMZY681yRywObdWW2t7b3prem96b3tvWms6Z9haCyVuLbA1XG9bb3tvem9aa3tvWmt7b3tve29aa3tve297b3tve297b3tvWmt6b1lrWW9Za1pvWmt7bzpnOmsZY9da6RzQNXZOXWv6XvM9axCVNe8gECUvKQ0hG2N+b3xve2+cc3trGmN2Tuscbi0YX1lnnnM9Z/xieFIuKU0pzzl6bzdnmnM4Z1lrnHM7a3xvW2sZYzpnXGtca/hetlbxPa81TCkLJQohbjFVSjtnfG+cb1trXGt8b31v+l6WUgwlLSk1Rj1r2lrZWndOsjnuIO8grRwPJXExUC1PLQ0lsDUtKQoh0DnZWp5zfW87axljOmtba3xvWmtaazpnW2taa1trOWdaazlnWmtZa1prWmtaazlnWmtaa1prOWdaa1prWms5Z1prOWdaazlnOWdaa1prWmtaazlnWms5ZzlnOWc5ZzlnOWc5ZzlnOWc5ZzlnOWc5Z1prWmtaa1prWms5ZwAAe297b3tve297b3tve297b3tve297b3tve297b3tve297b3pve297b5tze297b3tve296b3tvWmt7b3pve29aa3tvem97b1pre29aa3pvWmt6b1prem96b3tve297b1prW2tba3tvem97b3prem9Za3pvWms5ZxljM0qnFLA1VEp8b3tvm3N6b3tvem97bzpnGmNMKUwpbjE7a1trnHNaa3tve297b3tve297b3tvWmucc3tve297b3tvWmt7b1prem9Za1prWWt7b1prW2s6azpnGWNtLW0tM0ZdazxnmFLNHDItESXOHDApDSEcZ31vfG97a5xzW2tba/leLCVuLZVSWmedcztnXm/aXrE5CyVtLfheem+bczhnWmuddzprOmdba5xze2s6ZxljOmc7Z1trllLQOU0tbS1NLW4tbS2VUvhenXOdc31vO2c8Zxtn8j0sJU0p+l48Z11r2Vq5VnhOkjXsIMscsTVvMbE5TSlNLU0tbjFNLU0pjzGWUn1vfW9baztrOmdba1trW2s6a1tvWmtaa1prWmtaa1prWmtaa1prWmtaa1prWmtaa1prWmtaa1prWmtaa1prWms5Z1prWmtaa1prWms5Z1prOWdaazlnWms5Z1prOWc5ZzlnWms5Z1prWmtaa1prWmtaa1prAABaa3tvWmt7b1pre29aa3tvWmt7b1pre29aa3tvWmt7b3pve297b3tvem97b1pre29aa3pvWmt7b1pre29aa3pvWmt6b1prem9aa1prWmt6b1lrWmtaa3tvem97b1prWmtaa1trW2t7b1prWmtZa1lrWWtaaxljGmd1TqgYbi3yPTpne2+bb5tvWWt6b1prW2v4Xq816hyPMbdWfXNba3tve297b3tve297b3tvWmt7b1pre29aa3tvWmtaa1prWmtZa1lvWWtab1prWm9aa1trOmcZYxJCKynQOTxrGmP7YlEtzhxRLe4g7SAuKRtjXG9ba3tve297bztnG2dOLU0p8D2cb1trO2d9bxtnVU4KIUwpVEqdd3tvOWt7c3pvWmtaa3tve297b1prWms6Zzpn+F46Zxpjt1bxPW0tKyVNLUwtzzlTSvleXGuec11rPGfZWpA16yCPMV1rXWs7Zzxn+2L7YlZOjzHQOTNGt1p1TvE9rzVMKSwpCyELJU0tsDmWUvleXGt9bztrOmc6Z1tvWmtba1prWms5Z1prWWtaazlnWmtaa1prOWdaa1prWms5Z1prOWdaazlnWms5Z1prOWdaa1prWms5Z1prOWc5ZzlnOWc5ZzlnOWc5ZzlnOWc5Z1prOWdaazlnWms5Z1prOWcAAHtve297b3tve297b3tve297b3tve297b3tve297b3tve297b5tze297b3pve29aa3tvWmt7b3tve296b3tvWmt7b1pre296b3tvWmt7b1prem9aa3tvem97b3pve29aa3tvW2t7b3pvem9Za1lrWWt6b1lrOmcaY7daCyFNKY81Omd7b5xze296b3pve29aa/liM0bqHI4xVEqdc1trfG97b3tvnHN7b3tve297b3tve29aa3tvWmt7b1pre29aa3pvWWtab1lrem9aa1tvWmtba/he11orJa81+V47YzxnN0qMFHIxDyXMHE8tPGdca5xve297b1prXGsbY/M9LCXPNZ1zW2tba31vO2caY0wpTS2vNZ5zO2t8b5tzeW9Za3tvemt7b3pre29ba1trOmdbaxpjGmMaYxpjt1YTRo4xTCkKIQshjzWXUhxjXm89axxjmFZvLQwhuVqfc35zXWsaY1trW2sZYxlj+F5aa/he+F6WVlRO8T2OMSslCyHqICwl0Tm4WjtnXW87a1xrW2tba1prW2taa1prWWt6a1lrWmtaa1prWmtaa1prWmtaa1prWmtaa1prWms5Z1prWmtaa1prWmtaa1prOWdaazlnWms5Z1prOWdaazlnWms5Z1prWmtaa1prWms5Z1prOWdaawAAWmt7b1pre29aa3tvWmt7b3tve29aa3tvWmt7b1pre29aa3tvWmt7b3pve29aa3pvWmt7b1pre297b3tvWmtaa1pre29aa3pvWmt6b1prem9aa3pvWmtaa1pre29aa1prW2t7b1prem9aa3pvWWt6b1prWmsZZxpnt1puMQshbjH4Xlpre296b1lrem9aa1trGWOXVuocbS3xPX1vOmt8b3tve297b3tve297b1pre29aa3tvWmtaa1pre29aa3pvWm96b1lrWmtaa1pvOmtaazpnOmf4Xo0xbS2WUjtnPWuaVu4g7iAvKewcTy07Z3xvnHOcc1pre2tcaxtjd04tKY4xOmdba3trWmdaaztnEkILJU4tuFpdb1tvnHNYa3lvWGt6a3prem9ZZ1prOmdbaxljW2tca1xrGmP5XrdWt1awNZA1bi1OKS0pkTVWSh1julo+a/RBbzGQMRxnG2M7Z3tvWWvWWnpvem9Za1lnemsXYxlj+GLYXnVSEkJNLeocbi0tKQshjzFVThtnW2tbazprW2s6a1prWmtaa1lrWWtZa1prOWdaa1prWms5Z1prOWdaazlnWms5Z1prOWdaazlnWms5Z1prWmtaazlnWmtaa1prOWc5ZzlnWms5Z1prOWdaazlnWmtaa1prOWdaazlnAAB7b3tve297b3tve297b3tve297b3tve297b3tve29aa3pvWmt7b1pre296b3tvem97b3pve297b5tze297b1pre296b3tvWmt7b1pre29aa3tvWmt6b1pre296b3tvWmt8b1tre29aa3tvem+bb3pvm29Za1prGmPYXtA5CyFuLdhaOWd7b3pvem96b3tvWms6Z9haLCUsJdA5W2tba3xvnHN7b5xze2+cc3tve29aa3tvWmt7b1pre297b3tvem97c3pvWm9aa1pvWmtaazlrWmtbaxhfzzlsLVNKfG9ca9taMCnMGC4lLiUuKTxrfG+9d5xze297b51zGmMcZ04tbi2XVn1ve285Z1pne2+3VuogLSkURn5vfG97b3lveW+bc3prWmtZa3pvemt7b1prnG9bazpnGmNba1trO2f5YhpjVUqwNU4tjzFvLU8tLinSOTVGVk4tKW4tNEZ+b31zem+bczhneW9Za5tzm284Z1prWmtbaxlnOmcZY7dWM0YsJU0tbjFNKU0pjzWWUlxrXGtba1trW2tbb1prWmtaa1prWmtaa1prWmtaa1prWmtaa1prWms6Z1prWmtaa1prWms5Z1prWmtaa1prWmtaa3tvWmtaazlnWms5Z1prWmtaazlnWmtaa1prWmtaa1prWmsAAFpre29aa3tvWmt7b1pre29aa3pvWmt7b1prem9aa3tve297b1pre29aa3tvem97b1pre296b3tvWmt7b1prem9aa3tvWmt6b1prWmtaa3pvWmt6b1pre29aa3pvWmtaa1trW2taa3tvWmt6b3pvem85Z3pvOmc6Z9le8kGHEI81dVK3WpxznHNZZ5tzWWt7b1tr+F6OMekcrzUZX3xrfG9ba3tve297b1pre29aa3tvWmt7b1pre297b3tvWmt7b1prWmtaa1prWWtaa1lrWmtZazlnOWcxRowxrjX4Xnxv+l5WTokU7CDsIC4pG2Oec3xvfG97b3tvOmc6Z9heVUpPLTZKXW+dcxhjvHf3XjpnbjHrHJE1PWsaZ5xzmnNZa1lrWms5Z1lrOWdaa1pre29aa1prOmdaazpnWms5ZzpnGmcaZ9hadU7QOW4xTClNKSwpLCULIQwlCyFvMVZOXW+cc1lrem+cc1lnWmt7a1trW2tba1pnWmc5YzlnGGM5Z/heM0ZtMUwpCyULJW0t8kG4WjtnXGs7aztnfG9bazpnOWdaa1pre285ZzlnOmd7b1prWms5ZzpnOmdaa1prW2s5Z1prOWdaazlnWmtaa1prOWdaazlnWms5ZzlnOWc5ZzlnWmtaa1prWmtaazlnOWc5ZwAAe296b3tvem97b3pve296b3tvWmt7b3pve29aa3tvem97b1prem9aa3tvem97b1pre296b3tve297b3pve29aa3tvWmt7b1prem9aa3tvWmt6b1pre296b3tvWmt6b1prfG9ba3tvW2t7b3pve296b1lrWmtbazpnGmMTRqkYjzFUSthenXd8b3pvem96a1pre2v5XvE96RyvMZZSfGt8b3xve297b3tve297b3tve297b3tve297b5xze297b1prW2taa1prWmtaa1lremtZa1prOGdZa1JKCCFsLVJKW2s7Z5dWCyHKGAwhDCX6Xl1vfXN8b5xze29ba1prGWN2UpEx1D1ea1xrWmubb1lnOmcTQusckDHaXn1vW2ubc1lrem9aa1prOWdaa1pre29aa3tvWmtaa1prWmtaa1prOmdaaxlnOmcZYxljt1YzRq85jjEsKQslCyHqIOsg0TmWUnxvWmubc3tve298b5xvWmd7b1trW2taa1prOWdZazlnWmv4YthelVLxPSwpCyUsJU0tNEYbZ11vXGs7a1xrW2tbb1prW2taa1prOWdaazpnW2s6Z1prOmdaa1prW2taa1prOWdaa1prWmtaa1prWmtaa1prWmtaa1prOWdaazlnWms5Z1prWmtaa1prWms5Z1prAAB6b3tvWmt7b3pve29aa3tvWmt7b1pre29aa3tvWmt7b1prWmtZa1prWmt7b1prWmtaa3tvWmt7b3pve29aa3pvWmt7b1prWmtaa3pvWmt6b1pre29aa3tvWmt6b1prWmtba3tvWmtaa1pre29aa3pvWWd6bzpnO2saY1VOyRyPNdA9GmN8b3tvem96b1prWmtbaxpjNEbqHG0pEkI6Y51ze297b3tve297b3tvWmt7b3tve297b3tve297b1prWmtaa1trWmtaa1lrWmtZa1lrOWc4ZzlnlFKFFCopbC1bazxr+mJuLYgU6yAMJbhaXGt8b3xve297b1pre286Z7haszmSNftiXGt7b3pvWmtaZ5dSLSktKVVKfW9aa3lreWt6a1prOWdaa1pre29aa3tvWmtaa1prWmtaa3tvWmtaazpnW2tba3xvW2s6Z/he2Fp1UjNG8T3RPW4xLCksKY81GWN8b3xvW2t7a51ze2taa1prW2taa1prWmtaa1prWmtaa1trOmtba/ledU6vNU0pCyEsJW4tM0b5Xn1zXG87a1trWms6Z1prOmt7b3tve29aa1prOWc6ZzpnWms6a1prOWdaazlnWms5Z1prOWdaazlnWms5Z1prOWdaazlnOWc5Z1prOWdaa1prWms5ZzlnOWcAAHtve297b3pve297b3tvem97b3pve296b3tvem97b3pvem9aa1prWmt7b3tve29aa3pvWmt7b3pve297b3tvem97b1pre29aa3tvWmt7b1pre296b3tvWmt7b1pre29aa3xvW2t7b1pre296b3pvWWt6b1prW2s6Zztnl1YsKY81jzUaZ3tvWmubc1lre29aa3xvGmO3UgohTCmvNTpjnW98b3tve297b3tve297b3tvnHN7b3tve297b3tve29aa3tvWmtaa1prem9aa1prWWs5ZzlnOmfWWgkh6BxsLTpnXW87Z/NBZxAMJS0l2Vpdb51zW297b3pve297b1tr+V4VRlAtuVZcb5xzWmt6bzlnGmOxNS0lsTUbZ1trem9Za3tvWmtaa1pre297b3tve297b1pre29aa3tve297b1pre29ba1trOmc6ZzpnW2tca1xrO2caY9leuFYzRo81KyWWUlxrnnNba3xvfG97b1tre29aa3trWmt7b1pre29ba1trOmc6ZzprfW9ca/ledU7QOW4xbS1MKY4x8T3YWn1zW2tba3tvOms6azpnW2taa3tvWmtaazlnWmtaa1prWmtaa1prWms5Z1prWmtaa1prWmtaa1prOWdaazlnWms5Z1prWmtaa1prWmtaa1prOWdaawAAem97b3pve296b3tvem97b1pre296b3tvWmt7b3pve29aa1prWmt7b3pve296b3tvWmtaa1pre29aa3tvWmt7b1prem9aa3pvWmt6b1pre29aa3tvWmt7b1prem9aa3tvW2t7b1tre29aa3pvWWtaa1prWms6ZzpnGmPYXm4tsDWOMRpnW2taa3pvWWt6a3tve2s6Z7hWTCkrJY4xGV+db3tve297b3tve297b3tve29aa3tvWmt7b3tve297b3tvWmtaa1prWmtZa1prWWtaazlne28ZYxljzzmnGG4x2Fo8azxrVUqIFOscLSmXUlxvfG97b1pre29aa1tvW2sbYzZGUC0TQn1ve2ubb1lnOmcaY1ZOLSVuLVVKfG96a3prWmtaa1prWmtaa3tvWmt7b1pre29aa3tvWmt7b3tve297b1prGGM6a3tvnHNaaxljGmdca1trO2cbZxpjM0ZNKY8xuFpda31vfG97b1pre29aa3prWmt6a1prW2taa1trWmt8b3tvW2s6Z1trO2tba/lillLwPY0xKiUrKa41Mkb4XltrnXOdc1trWms6Z1prWmtaazlnWms5Z1prWWtaazlnWms5Z1prOWdaazlnWms5Z1prOWdaazlnWms5Z1prOWdaazlnWms5Z1prOWdaazlnAAB7b3tve297b3tve297b3tve296b3tve297b3pve297b3tvem97b3tvnHN7b5tze296b1pre296b3tvWmt7b1pre29aa3tvWmt6b1pre296b3tvem97b3pve29aa3tve298b1tre29aa3tvWmt6b1lre29aa1trOmc7Z/lejzVuMa85+F58b3pvem9Za3pvemt8bzpn+V6PMUwlji0ZX3xvfG97b5xze297b3tve297b3tvWmt7b3tve297b3tve297b1pre29aa3pvWWtaa1prWmt7bzpnGWOWUqcUjzU0RlxvO2e4VsocyhwtKVVOG2edc1tre296b1prW2tbbxpjV05wLbA1O2d7b5xze2tbaztn2VqQNS0lsDk7Z3xvWmt7b1pre29aa3tve297b1pre29aa3tvWmt7b3tve297b3tvWmtaa1pre297b3tvOmc6Z1trW2sZYztrW2vXWtE9LSXzQfpefm++d3xve2t7b3tvemt7b1prW2taa1trW2t7b3tve29ba3tvW2tbbztn+WI6Z3xv+F4RQkspSylsLa41EkK2VvheW2t8b5xzW2t7b1prWmtZa1prWWtaa1lrWmtaa1prWmtaazlnWmtaa1prOWdaazlnWms5Z1prOWdaa1prWmtaa1prOWdaa1prWmsAAHtve296b3tve297b3pve296b3tvWmt7b3pve29aa3tvem97b3pve297b5tzem97b1prem9aa3pvWmt6b1prWmtaa3pvWmtaa1prem9aa3tve297b1prem9aa3tvWmt7b3tve29aa1prWmtaa1lrWWtaa1prWmtbazpnGmNtLQolbTF0Tjpre29Za3pvWWt7b1trXGv6XvI9KyGOMdhWfGt7b3tve297b3tve297b3tve297b1pre29aa3tvWmt7b1pre29aa1prWmtaa1prWmtba3tvOmcaY7haCyFNLfJBXGs7a9haTS2oGG4tM0YaY3xve29aa3tvWmt7b1trO2eYVpExTi23Vnxve29aa3tvO2cbYxNCLCVNKbdWfG97b1prWmtaa1prWmt7b1prWmtaa1prWmtaa1pre29aa1prOWd6b1prWmsYYzlnWmucc3tvfG9aazpnOmdba/hel1ZvMZExFUY8Z35vfG9aa3tvemt6b1premtaa1trW2tba1prWWs4Z3tvnHOcc1trOmdbazpnGWM6Zzpn914RQo0xCiErJUspzzmVUltrW2s6Z1prWms5Z1prWWtaa1lnWWtZa1prOWdaazlnWms5Z1prOWdaazlnWms5Z1prOWdaazlnWms5Z1prOWdaazlnWms5ZwAAm3N7b3tve2+bc3tve297b3tve297b3pve297b3tvem97b3tve297b5xze297b1pre296b3tvWmt7b1prem9aa3tvWmt6b1pre29aa3tvem+bc3tve29aa3tvem97b3tvnHN7b3tvWmt7b1prWms5Z3tvWmt7b1trW2sZY2wtxxhMKc85OWdaa1lrm3N6a3tvfGt8azxnNEYsJY4x2FZca5xze297b3tve297b3tve2+cc3tve29aa3tve297b1pre296b3tvWmt6b1prWmtaa3xvOmdcbxpj2V5OLU0p8kF9bzpnGmOvNckcjzFUShpnnXNaa3tve297b3tvfG87Z/tisTVuLVRKnXNaZ3tve2tcaxpjl1IsJU0pNEZ9b3xve29aa1prWmt7b3tve29aa3tvWmtaa1pre29aa3tvWmt7b1prWmtaa3tve29aazpne29aa1trW2tbazlnOmc7ZzZKcC2xOblaXWtca3xvem97b3pre29aa3tvW2t8b1xre296b5tze297bzlnWmt7b3tvW2taazlnOmcZZxlj+F51UvE9bTGOMZVSW2+dczlne29aa1prWWt6b1lrWWs5Z1prWmtaa1prWmtaa1prOWdaazlnWms5Z1prWmtaazlnWmtaa1prOWdaa1prWmtaa1prAABaa3tvWmt7b1pre296b3tvWmt7b3pve29aa3tvWmt7b1pre296b3tve297b3pve29aa3tvWmt7b1pre296b3tvOWdaa1pre29aa3tvWmt6b1prem9aa3pvWmt6b1pre297b3xve297b1prWmtZa1prWmtaazpnW2s6Z7ZarjXHGColU0paa5tzWWt6b3pve298b3xr+V6XUiwlji3xPZ1ve297b3tve297b3tve297b3tve29aa1prWmt7b1pre29aa3pvWmtaa1lrWmtaa3tvOmdbaztnO2f5XtE56hzxPbdWnXM7ZxJG6RwrJZZSfXN7b3tvem97b1pre29ba1xvG2PzQQshEUKdc1prWmt7bzpnGmPYWrA5CyWwNTxrnnNba3tvWmt7b1prWmtaa3tvWmt7b1pre29aa3tvWmt7b1lrWmtaa3prWWtaa1pre29aa1prWmtaa1prW2s6ZztnHGP0PS4psDXZXlxrfG9aa1prWmtaa3tvW2tba1trfG9aa3pvem96b1lrWms5Z1prWmt7b1prW2s6ZzpnOWc6Zxlj+WL4XhpjOmdba1prWmtaa1prWWtaa1lnWWtZa1prWWtaazlnWms5Z1prOWdaazlnWms5Z1prOWdaazlnWms5Z1prOWdaazlnWms5Z1prOWcAAHtve297b3tve296b3tve297b3pve297b3tvem97b3pve296b3tve297b3tve296b3tvem97b3pve296b3tve297b1pre296b3tvWmt7b1pre29aa3tvWmt7b1pre297b3xve298b3tve29aa3pvWmtaa1prWmtaa1trGWO2VjJGtlY6Z713m3N5a1lrem9aa51vXGsaY5dSTSluLRI+fW+cb3tvnHN7b5xze2+cc3tvnHN7b3tvWmt7b1pre29aa3tvWmt6b1prWmtaa3tvWmt8b1trW2s7Zxpj0T0LIdA5+F58bzpnEkIsKU0tt1Z8b3xve297b3pve29aa3tvXGs8Z1ZOLCltLfheW2udc1prfG87Zxpj0T1NKY8x+2J+c3xvWmt7b1pre29aa3tvWmt7b1pre297b3tvWmt7b1prWmtaa3pvWmtaa1prem9aa3tvWmtaa1pre29aa1prOmf7XrpasjmPMa81GmN8b3tve2t7b3xvWmt7a3tvfG9aa3tvem+bb3pvem9Za1prWWt6b1pre29aa3tvWmtbazprO2caZzpnOmdba1trW2taa1trWmtaa1lrWmtZa3prWWtaa1prWms5Z1prOWdaa1prWms5Z1prWmtaazlnWmtaa1prOWdaa1prWms5Z1prOWdaawAAe2+bc3tve296b3tvem97b1pre29aa3tvem97b1pre29aa3tvWmt7b3pve29aa3tvem97b1prem9aa3tvWmt7b3pve29aa3pvWmtaa1prWmtaa3pvWmt6b1pre29aa3tvW2t7b1pre29aa3tvWmt7b1pre29aazpnOWc6ZxljOWd7b5xze296b1hreWtZa3tvfGt8a/peuFZNKW4t0Tl9b3tve297b3tve297b3tve297b3tvWmtaa1pre29aa1prWmtaa1lrWmtZa1prWWtaa1prW2s6ZztnGmMSQuogjjHWWnxvW2vYXlROllI7a513e297b1prem9aa1prWmtbaztnuFpMKSslU0p8b5xvWmtba3xv+V7yQU0pTilWSn5vW2t7b1pre29aa3tvWmtaa1prWmtaa3tvWmt7b1prWmtZa1prWmtaa1lrWmtaa1prWmtaa1prWmtaa1prOWc6axpjHGe5WiwlTSnxPTtnfG9ba3tvW2t7a1tre29ba1trWmt7b1pre29Za1prWWdZa1lrem9aa3tvW2t7b1trW29ba1trO2dbazpnW2s6Z1prWmtaazlnWWtZa1prWWtaa1lrWms5Z1prOWdaazlnWms5Z1prOWdaazlnWms5Z1prOWdaazlnWms5Z1prOWdaazlnAACcc3tve297b3tve297b3pve297b3tve297b3tve296b3tvem97b3pve297b3tvem97b3tve29aa3tvem97b3pve297b3tvWmt6b1pre29aa3tvWmt7b1pre296b3tvem97b3tve29aa3tvWmt7b1pre297b3tvWms5ZxhjOWc5Z3xvWmtaa1lrem95a3pve298b1xrO2PZWo4tbi3ROVxrnHN7b3tve2+cc3tve297b5xze297b1pre29aa3tvWmt7b1prWmtaa1prWWtaa1lrWms6Z1trOmtba1RKTC1tMddaWmtbazpnGmcaY31ze297b3pvem9aa3pvWmtbaztrXGvYWm4tbC1TSntve29aa3tre286ZzNGsDUtJfQ9f3N8b3tve29aa3tvWmt7b1prWmtaa3tvWmt7b1prWmtaa1prWmt7b1prWmtaa1prWmt7b1pre29aa3tvWmtaazprXGs8a9leVEptLW4xVEpca51zO2dba3xvnHM6Z1pre297b3tve29aa3pvWmt6a1lrem9aa3tvW2t8b3tvfG9ba3xvW2t8b1trW2s6a1trWmtba1prWmtZa1prWmtaa1prWmtaa1prWmtaa1prWmtaa1prWmtaa1prWmtaa1prWmtaa1prWms5Z1prWmtaazlnWmsAAHpve296b3tvWmt6b1pre29aa3tvem97b3pve296b3tvWmt7b1pre29aa3tvWmt7b3pve296b3tvWmt6b1pre29aa3pvWmt6b1prem96b3tvWmt6b1prem9aa3pvWmt7b3tve297b3tvWmtaa1prW2taa1prWmt7b1prWmtaa3tvW29ba1prem95b3lvWWt7b1trXGsbY/pebi1uLbA1fWt7b3tve297b3tve297b3tve297b1prWmtaa1prWmtaa1prWmtaa1prWWtZa1lrWWtaa1prWmtba1tr2F4SRlNKOWd7bzlnOmcZYxpnXGtba1prem9Za3pvWWtaazprW2s7Z/lejjVMKfA9W2tba3tvWmt7bzpnllLROW8tsjmfd1xre29aa3tvWmtaa1pre29aa1prWmtaa1prWmtaa1prWmtaa1prWmtaa1prWmt7b1prWmtaa3tvWmtaa1prWmtbazpn+F4aZxJCbS1tLXVOO2dca3xvfG9aa1prWmt6b1tre29aa3tvWmt6b1lrWmtZa3prWmt7b1trW2tba1xrWmtba1trW2s6Z1prOmtbazpnWms6Z1prOWdaa1prWmtaa1prWmtaazlnWms5Z1prOWdaa1prWms5Z1prWmtaazlnWms5Z1prOWdaazlnWms5ZwAAe296b3tvem97b3pve297b3tve2+bc3tve297b3tve297b3pve29aa3tvWmt7b3tve297b3tvem97b1pre296b3tvWmt7b1pre296b3tve297b1pre29aa3tvWmt7b3tve297b3tve297b1pre29aa3tvWmtaa1pre296a3tve298b1tve296b3pvWWt6b3tve2tca1xnG2OPMU0p0Tlca5xve2+cc3tve297b3tve297b1pre29aa3tvWmt7b1prW2taa3tvWmt6b1lrWmtZa3tvWWtaazlnWms6Z/hiOmd7b5tzW2tbb3xvW2udc1tre296b3pvWWt6b1prW2tba1trO2czRgohrzU6Z5xze296a1prW2vXWhNCkTGyNX9vfG9aa3tvWmt7b1pre29aa1prWmt7b1pre29aa3tvWmtba1pre29aa1trWmt7b1trW2taa3tvWmt7b1pre29aa3pvGGOcbxljGmOvNY8xTSm3Vlxrv3dbazlnm2+bczhje29ba3tve297b3pvem9Za3pvWmt7b1tre29ba1xrW2tba1prW2taa1trWmtba1prWms6Z1prWmtaa1prW2taa1prWmt7b1prWmtaa1prWmtaa1prWmtaa1prWmtaa1prWmtaa1prWmtaazlnWmtaa1prAABaa3tvWmt7b3pve296b3tvem97b3pve297b3tvem97b3pve29aa3pvWmt7b1pre297b3tvWmt7b1prem9aa3pvWmt7b1pre296b3tvWmt7b1prem9aa3pvWmt7b1pre296b3tvWmt7b1tre29aa1tre29aazlnWmtaa1prOWdaa1pre29aa1lrWWt5b3pre29ba3xrPGcbY28tTSmwMX1rfG97b3tve297b3tvWmt7b1prWmtaa1prWmt7b1prWmtaa1trWmt6b1premtZa1lrWWtZZ1lrOWcYY1prOWeccxhjWWs5Z3xvfG9ba1trOmt6b3pvWWt6b1prWms6a1trO2dba7dWrzVTSlxre2t7b1prWmtaa/le80GyOVEtHWdca3tvWmt7b1pre29aa1prWmtaa1prWmtaa1prWmtaa1prW2taa1trWmtba1prW2taa1trWmt7b1prWmtaa3pvOGd6bxhjnG/YWtlesDUtKbE5uFY7Z1trOWd7b3pvWGd7b3tvWmt7b3pve29Za1prWmt6b1pre29ba1trO2tba1prWms5ZzlnWmtbazpnWms6Z1prOmc6azpnW2s6a1trWmtaa1prWmtaa1prOWdaazlnWms5Z1prOWdaazlnWmtaa1prOWdaazlnWms5Z1prWmsAAHtvem97b3pvm3N7b5xze297b3tve297b5tze297b3tve296b3tvWmt7b1pre296b5tze297b3pve29aa3tvWmt7b3tve297b3tvem96b1pre29aa3tvWmt7b3pve296b3tvWmt7b1pre297b3tve297b1prWmt6b3tvWmtaa1prW297b5xzem96b3pvem85Z3tvXGtcaxpjjzFMKbA1fGucc3tve297b3tve297b1pre29aa1prWmt7b3tve29aa3tvW2t7b1pre29aa3prWWtZZ1lnnHNaa1prWms6Z1prnHN7b1prW2tbazpnfG97b3tvem96b3pre29aa1trWmtbaxpjW2u2VlxrfG9aa3prnHNaa3xvGWMzRtI5kDH6Xnxve297b1pre29aa3tvWmt7b1pre29aa3tvWmt7b1prW2tba3tvWmtba1prW2taa1trWmt7b1tre29aa3tvWmt6a1lnWmsYY3xvGmOXUpA1LSmxObhWXG+dczlnWWuab3tvW297b1pre297b3pvWWt6b1pre29ba3xvW2t8b1tre29aazlnOWdaa1prWms5Z1prOmdaazpnW2taa1trWmtba1pre29aa3tvWmtaazlnWms5Z1prOWdaazlnWms5Z1prWmtaa1prWmtaa1prWmtaawAAem97b3pve296b3tve297b1pre297b5tzem97b3pve29aa3tvWmt7b1pre297b3tvWmt7b3tve297b3tve297b3tve297b3tve297b3tve29aa1prWmtaa1pre29aa1pre297b3tve29aa3tve297b1pre297b3tvWmtaa1pre29aa3tvWmt6b1prWmtaa3tvWmtba1trGWPPOegcrjU5Z3tve297b3tve297b1pre29aa3tvWmt7b1pre29aa3tvWmt7b1pre29aa1prOWdZazhnWmtaa1prOWd7b3tvWmtaa1prWmtba1prW2taa1prWmt6b1pre29aa3tvW2t7bzpnOmcZZ1prW2t8b1trWmtaa5xzOWc6Z9dajjFMKfleWmtaa1pre29aa1prWmtaazlnWmtaa3tvWmt7b1prWmtaa1prWmt7b1pre29aa3tvWmt7b3tve29aa1prWmt7bzlnWmtaa1prOmc7a/leuVrLHC4pTi0bY11vW2taa3tvWmt7b1pre29aa1prWmtaa1lrWmtaa1prWmtaa1prW2taa1prWmtaa1prWmtaa1prOWdaazpnWms6Z1prWmtaa1prWmtaa1prOWdaa1prWmtaa1prOWdaazlnWmtaa1prOWdaa1prWms5Z1prWmtaazlnAAB7b3tve297b3tve2+bc3tve297b5xze2+bc3tve297b3tve297b3tve297b3tve297b3tve297b3tve297b3tve297b3tve297b3tvnHN7b3tvWmt7b1pre297b3tve2+cc3tve297b3tve297b3tvWmtaa5xze2+cc3tve297b3tvWmt7b1pre29aa3tve297b1prWmsYY7VWUkrWWntve297b3tve297b3tve29aa3tvWmt7b3tve29aa3tve297b1pre297b3tvWmtaa1prWmtaa3tvWmtaa3tvnHNaa3tvWmt7b1pre29aa3tvWmt7b1pre29aa3tvWmt7b1prWms5Z1prWmt7b3tve29aa3tvnHN7b1prWmtzTnNOe297b1pre29aa3tvWmt7b1prWmtaa3tve297b1pre29aa1prWmt7b1pre29aa3tvWmtaa1pre29aa3tvWmtaa1prWmtaa1prWmtba1trO2fZXtI96yCxOdI9XWt9b3xvWmt7b1pre29aa3tvWmt7b1prWmtaa3tvWmtaa1pre29aa1prWmtaa1prWmtaa1prWmtaa1prWmtaa1prWmtaa1prWmtaa1prWmtaa1pre29aa1prWmtaa1prWmtaa1prWmtaa1prWmtaa1prWmtaa1prWmsAAHpve296b3tve297b3tve297b5tze2+bc3tve296b3tve297b1pre29aa3tvWmt7b1pre29aa3tve297b3tve29aa3tvWmt7b3tve297b3tve297b1pre29aa3tvWmt7b3tve297b3tvWmt7b1pre285Z3tve2+cc5xznHNaa3tvWmt7b1pre29aa1prWmt7b3tve285ZzlnGGNaa3tve297b3tvWmt7b3tve29aa3tvWmt7b1pre29aa3tvWmt7b1pre29aa3tvWmtaazlnWmtaa3tvWmtaa1pre297b1prWmtaa1prWmtaa1prWmtaa1pre29aa1prWmtaa1prWmtaa1prOWdaa1prWmtaa3tvOWd7b1prWmtaazlnOWecc1pre29aa1prWmtaa1pre29aa1prWmt7b1pre29aa1prWmtaa1prWmtaa3tvWmtaa1prWmtaa1prWmtaazlnWms5Z1prWWtaa1pre287ZxtnmFbSPU4tby00Sp1zW2t7b1pre29aa1prWmt7b1prWmtaa1prWmtaa1prWmtaa1prWmtaa1prWmtaa1prWmtaazlnWms5Z1prOWdaazlnWmtaa1prOWdaa1prWmtaa1prWmtaazlnWms5Z1prOWdaa1prWms5Z1prWmtaazlnWmtaawAAe297b3tve2+bc3tvm3N7b5tze2+cc3tvm3N7b3tve297b3tve29aa3tve297b3tve297b3tve297b3tve297b3tve297b3tve297b5xze297b3tve29aa1prWmt7b3tvnHN7b3tve297b1pre29aa1pre2+cc5xznHN7b3tvWmt7b3tve29aa3tvWmt7b3tve297b5xzWmtaa1pre29aa3tve297b3tve297b3tvWmt7b3tve29aa3tve297b1pre297b3tvWmt7b1prWmtaa1pre297b1pre297b3tvWmt7b1pre29aa3tvWmt7b1pre297b3tvWmt7b1prWmtaa3tvWmt7b1prWmtaa3tve297b1pre29aa1prWmt7b1pre297b3tvWmtaa1pre297b3tvWmt7b1pre29aa3tvWmt7b1pre29aa3tvWmt7b1prWmtaa3tvWmt7b1prWmtaa1prWmtaa1lre29ba1trO2cbZ/pebzFuLY81t1acc3tve29aa3tvWmt7b1pre29aa3tvWmtaa1pre29aa1prWmt7b1prWmtaa1prWmtaa1prWmtaa1prWmtaa1prWmtaa1prWmtaa1prWmtaa1prWmtaa1prWms5Z1prWmtaazlnWmtaa1prWmtaa1prWmtaa1prAAB6b3tvem97b3pve297b3tvWmt7b3tve29aa3tvWmt7b1pre29aa3tvWmt7b3tve29aa3tvWmt7b1pre297b3tvWmt7b1pre297b3tve297b1pre29aa3tvWmtaa1pre297b3tve297b1prWmtaa3tve297b3tvnHN7b3tvWmt7b1pre297b3tvWmtaa1pre29aa3tve297b1prWmt7b5xzWmt7b1pre297b3tvWmt7b1pre29aa3tvWmt7b1pre29aa3tvWmt7b1prWmtaa1prWmtaa1prWmtaa1prWmtaa1prWmtaa3tvWmtaa1pre297b3tvWmt7b1prWmtaa1prWmt7b1prWms5Z1prWmt7b3tvWmtaa3tvOWdaa1prWmtaa3tvWmtaa1prWmtaa3tvWmtaa1pre29aa1prWmtaa1prWmtaa3tvWmtaa1prWmtaa3tvWmt7b1prWmtaa3tvWmtaa1lrWmtZa1prOmtbaxtnG2dVSm4x0T1TSpxzWWtaa1prWmtaa1prWmtaa3tvWmtaa1prWmtaa1prWmtaa1prWmtaa1prWmtaa1prWms5Z1prOWdaazlnWms5Z1prOWdaazlnWms5Z1prWmtaazlnWms5Z1prOWdaazlnWms5Z1prWmtaazlnWmtaa1prOWcAAHtve297b3tve297b5tze297b3pvm3N7b3tvWmt7b3pve297b3tve297b3tve297b3tvWmt7b3tve297b3tve297b3tve297b3tve297b3tve297b5xze297b1pre297b5xze297b3tve29aa3tvWmucc3tvnHN7b3tvWmt7b3tve297b3tve297b1pre297b3tvWmtaa3tvnHN7b5xznHN7b1pre297b3tve297b1pre29aa3tve297b1pre297b3tvWmt7b1prWmtaa3tvWmt7b1pre29aa1prWmtaa1prWmtaa3tve29aa1pre297b3tve297b3tve29aa3tvWmt7b3tve29aa1prWmt7b3tve29aa3tve297b1pre297b3tvWmt7b1pre29aa3tve297b1pre29aa3tvWmt7b1pre29aa3tvWmt7b1pre29aa3tvWmt7b3tve29aa3tvWmt6b1lrWmtZa3prWWdaa1trXGv6YhtnVEqWUjpnWWtaa1prWmt7b1pre29aa3tvWmtaa1pre29aa1prWmt7b1pre29aa3tvWmtaa1prWmtaa1prOWdaa1prWmtaa1prWmtaazlnWmtaa1prWmtaa1prWmtaa1prWmtaa1prWmtaa1prWmtaa1prWmtaa1prWmtaawAAem97b3pve297b3tve297b1pre297b3tvem97b1pre297b3tvWmt7b1pre29aa3tvWmt7b1pre29aa3tvWmt7b3tve29aa3tvWmt7b1pre29aa3tve2+cc3tve29aa3tve297b1pre29aa3tvWmt7b3tve297b3tvWmt7b1pre29aa3tvWmt7b1pre29aa3tve297b1prWmt7b5xzWmtaa1pre29aa3tve297b1pre29aa3tvWmt7b1pre29aa3tvWmt7b1prWmtaa1prWmtaa1pre29aa1prWmtaazlnWmtaa3tve297b1prWmtaa3tvWmt7b1pre29aa3tvWmt7b1pre29aa3tvWmt7b1pre285Z1prWmtaa1pre29aa3tvWmt7b1pre29aa3tvWmt7b1pre29aa1prWmtaa1prWmtaa3tvWmt7b1prWmtaa1prWmt7b1pre29aa1prWmtaa1prWWtZZ3lvWWtZazlnW29ca1trGmdba/he3ns4Y3pvWWtaa1prWmtaa1prWmtaa1prWmtaa1prWmtaa1prWmtaa1prWmtaa1prWms5Z1prOWdaazlnWms5Z1prOWdaazlnWms5Z1prOWdaazlnWmtaa1prWmtaa1prWmtaa1prWmtaazlnWmtaa1prOWdaazlnAAB7b3tve297b5tze2+bc3tve297b5xze2+bc3tve297b3tve297b1pre297b3tve297b1pre29aa3tve297b3tvnHN7b3tve297b3tve29aa1pre2+cc3tve29aa1prWmt7b3tve29aa3tvWmt7b1pre297b3tve297b3tve29aa3tve297b3tve29aa3tve29aa3tvnHN7b3tvnHOcc1pre29aa3tvWmt7b3tve29aa3tve297b1pre297b3tvWmt7b1pre29aa1prWmt7b1pre297b3tvWmt7b1prWmtaa1pre297b3tve29aa3tve297b1pre29aa3tvWmt7b1pre297b3tve297b3tve29aa1prnHN7bzlnWmt7b1prOWd7b1pre297b3tve297b1pre29aa3tvWmt7b1pre29aa3tvWmt7b1pre29aa1prWmtaa1pre29aa3tvWmtaa1prWmtZa1lreW96b1lremt7b1trXG87azpnfG/3XptzWWtaa1prWmtaa3tvWmt7b1pre29aa1prWmt7b1prWmtaa3tvWmt7b1prWmtaa1prOWdaazlnWms5Z1prWmtaazlnWmtaa1prOWdaa1prWmtaa1prWmt7b1pre29aa1prWmtaa1prWmtaa1prWmtaa1prWmsAAHtve297b3tvem97b3tve297b3tve297b3pve297b5tzWmt7b1pre29aa3tvWmt7b3tve29aa3tve297b1prWmtaa3tve297b1pre29aa3tvWmt7b1pre29aa3tvWmt7b1prWmtaa1prWmt7b3tve297b3tve297b3tve29aa3tvWmt7b1pre29aa3tvWmt7b1pre29aa3tvWmt7b3tve29aa3tvWmt7b1pre29aa3tvWmtaa1pre29aa3tvWmt7b1pre29aa3tvWmtaa1pre29aa1prWmt7b1prWmtaa1prWmt7b3tve29aa1prWmt7b1pre29aa3tvWmt7b1pre29aa1prWmtaa1prWmtaa3tvWmtaa1prWms5Z1prWmt7b1pre297b3tvWmt7b1prWmtaa3tvWmtaa1prWmtaa3tvWmt7b1pre29aa1prWmtaa1prWmtaa1prWmtaa1prWms5Z1prWWt5a1hrWWtZa1prWmtbaztnW2taa1prWWt6b1pre29aa1prOWdaa1prWmtaa1prWmtaa1prWmtaa1prWmtaa1prWms5Z1prOWdaazlnOWc5Z1prOWdaa1prWms5Z1prOWc5ZzlnWmtaa1prWmtaa1prWmtaa1prWmtaazlnWmtaa1prOWdaa1prWms5ZwAAm3N7b5tze297b3tvnHN7b5tze2+bc3tve297b5tze297b3tve297b3tve297b3tve297b3tvWmt7b1pre29aa3tve297b3tve297b3tvWmt7b3tve297b3tvWmt7b1pre29aa1prWmt7b3tve297b3tve297b3tve297b3tve297b3tve297b3tve297b3tve29aa3tve297b3tve297b3tvWmt7b3tve297b3tvWmt7b1pre29aa3tvWmt7b3tve29aa3tvWmt7b1pre29aa3tvWmt7b1pre29aa3tvWmt7b3tvnHN7b1prWmt7b3tve29aa3tvWmt7b1pre29aa1prWmt7b1pre29aa3tvWmtaa1pre29aa1prWmt7b1pre297b3tvWmtaa1pre29aa3tvWmt7b1prWmtaa3tvWmt7b1pre29aa3tvWmt7b1pre29aa3tvWmtaa1prWmtaa1prWmt6b1lreWtZa3prWWt7b1trW2taa1trWmt6b1lrem9aa3tvWmtaa1prWmtaa3tvWmt7b1pre29aa3tvWmtaa1prWmtaa1prWmtaa1prWms5Z1prWmtaa1prWmtaa1prWmtaazlnWms5Z1prWmtaa1prWmtaa1prWmtaa1prWmtaa1prWmtaa1prWmtaa1prAAB6b3tvem97b3tve297b5tze297b3tve297b3tve297b1pre29aa3tvWmt7b1pre297b3tvWmt7b1pre29aa3tvWmt7b1pre297b3tvWmt7b3tve297b3tve297b1pre29aa3tvWmtaa1pre29aa3tve297b3tve297b3tvWmt7b3tve29aa3tvWmt7b1prWmtaa3tvWmt7b3tve29aa3tvWmt7b1pre297b3tvWmt7b1pre29aa3tvWmt7b1pre29aa3tvWmtaa1pre29aa3tve297b1prWmtaa1prWmtaa1pre29aa3tvWmtaa1pre29aa1prWmtaa1prWmtaa1prWmtaa1prWmtaa3tvWmtaa1prWmtaa1prWmtaa1pre297b3tvWmtaa1pre29aa1prWmtaa1prWmtaa1prWmtaa1pre29aa1prWmtaa1prWmtaa3tvWmtaa1prWmtaa1prWmtaa1lrWWtZa3lrWGtaa1prW2s6Z1prWmt6a1lrWWtZa1prWmtaa1prWmtaa1prWmt7b1prWmtaa3tvWmtaa1prWms5Z1prOWdaazlnWms5Z1prOWdaa1prWms5Z1prOWdaazlnOWc5Z1prOWdaa1prWms5Z1prWmtaazlnWmtaa1prOWdaa1prWms5Z1prOWcAAHtve297b3pvm3N7b5xze2+bc3tvm3N7b5xze2+bc3tve297b3tve297b3tve297b5xze297b3tvnHN7b5xze297b3tve297b3tve297b1pre297b3tve297b3tve297b3tve297b1pre297b3tvWmt7b3tve297b3tve297b1pre297b3tve297b1pre29aa3tvWmt7b3tve297b3tvWmt7b3tve297b3tve297b3tve29aa3tvWmt7b1pre29aa3tvWmt7b1pre29aa3tve2+cc3tve29aa3tvWmt7b1prWmtaa3tvWmt7b1pre29aa3tvWmtaa1pre29aa1prWmt7b1pre29aa3tvWmt7b1prWmtaa1prWmtaa1pre297b3tve297b1pre297b3tvOWdaa1prWmtaa3tvWmtaa1pre29aa3tvWmt7b1pre29aa3tvWmt7b1pre29aa1prWmtba1prWmtZa3lvWWt5a1lre29ba1trWmt7b1prWWtZa1prWmtaa1pre29aa1prWmt7b1pre29aa3tvWmt7b1pre29aa1prWmtaa1prWmtaa1prWmtaa1prWmtaa1prWmtaa1prWms5Z1prWmtaa1prWmtaa1prWmtaa1prWmtaa1prWmtaa1prWmtaa1prWmtaawAAWmt7b1pre296b3tve2+cc3pve297b5tze297b3tve29aa3tvWmt7b1pre29aa3tvWmt7b3tvnHOcc5xze297b1pre29aa3tvWmt7b1pre297b3tve297b3tve29aa3tvWmt7b1pre29aa3tvWmt7b1pre29aa3tvWmt7b1pre29aa3tve297b1prWmtaa1prWmtaa1pre29aa3tvWmt7b1pre297b3tvWmt7b1pre29aa3tvWmt7b1pre29aa3tvWmtaa1prWmtaa3tvWmt7b3tve29aa1prWmtaa1prWmtaa1prWmt7b1prWmtaa3tvWmtaa1prWmtaa1prWmtaa1prWmtaa3tvWmtaa1prWms5Z1prWmtaa1prWmtaa3tvWmt7b1prWmtaa3tvWms5ZzlnWmtaa1prWmtaa1prWmtaa1prWmtaa1prWmtaa3tvWmt7b1pre29aa1prWmtba1prW2taa3prWWt5a1lrWmtaa1trWmtba1prWmtZa1lrOWdaa1prWmtaa1prWmtaa1prWmtaa1prWmtaa1prWmtaa1prWmtaazlnWms5Z1prOWdaa1prWmtaa1prWmtaazlnWms5Z1prOWdaa1prWms5Z1prWmtaazlnWmtaa1prOWdaa1prWms5Z1prWmtaazlnAAB7b3pve297b3tve2+bc3tve297b5xze2+cc3tvm3N7b3tve297b3tve297b3tve297b1pre297b5xze297b1pre29aa3tve297b3tve297b3tve297b3tve297b3tve297b3tve297b3tvWmt7b3tve29aa3tve297b3tve297b3tve297b3tve29aa3tvWmt7b1pre297b3tvWmt7b3tve29aa3tve297b1pre29aa3tvWmt7b1pre29aa3tvWmt7b1pre29aa3tvWmt7b3tve29aa3tvWmtaa1pre29aa3tvWmt7b1pre29aa3tvWmt7b1pre29aa3tvWmt7b1pre29aa3tvWmt7b1pre29aa1prWmt7b1prWmtaa3tve297b1pre29aa3tve29aaxhjWmtaa3tvWmt7b1pre29aa3tvWmt7b1pre29aa3tvWmt7b1pre29aa3tvWmt7b1prW2tba3tvWmt6b1lrem9Za3tvWmtba1tre29aa3prWWtaa1prWmtaa1prWmtaa1prWmtaa3tvWmtaa1pre29aa1prWmtaa1prWmtaa1prWmtaa1prWmtaa1prWmtaa1prWms5Z1prWmtaa1prWmtaa1prWmtaa1prWmtaa1prWmtaa1prWmtaa1prWmtaa1prWmsAAHpve29aa3tvem97b3pve296b3tve2+bc3tvm3N6b3tvWmt7b1pre29aa3tvWmt7b1pre29aa3tve297b3tve29aa3tvWmt7b3tve29aa3tvWmt7b1pre29aa3tvWmtaa1pre297b3tvWmt7b1pre29aa3tvWmt7b1pre29aa3tvWmt7b1pre29aa3tvWmtaa1pre29aa3tvWmt7b1pre29aa3tvWmt7b1pre29aa1prWmt7b1pre29aa3tvWmtaa1pre29aa1prWmt7b1pre29aa1prOWdaa1prWmtaa1prWmt7b1prWmtaa1prWmtaa1pre29aa1prWmt7b1prWmtaa3tvWmtaa1prWmtaa1prWmtaa1prWmtaa1prWmt7b1pre29aa1prWmt7bzlnGGNaa1prWmt7b3tve29aa3tvWmtaa1prWmtaa3tvWmt7b1pre29aa3tvWmt7b1prW2tba1xrWmtaa1lreW9Za1prWmtbazprW2taa3pvWWtZazlnWms5Z1prOWdaa1prWmtaa1prWmtaa1prWmtaa1prWmtaazlnWms5Z1prOWdaa1prWmtaa1prWmtaazlnWms5Z1prOWdaazlnWms5Z1prOWdaazlnWms5Z1prOWdaa1prWms5Z1prWmtaazlnWms5ZwAAm3N7b3tvem97b3tve297b3tve2+bc3tvnHN7b3tvem97b3tve297b3tve297b3tvnHN7b3tvWmt7b3tvnHN7b3tvWmt7b3tve297b3tve297b3tve297b3tvWmt7b1pre297b5xze297b1pre29aa3tvWmt7b3tve297b3tve297b1pre29aa3tve297b1pre29aa3tvWmt7b3tve29aa3tvWmt7b1pre29aa3tvWmt7b3tve29aa3tvWmt7b1pre297b3tvWmt7b1pre29aa1prWmtaa1pre29aa1prWmt7b1pre29aa3tvWmtaazlne29aa3tvWmt7b1pre29aa3tvWmt7b1pre29aa1prWmt7b1pre29aa1prWmtaa1pre29aa1prOWd7b3tvWmsYY1prWmt7b3tvnHN7b3tvWmt7b1pre29aa3tvWmt7b1pre297b3tvWmt7b1pre29aa1tvW2t7b1prem9Za3pvWWtaa1prW2tba3tvem96b1lrWmtaa1prOWdaa1prWmtaa1prWmtaa1prWmtaa1prWmt7b1prWmtaa1prWmtaa1prWmtaa1prWmt7b1prWmtaa1prOWdaa1prWmtaa1prWmtaa1prWmtaa1prWmtaa1prWmtaa1prWmtaa1prWmtaa1prAAB7b3tve297b1pre297b3tve297b3tve297b3tve2+cc1pre29aa3tvWmt7b1pre29aa3tve297b3tve297b3tvWmt7b3tve297b3tve297b1pre29aa3tvWmtaa1prWmtaa3tve297b3tve29aa3tve297b1pre29aa3tve297b1prWmt7b3tve297b1prWmtaa1prWmt7b1pre29aa3tvWmtaa1prWmtaa1prWmtaa1prWmtaa3tvWmt7b1pre29aa1prWmt7b1pre29aa3tvOWdaa1pre29aa1prWmtaa1prWmtaa3tvWmtaa1prWmtaa1prWmtaa1prWmtaa1prWmtaa1pre29aa1prWmtaa1prWmtaa1prWmtaa1pre29aa1prWmtaa1prWmtaa3tvWmt7b1pre29aa1prWmtaa1prWmtaa3tvWmt7b1pre29aa3tvWmt7b1prWmtaa1prWmtba1tre29aa3pvWmtaa1prWms5Z1prWmt7b1prWmtaa1prWmtaa1prWmtaa1prWmtaa1prWms5Z1prOWdaa1prWmtaa1prWmtaa1prWms5Z1prWmt7bzlnWms5Z1prOWdaazlnWms5ZzlnOWdaazlnWms5Z1prOWdaazlnWmtaa1prWmtaazlnWmtaa1prWmsAAHtve297b3tve297b3tve297b3tvnHN7b5xze2+cc3tve29aa3tvWmt7b1pre297b3tve297b3tve297b3tve297b3tve297b3tve297b3tve297b3tve297b1pre29aa3tve297b3tve297b3tvWmt7b3tve297b3tve297b3tvWmtaa3tve297b3tve29aa3tvWmt7b3tve297b3tve297b1pre29aa3tvWmt7b1pre29aa3tvWmt7b1pre297b3tvWmt7b3tve29aa3tvWmtaa1pre29aa1prWmt7b1pre29aa3tvWmt7b1pre29aa3tvWmt7b1prWmtaa1prWmt7b1pre29aa3tvWmt7b1pre29aa3tvWmtaa1pre29aa3tvWmt7b1prWmtaa3tvWmt7b3tve297b3tvWmt7b1prWmtaa3tvWmt7b1pre297b3tvWmt7b1pre29aa3tvWmt7b1pre297b3tvWmt7b1prWmtaa1prWmt7b1pre29aa1prWmtaa1prWmtaa1prWmtaa1prWmtaa1prWmtaa1prWmtaa1prWmtaa1prWmtaa1prWmt7b1prWms5Z1prWmtaa1prWms5Z1prOWdaazlnWmtaa1prWmtaa1prWmtaa1prWmtaa1prWmtaa1prWmtaawAAWmt7b1pre297b3tve297b3tve297b3tve297b3tve297b3tvWmt7b1pre29aa3tvWmt7b1pre29aa3tvWmt7b3tve29aa3tve297b1pre29aa3tvWmt7b3tve29aa3tvWmt7b1pre29aa3tvWmt7b3tve29aa3tvWmt7b1pre29aa3tvWmt7b3tve29aa1prWmt7b1pre29aa3tvWmt7b1prWmtaa1prWmtaa1prWmtaa3tvWmt7b1pre29aa3tvWmt7b1pre29aa3tvWmtaa1prWmtaa1prWmtaa1prWmtaa1prWmtaa1pre29aa1prWmt7b1prWmtaa1prWmtaa1prWmtaa1prWmt7b1pre29aa1prWmtaa1prWmtaa1prWmtaa1prWmtaa1prWmtaa1pre29aa3tvWmt7b1pre29aa1prWmtaa1pre29aa3tvWmt7b1prWmtaa1prWmtaa1pre29aa3tvWmt7b1prWmtaa1prOWdaa1pre29aa1prWmtaa1prWmtaa1prWmtaa1prWms5Z1prOWdaazlnWmtaa1prWmtaa1prWmtaa1prOWdaa1prWmtaa1prOWdaa1prWms5Z1prOWdaazlnWms5Z1prOWdaazlnWms5Z1prWmtaazlnWmtaa1prWmtaa1prAAB7b3tve297b3tve2+cc3tve297b3tve2+cc3tvnHN7b3tve297b1pre297b3tve297b1pre29aa3tve297b3tve297b3tve297b3tve297b3tve297b3tvnHN7b3tve297b1pre29aa3tve297b1pre297b3tve297b3tve297b3tvWmt7b3tve297b3tvWmt7b1pre29aa3tve297b1pre29aa3tvWmt7b1pre29aa3tvWmt7b1pre29aa3tvWmt7b1pre29aa3tvWmt7b1pre29aa3tvWmt7b1prWmtaa3tvWmt7b1pre29aa3tvWmt7b1pre29aa3tvWmtaa1prWmtaa1prWmt7b1pre29aa3tvWmtaa1pre29aa3tvWmt7b1prWmtaa3tvWmt7b1pre29aa3tvWmt7b3tve297b3tvWmt7b1pre29aa3tvWmt7b1pre29aa3tvWmt7b1pre29aa3tvWmt7b1prWmtaa3tvWmt7b1pre29aa1prWmtaa1prWmtaa1prWmtaa1pre29aa1prWmtaa1prWmtaa1prWmtaa1prWmtaa1prWmtaa1prWmtaa1prWmtaa1prWmtaa1prOWdaa1prWmtaa1prWmtaa1prWmtaa1prWmtaa1prWmtaa1prWmtaa1prWmsAAFpre29aa3tve297b3tvnHNaa3tve297b3tve297b3tve297b3tve29aa3tvWmt7b1pre29aa3tvWmt7b1pre297b3tve297b1pre29aa3tvWmt7b1pre297b5xze297b1prWmtaa3tvWmt7b1pre29aa3tvWmt7b1pre29aa3tvWmt7b1pre29aa3tvWmt7b1prWmtaa3tvWmt7b1prWmtaa1prWmtaa1prWmtaa1prWmt7b1pre29aa3tvWmt7b1prWmtaa3tvWmt7b1pre29aa3tvWmt7b1prWmtaa3tvWmtaa1pre29aa1prWmtaa1pre29aa3tvWmtaa1prWmtaa1prWmtaa1prWmtaa3tvWmtaa1prWmtaa1prWmtaa1prWmtaa1prWmtaa1pre285Z1prWmtaa1pre29aa3tvWmtaa1prWmtaa1prWmt7b1prWmtaa1prWmtaa1pre29aa1prWmt7b1prWmtaa1prWmtaa1prWmtaa1prWmtaa1prWmtaa1prWmtaa1prWmtaa1prWmtaazlnWms5Z1prWmtaa1prWmtaa1prWmtaazlnWms5Z1prOWdaa1prWms5Z1prOWdaazlnWms5Z1prOWdaazlnWms5Z1prOWdaazlnWms5Z1prOWdaa1prWms5ZwAAe297b3tve297b3tvnHN7b3tve297b3tve297b5xze2+cc3tve297b3tvWmt7b3tve29aa3tve297b3tve297b3tve297b3tve29aa3tvWmt7b1pre297b5xze2+cc3tve29aa3tvWmt7b1pre297b3tve297b3tve297b3tve297b1pre297b3tvWmt7b1pre29aa3tvWmt7b1pre29aa1prWmt7b1prWmtaa3tvWmt7b1pre29aa3tvWmt7b1pre29aa3tve297b1pre29aa3tve297b1prWmtaa3tve297b1pre29aa3tvWmt7b1pre29aa3tvWmt7b1pre29aa3tvWmt7b1pre29aa3tvWmt7b1prWmtaa1prWmt7b1prWmtaa1prWmtaa1pre29aa1prWmtaa1pre29aa3tvWmt7b1pre29aa3tvWmt7b1pre29aa3tvWmt7b1pre29aa3tvWmt7b1prWmtaa3tvWmt7b1pre29aa1prWmtaa1prWmtaa1prWmtaa1prWmtaa1prWmtaa1prWmtaa1prWmtaa1prWmtaa1prWmtaa1prWmtaa1prOWdaa1prWmtaa1prWmtaa1prWmtaa1prWmtaa1prWmtaa1prWmtaa1prWmtaa1prWmtaa1prWmtaa1prAAB7b3tvWmt7b3tve297b3tve297b1pre297b3tve297b3tve297b3tvWmt7b1pre29aa3tvWmt7b3tve297b3tve297b1pre29aa3tvWmtaa1prWmtaa3tve2+cc3tve297b3tvWmt7b1pre29aa3tvWmt7b1pre297b3tvWmt7b1pre29aa3tvWmt7b1pre29aa3tvWmt7b1prWmtaa1prWmtaa1prWmtaa1prWmtaa1pre29aa3tvWmt7b1prWmtaa3tvWmt7b1pre29aa1pre297b1prWmtaa1prWmt7b1prWmtaa1prWmt7b1prWmtaa3tvWmt7b1pre29aa1prWmt7b1prWmtaa1prWmtaa1prWmtaa1prWmtaa1prWmtaa1prOWdaa1prWmtaa3tvWmtaa1prWmtaa3tvWmt7b1prWmtaa1prWmtaa1prWmtaa1prWmtaa1pre29aa3tvWmt7b1prWmtaa1prWmtaa1prWmtaa1prWmtaa1prWmtaa1prWmtaa1prWmtaa1prWmtaazlnWms5Z1prOWdaa1prWmtaa1prWmtaa1prWmtaa1prOWc5Z1prWmtaa1prOWdaazlnWms5Z1prWmtaazlnWms5Z1prOWdaazlnWmtaa1prOWdaazlnWms5Z1prOWcAAHtve297b3tve297b3tve297b3tve297b3tve297b3tvnHN7b3tve297b3tve297b3tve297b3tve297b3tve297b3tve297b3tvWmt7b1pre29aa1prWmucc5xznHN7b5xze297b1pre297b3tve297b3tve297b3tve297b1pre297b3tvWmt7b3tve29aa3tvWmt7b1pre29aa1prWmtaa1prWmtaa1prWmtaa1pre297b3tvWmt7b1pre29aa3tvWmt7b1pre29aa3tvWmt7b3tve29aa1prWmt7b1pre29aa3tvWmt7b1pre29aa3tve297b1pre29aa3tvWmt7b3tve29aa3tvWmtaa1pre29aa1prWmtaa1prWmtaa1prWmtaa1prWmtaa3tvWmt7b1pre29aa3tvWmt7b1pre29aa3tvWmt7b1prWmtaa3tvWmt7b1pre29aa3tvWmt7b1pre29aa1prWmtaa1prWmtaa3tvWmtaa1prWmtaa1prWmtaa1prWmtaa1prWmt7b1prWmtaa1prWmtaa1prWmtaa1prWmtaa1prWmtaa3tvWmtaazlnWmtaa3tvWmtaa1prWms5Z1prWmtaa1prWmtaa1prWmtaa1prWmtaa1prWmtaazlnWms5Z1prOWdaawAAWmt7b3tve297b3tve297b1pre29aa3tvWmt7b3tve297b3tve297b3tve29aa3tve297b3tve297b5xze297b3tve297b3tvWmt7b1pre297b3tvWmt7b3tvnHN7b3tve297b3tve29aa3tvWmt7b1pre297b3tve297b3tve29aa3tvWmt7b1pre297b3tvWmt7b1pre29aa1prWmt7b1prWms5Z3tvWmtaa1pre29aa1prWmtaa1prWmtaa3tvWmt7b3tve29aa3tvWmt7b1pre29aa3tvWmt7b1pre29aa3tvWmt7b1prWmtaa3tvWmt7b1pre29aa1prWmt7b1pre29aa3tvWmtaa1pre29aa1prWmtaa1prWmtaa1prWmtaa1prWmtaa1prWmt7b1prWmtaa1prWmtaa1prWmtaa1prWmtaa1prWmtaa1prWmtaa1prWms5Z1prWmtaa1prWms5Z1prOWdaa1pre285Z1prWmtaa1prWmtaa1prWmtaa1prWmtaa1prWmtaa1prWms5Z1prOWdaa1prWmtaa1prOWdaazlnWms5Z1prOWdaazlnWms5Z1prWmtaazlnWmtaa1prOWdaa1prWms5Z1prOWdaazlnWms5Z1prOWdaazlnWms5Z1prOWdaazlnAAB7b3tvnHN7b5xze2+cc3tve297b3tve297b3tvnHN7b3tve2+cc3tve297b3tvWmt7b3tve297b5xze2+cc3tve297b3tve297b1pre297b3tve297b3tvnHN7b5xze2+cc3tvnHN7b3tve297b3tve29aa3tve297b3tve297b3tve297b3tve297b3tve297b1pre29aa1prWmt7b1pre29aa1prWmt7b1prWmt7b1prWmt7b1pre29aa3tvWmt7b1pre297b3tve297b3tve29aa3tvWmt7b1pre29aa3tvWmt7b1pre29aa3tvWmt7b1pre29aa3tvWmt7b1pre29aa3tvWmt7b1pre29aa1prWmt7b1prWmtaa3tvWmtaa1prWmtaa1prWmt7b1prWmtaa3tvWmt7b1pre29aa1prWmt7b1prWmtaa3tvWmtaa1prWmtaa1prWmt7b1prWmtaa1prWmtaa1pre29aa1prWmt7b1pre29aa3tvWmt7b1pre29aa1prWmt7b1pre29aa1prWmtaa1pre29aa1prWmtaa1prWms5Z1prWmtaazlnWmtaa1prWmtaa1prWmtaa1prWmtaa1prWmtaa1prWmtaa1prWms5Z1prOWdaazlnWms5Z1prOWdaazlnWmsAAHtve297b3tve2+cc3tve297b3tve297b3tve297b5xze297b3tve297b3tvWmt7b3tve29aa3tve297b3tve297b3tvWmt7b1pre29aa3tve297b1pre297b3tve297b3tve297b3tve297b1pre29aa3tvWmt7b1pre29aa3tvWmt7b1pre29aa3tvWmt7b1pre29aa1prWmtaa1prWmtaa1prOWdaa1prWmtaa3tvWmtaa1prWmtaa3tvWmtaa1pre29aa3tvWmt7b1pre29aa3tvWmtaa1pre29aa1prWmt7b1prWmtaa3tvWmt7b1pre29aa1prWmt7b1pre29aa3tvWmtaa1prWmtaa1prWmtaa1prWmtaa1prWmtaa1prWmtaa1prWmtaa1prWmtaa1prWmtaa1prWmtaa1prWmtaa1prWmtaa1prWmtaa1prWmtaa1prWmtaa1prWmtaa1prOWdaa1prWmtaa1prWmtaa1prWmtaa1prWmtaa1prWmtaa1prWmtaa1prWmtaa1prWmtaazlnWmtaa1prWmtaazlnWms5Z1prOWdaazlnWms5Z1prOWdaazlnWmtaa1prOWdaa1prWms5Z1prWmtaazlnWms5Z1prOWdaazlnWms5Z1prOWdaazlnOWc5ZwAAe297b3tve2+cc3tve297b5xze297b3tve297b3tve297b3tve297b3tve297b1pre297b3tvWmt7b3tve29aa3tve297b3tve297b3tve297b3tve297b3tve297b3tve297b3tve297b3tve29aa3tvWmt7b1pre29aa3tvWmt7b3tve29aa3tve297b1pre29aa3tvWmt7b1prWmtaa3tvWmtaa1pre29aa1prWmtaa1prWmtaa3tvWmt7b1pre29aa3tvWmt7b3tve29aa3tvWmt7b1pre29aa3tvWmt7b1pre29aa3tvWmt7b1pre29aa3tvWmt7b1pre29aa3tve297b1pre29aa1prWmtaa1prWmtaa3tvWmt7b1prWmtaa1prWmtaa1prWmtaa1prWmt7b1pre29aa1prWmtaa1prWmtaa3tvWmt7b1prWmtaa1prWmt7b1prWmtaa1prWmtaa1prWmtaa1prWmtaa1prWmtaa3tvWmt7b1prWmtaa1prWmtaa1pre29aa3tvWmtaa1prWmtaa3tvWmtaa1prWms5Z1prOWdaazlnWms5Z1prOWdaa1prWmtaa1prWmtaa1prWmtaa1prWmtaa1prWmtaa1prWmtaazlnWmtaa1prOWdaazlnWms5Z1prAABaa3tvWmt7b3tve297b3tve297b1pre29aa3tvWmt7b1pre297b3tve297b1pre297b3tvWmt7b1pre29aa3tvWmt7b1pre29aa3tve297b1pre297b3tvWmt7b3tve29aa3tvWmt7b1pre29aa3tvWmt7b1pre29aa1prWmt7b1pre29aa3tvWmt7b1pre29aa3tvWmt7b1pre29aa1prWmtaa1prWmtaa1prWmtaa1prWmtaa1prWmtaa1prWmtaa1prWmt7b1pre29aa1prWmtaa1prWmtaa1prWmtaa1prWmtaa1prWmtaa1pre29aa3tvWmt7b1pre29aa3tvWmt7b1prWmtaa1prWmtaa1prWmtaa1prWmtaa1prWmtaa1prWmtaa1prWmtaa1prWmtaa1prWmtaa1prWmtaa1prWmtaa1prWmtaa1prWmtaa1prWmt7b1prWmtaa1prOWdaa1prWmtaa1prWmtaazlnWmtaa1prWmtaa1prWms5Z1prWmtaazlnWmtaa3tvWmtaa1prWmtaa1prWmtaa1prWms5Z1prOWdaazlnWms5Z1prOWdaazlnWmtaa1prOWdaa1prWms5Z1prWmtaazlnWms5Z1prOWdaazlnWms5Z1prOWdaazlnWms5Z1prOWcAAHtvWmt7b3tve297b3tve297b3tve29aa3tvWmt7b3tve297b3tve297b3tve297b3tve297b3tve297b3tvWmt7b1pre297b3tve297b3tve297b5xze297b1pre297b3tve297b3tve29aa3tve297b1pre29aa3tvWmt7b1pre297b3tve297b1pre29aa3tve297b3tve297b3tvWmtaa1pre29aa1prWmt7b1prWmtaa1prWmtaa1pre29aa1prWmt7b1pre29aa3tvWmt7b1pre29aa3tvWmt7b1prWmtaa1prWmtaa1pre297b3tvWmt7b1pre29aa3tve297b1pre29aa1prWmtaa1prWmtaa3tvWmtaa1pre29aa1prWmtaa1prWmtaa1prWmtaa1pre29aa3tvWmt7b1prWmtaa3tvWmtaa1pre29aa1prWmt7b1pre29aa3tvWmtaa1prWmtaa1prWmt7b1prWmtaa3tvWmt7b1pre29aa1prWmt7b1prWmtaa3tve29aa1pre29aa1prWmt7b1prWmtaa1prWmtaazlnWmtaa1prOWdaa1prWmtaa1prWmtaa1prWmtaa1prWmtaa1prWmtaa1prWmtaazlnWms5Z1prOWdaazlnWms5Z1prOWdaawAAWmt7b1pre297b3tvWmt7b3tve29aa3tvWmt7b1pre29aa3tve297b3tve29aa3tve297b1pre297b3tvWmt7b1pre29aa3tve297b1pre29aa3tve297b1pre29aa3tvWmt7b1pre29aa3tvWmt7b1pre29aa3tvWmt7b1prWmt7b3tvWmt7b1prWmtaa1prWmt7b1pre297b3tvWmtaa1pre29aa1prWmt7b1prWmtaa1prWmtaa1prWmtaa1prWmtaa1prWmtaa1prWmtaa1prWmtaa1prWmtaa1prWmtaa1prWmtaa1pre29aa3tvWmt7b1prWmtaa3tvWmt7b1pre29aa1prWmtaazlnWmtaa1prWmtaa1prWmtaa1prWmtaa1prWmtaa1prOWdaa1prWmtaa1prWmtaa1prWmtaa1prWmtaa1prWmtaa1prWmtaa1pre29aa3tvWmtaazlnWmtaa1prWmtaa1prWmtaa1prWmtaa1prWmtaa1prWmt7b1prWms5Z1prWmt7b1prWmtaa1prWmtaazlnWmtaa1prOWdaazlnWms5Z1prOWdaazlnWms5Z1prOWdaa1prWms5Z1prWmtaazlnWmtaa1prOWdaazlnWms5Z1prOWdaazlnWms5Z1prOWc5ZzlnAAB7b3tve297b5xze297b3tvnHN7b3tve297b3tve297b3tve297b3tvnHN7b3tve2+cc3tve297b3tve297b1pre297b3tve297b3tve297b3tve2+cc3tve29aa3tve297b3tve29aa3tve297b3tve297b3tve297b1pre29aa3tve297b1pre29aa1prWmt7b1pre297b3tvWmtaa1prWmt7b3tvWmtaa1pre285Z1prWmtaa1prWmtaa1prWmtaa1pre29aa3tvWmtaa1pre29aa1prWmt7b1prWmtaa1prWmtaa1pre29aa3tvWmt7b1pre29aa3tvWmt7b3tve297b3tvWmtaa1prWmtaa1prWmtaa1pre29aa3tvWmtaa1prWmtaa1prWmtaazlnWmtaa3tvWmt7b1prWmtaa1prWmtaa1pre29aa3tvWmtaa1pre29aa3tvWmtaa1prWmtaa1prWmt7b1prWmtaa1prWmtaa1pre29aa3tvWmtaa1pre29aa1prOWdaa1prWmtaa1prWmtaa1prWms5Z1prWmtaazlnWms5Z1prOWdaazlnWms5Z1prWmtaa1prWmtaa1prWmtaa1prWmtaa1prWmtaa1prWmtaa1prOWdaa1prWms5Z1prOWdaazlnWmsAAEYAAAAUAAAACAAAAEdESUMDAAAAIgAAAAwAAAD/////IgAAAAwAAAD/////JQAAAAwAAAANAACAKAAAAAwAAAAEAAAAIgAAAAwAAAD/////IgAAAAwAAAD+////JwAAABgAAAAEAAAAAAAAAP///wAAAAAAJQAAAAwAAAAEAAAATAAAAGQAAAAAAAAAfAAAAKgBAADMAAAAAAAAAHwAAACpAQAAUQAAACEA8AAAAAAAAAAAAAAAgD8AAAAAAAAAAAAAgD8AAAAAAAAAAAAAAAAAAAAAAAAAAAAAAAAAAAAAAAAAACUAAAAMAAAAAAAAgCgAAAAMAAAABAAAACcAAAAYAAAABAAAAAAAAAD///8AAAAAACUAAAAMAAAABAAAAEwAAABkAAAADgAAAHwAAAA/AQAAkgAAAA4AAAB8AAAAMgEAABcAAAAhAPAAAAAAAAAAAAAAAIA/AAAAAAAAAAAAAIA/AAAAAAAAAAAAAAAAAAAAAAAAAAAAAAAAAAAAAAAAAAAlAAAADAAAAAAAAIAoAAAADAAAAAQAAAAlAAAADAAAAAEAAAAYAAAADAAAAAAAAAASAAAADAAAAAEAAAAeAAAAGAAAAA4AAAB8AAAAQAEAAJMAAAAlAAAADAAAAAEAAABUAAAAqAAAAA8AAAB8AAAAnAAAAJIAAAABAAAAVVWPQSa0j0EPAAAAfAAAAA8AAABMAAAAAAAAAAAAAAAAAAAA//////////9sAAAASAB1AG0AYgBlAHIAdABvACAAQwBvAGwAbQBhAG4AAAAMAAAACgAAAA8AAAAKAAAACQAAAAYAAAAGAAAACgAAAAUAAAALAAAACgAAAAQAAAAPAAAACQAAAAoAAABLAAAAQAAAADAAAAAFAAAAIAAAAAEAAAABAAAAEAAAAAAAAAAAAAAAqQEAANEAAAAAAAAAAAAAAKkBAADRAAAAJQAAAAwAAAACAAAAJwAAABgAAAAEAAAAAAAAAP///wAAAAAAJQAAAAwAAAAEAAAATAAAAGQAAAAOAAAAmQAAAD8BAACvAAAADgAAAJkAAAAyAQAAFwAAACEA8AAAAAAAAAAAAAAAgD8AAAAAAAAAAAAAgD8AAAAAAAAAAAAAAAAAAAAAAAAAAAAAAAAAAAAAAAAAACUAAAAMAAAAAAAAgCgAAAAMAAAABAAAACUAAAAMAAAAAQAAABgAAAAMAAAAAAAAABIAAAAMAAAAAQAAAB4AAAAYAAAADgAAAJkAAABAAQAAsAAAACUAAAAMAAAAAQAAAFQAAACgAAAADwAAAJkAAAB+AAAArwAAAAEAAABVVY9BJrSPQQ8AAACZAAAADgAAAEwAAAAAAAAAAAAAAAAAAAD//////////2gAAABWAGkAYwBlAHAAcgBlAHMAaQBkAGUAbgB0AGUACwAAAAQAAAAIAAAACQAAAAoAAAAGAAAACQAAAAcAAAAEAAAACgAAAAkAAAAKAAAABgAAAAkAAABLAAAAQAAAADAAAAAFAAAAIAAAAAEAAAABAAAAEAAAAAAAAAAAAAAAqQEAANEAAAAAAAAAAAAAAKkBAADRAAAAJQAAAAwAAAACAAAAJwAAABgAAAAEAAAAAAAAAP///wAAAAAAJQAAAAwAAAAEAAAATAAAAGQAAAAOAAAAtgAAAJoBAADMAAAADgAAALYAAACNAQAAFwAAACEA8AAAAAAAAAAAAAAAgD8AAAAAAAAAAAAAgD8AAAAAAAAAAAAAAAAAAAAAAAAAAAAAAAAAAAAAAAAAACUAAAAMAAAAAAAAgCgAAAAMAAAABAAAACUAAAAMAAAAAQAAABgAAAAMAAAAAAAAABIAAAAMAAAAAQAAABYAAAAMAAAAAAAAAFQAAABQAQAADwAAALYAAACZAQAAzAAAAAEAAABVVY9BJrSPQQ8AAAC2AAAAKwAAAEwAAAAEAAAADgAAALYAAACbAQAAzQAAAKQAAABGAGkAcgBtAGEAZABvACAAcABvAHIAOgAgAEgAVQBNAEIARQBSAFQATwAgAEEAUgBJAEUATAAgAEMATwBMAE0AQQBOACAAQwBBAFMAVABJAEwATABPAAAACAAAAAQAAAAGAAAADwAAAAkAAAAKAAAACgAAAAUAAAAKAAAACgAAAAYAAAAEAAAABQAAAAwAAAAMAAAADwAAAAoAAAAJAAAACgAAAAkAAAANAAAABQAAAAsAAAAKAAAABQAAAAkAAAAIAAAABQAAAAsAAAANAAAACAAAAA8AAAALAAAADQAAAAUAAAALAAAACwAAAAkAAAAJAAAABQAAAAgAAAAIAAAADQAAABYAAAAMAAAAAAAAACUAAAAMAAAAAgAAAA4AAAAUAAAAAAAAABAAAAAUAAAA</Object>
  <Object Id="idInvalidSigLnImg">AQAAAGwAAAAAAAAAAAAAAKgBAADQAAAAAAAAAAAAAAC/HQAAqw4AACBFTUYAAAEArCEBANI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A4AAAAEAAAAJwAAAB0AAAAOAAAABAAAABoAAAAaAAAAIQDwAAAAAAAAAAAAAACAPwAAAAAAAAAAAACAPwAAAAAAAAAAAAAAAAAAAAAAAAAAAAAAAAAAAAAAAAAAJQAAAAwAAAAAAACAKAAAAAwAAAABAAAAFQAAAAwAAAADAAAAcgAAAKAJAAAPAAAABAAAACYAAAAbAAAADwAAAAQAAAAYAAAAGAAAAAAA/wEAAAAAAAAAAAAAgD8AAAAAAAAAAAAAgD8AAAAAAAAAAP///wAAAAAAbAAAADQAAACgAAAAAAkAABgAAAAYAAAAKAAAABgAAAAYAAAAAQAgAAMAAAAACQAAAAAAAAAAAAAAAAAAAAAAAAAA/wAA/wAA/wAAAAAAAAAAAAAAAAAAAAAAAAAAAAAAAAAAAAAAAAAAAAAAAAAAAAAAAAAAAAAAAAAAACkrprMeH3eAAAAAAAAAAAAAAAAAAAAAAAAAAAAAAAAAAAAAAAAAAAAeH3eAKSumswAAAAAAAAAAAAAAAAAAAAAAAAAAAAAAAAAAAAAYGRluAAAAAAAAAAAAAAAAAAAAAB4fd4A7Pe3/Hh93gAAAAAAAAAAAAAAAAAAAAAAAAAAAAAAAAB4fd4A7Pe3/Hh93gAAAAAAAAAAAAAAAAAAAAAAAAAAAAAAAAAAAAAA5OjrRODo63gsLCzEAAAAAAAAAAAAAAAAeH3eAOz3t/x4fd4AAAAAAAAAAAAAAAAAAAAAAHh93gDs97f8eH3eAAAAAAAAAAAAAAAAAAAAAAAAAAAAAAAAAAAAAAAAAAABERUXdQ0VF/jw+PvgVFhZgAAAAAAAAAAAAAAAAHh93gDs97f8eH3eAAAAAAAAAAAAeH3eAOz3t/x4fd4AAAAAAAAAAAAAAAAAAAAAAAAAAAAAAAAAAAAAAAAAAAAAAAABERUXdkZKS/5ucnP84Ojr/ISIilyEiIpc6OztvAAAAAB4fd4A7Pe3/Hh93gB4fd4A7Pe3/Hh93gAAAAAAAAAAAAAAAAAAAAAAAAAAAAAAAAAAAAAAAAAAAAAAAAAAAAABERUXdkZKS//r6+v/HyMj/S01N/EtNTfzAwcH4VFRUVgAAAAAeH3eAOz3t/zs97f8eH3eAAAAAAAAAAAAAAAAAAAAAAAAAAAAAAAAAAAAAAAAAAAAAAAAAAAAAAAAAAABERUXdkZKS//r6+v/6+vr/5eXl/+Xl5f/w8PD1VFRUVgAAAAAeH3eAOz3t/zs97f8eH3eAAAAAAAAAAAAAAAAAAAAAAAAAAAAAAAAAAAAAAAAAAAAAAAAAAAAAAAAAAABERUXdkZKS//r6+v/6+vr/+vr6//Dw8PVUVFRWAAAAAB4fd4A7Pe3/Hh93gB4fd4A7Pe3/Hh93gAAAAAAAAAAAAAAAAAAAAAAAAAAAAAAAAAAAAAAAAAAAAAAAAAAAAABERUXdkZKS//r6+v/6+vr/8PDw9VRUVFYAAAAAHh93gDs97f8eH3eAAAAAAAAAAAAeH3eAOz3t/x4fd4AAAAAAAAAAAAAAAAAAAAAAAAAAAAAAAAAAAAAAAAAAAAAAAABERUXdkZKS//r6+v/w8PD1VFRUVgAAAAAeH3eAOz3t/x4fd4AAAAAAAAAAAAAAAAAAAAAAHh93gDs97f8eH3eAAAAAAAAAAAAAAAAAAAAAAAAAAAAAAAAAAAAAAAAAAABERUXdkZKS//Dw8PVUVFRWAAAAAB4fd4A7Pe3/Hh93gAAAAAAGBgYcAAAAAAAAAAAAAAAAAAAAAB4fd4A7Pe3/Hh93gAAAAAAAAAAAAAAAAAAAAAAAAAAAAAAAAAAAAABERUXde319/4OEhOYAAAAAAAAAACkrprMeH3eAAAAAAExNTYJAQUHOAAAAAAAAAAAAAAAAAAAAAAAAAAAeH3eAKSumswAAAAAAAAAAAAAAAAAAAAAAAAAAAAAAAAAAAABERUXdODo6/2ZnZ/+np6fQAAAAAAAAAAAAAAAAT09PdkNFRf5ERUXdAAAAAAAAAAAAAAAAAAAAAAAAAAAAAAAAAAAAAAAAAAAAAAAAAAAAAAAAAAAAAAAAAAAAAAYGBhw8Pj74e319//r6+v/6+vr/wcHBxQAAAABUVFRW8PDw9Xt9ff88Pj74BgYGHAAAAAAAAAAAAAAAAAAAAAAAAAAAAAAAAAAAAAAAAAAAAAAAAAAAAAAAAAAAAAAAAB4fH4phYmL6+vr6//r6+v/6+vr/+vr6/8vLy8/w8PD1+vr6//r6+v9hYmL6Hh8figAAAAAAAAAAAAAAAAAAAAAAAAAAAAAAAAAAAAAAAAAAAAAAAAAAAAAAAAAAAAAAAD5AQO6mp6f/+vr6//r6+v/6+vr/+vr6//r6+v/6+vr/+vr6//r6+v+mp6f/PkBA7gAAAAAAAAAAAAAAAAAAAAAAAAAAAAAAAAAAAAAAAAAAAAAAAAAAAAAAAAAAAAAAADg6Ov+9vb3/+vr6//r6+v/6+vr/+vr6//r6+v/6+vr/+vr6//r6+v+9vb3/ODo6/wAAAAAAAAAAAAAAAAAAAAAAAAAAAAAAAAAAAAAAAAAAAAAAAAAAAAAAAAAAAAAAADg6Ov+9vb3/+vr6//r6+v/6+vr/+vr6//r6+v/6+vr/+vr6//r6+v+9vb3/ODo6/wAAAAAAAAAAAAAAAAAAAAAAAAAAAAAAAAAAAAAAAAAAAAAAAAAAAAAAAAAAAAAAADk6OtGHiIj/+vr6//r6+v/6+vr/+vr6//r6+v/6+vr/+vr6//r6+v+RkpL/OTo60QAAAAAAAAAAAAAAAAAAAAAAAAAAAAAAAAAAAAAAAAAAAAAAAAAAAAAAAAAAAAAAABgZGW5BQ0P81dXV//r6+v/6+vr/+vr6//r6+v/6+vr/+vr6/+Xl5f9BQ0P8GBkZbgAAAAAAAAAAAAAAAAAAAAAAAAAAAAAAAAAAAAAAAAAAAAAAAAAAAAAAAAAAAAAAAAAAAAAyMzPKVFZW+tXV1f/6+vr/+vr6//r6+v/6+vr/1dXV/1RWVvoyMzPKAAAAAAAAAAAAAAAAAAAAAAAAAAAAAAAAAAAAAAAAAAAAAAAAAAAAAAAAAAAAAAAAAAAAAAAAAAAGBgYcMTIyvjg6Ov94enr8kZKS/5GSkv94enr8ODo6/zEyMr4GBgYcAAAAAAAAAAAAAAAAAAAAAAAAAAAAAAAAAAAAAAAAAAAAAAAAAAAAAAAAAAAAAAAAAAAAAAAAAAAAAAAAAAAAABISElEkJiamREVF3URFRd0kJiamEhISUQAAAAAAAAAAAAAAAAAAAAAAAAAAAAAAAAAAAAAAAAAAAAAAAAAAAAAAAAAAAAAAAAAAAAAAAAAAAAAAAAAAAAAAAAAAAAAAAAAAAAAAAAAAAAAAAAAAAAAAAAAAAAAAAAAAAAAAAAAAAAAAAAAAAAAAAAAAAAAAAAAAAAAAAAAAAAAAACcAAAAYAAAAAQAAAAAAAAD///8AAAAAACUAAAAMAAAAAQAAAEwAAABkAAAANgAAAAUAAACrAAAAGwAAADYAAAAFAAAAdgAAABcAAAAhAPAAAAAAAAAAAAAAAIA/AAAAAAAAAAAAAIA/AAAAAAAAAAAAAAAAAAAAAAAAAAAAAAAAAAAAAAAAAAAlAAAADAAAAAAAAIAoAAAADAAAAAEAAABSAAAAcAEAAAEAAADv////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NgAAAAUAAACsAAAAHAAAACUAAAAMAAAAAQAAAFQAAACoAAAANwAAAAUAAACqAAAAGwAAAAEAAABVVY9BJrSPQTcAAAAFAAAADwAAAEwAAAAAAAAAAAAAAAAAAAD//////////2wAAABGAGkAcgBtAGEAIABuAG8AIAB2AOEAbABpAGQAYQAAAAgAAAAEAAAABgAAAA8AAAAJAAAABQAAAAoAAAAKAAAABQAAAAgAAAAJAAAABAAAAAQAAAAKAAAACQAAAEsAAABAAAAAMAAAAAUAAAAgAAAAAQAAAAEAAAAQAAAAAAAAAAAAAACpAQAA0QAAAAAAAAAAAAAAqQEAANE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kAAAAAAAAAFAAAAAhAPAAAAAAAAAAAAAAAIA/AAAAAAAAAAAAAIA/AAAAAAAAAAAAAAAAAAAAAAAAAAAAAAAAAAAAAAAAAAAlAAAADAAAAAAAAIAoAAAADAAAAAMAAAAnAAAAGAAAAAMAAAAAAAAAAAAAAAAAAAAlAAAADAAAAAMAAABMAAAAZAAAAAAAAAAAAAAA//////////8AAAAAJAAAAEABAAAAAAAAIQDwAAAAAAAAAAAAAACAPwAAAAAAAAAAAACAPwAAAAAAAAAAAAAAAAAAAAAAAAAAAAAAAAAAAAAAAAAAJQAAAAwAAAAAAACAKAAAAAwAAAADAAAAJwAAABgAAAADAAAAAAAAAAAAAAAAAAAAJQAAAAwAAAADAAAATAAAAGQAAAAAAAAAAAAAAP//////////QAEAACQAAAAAAAAAUAAAACEA8AAAAAAAAAAAAAAAgD8AAAAAAAAAAAAAgD8AAAAAAAAAAAAAAAAAAAAAAAAAAAAAAAAAAAAAAAAAACUAAAAMAAAAAAAAgCgAAAAMAAAAAwAAACcAAAAYAAAAAwAAAAAAAAAAAAAAAAAAACUAAAAMAAAAAwAAAEwAAABkAAAAAAAAAHQAAAA/AQAAdQAAAAAAAAB0AAAAQAEAAAIAAAAhAPAAAAAAAAAAAAAAAIA/AAAAAAAAAAAAAIA/AAAAAAAAAAAAAAAAAAAAAAAAAAAAAAAAAAAAAAAAAAAlAAAADAAAAAAAAIAoAAAADAAAAAMAAAAnAAAAGAAAAAMAAAAAAAAA////AAAAAAAlAAAADAAAAAMAAABMAAAAZAAAAAAAAAAkAAAAPwEAAHMAAAAAAAAAJAAAAEABAABQAAAAIQDwAAAAAAAAAAAAAACAPwAAAAAAAAAAAACAPwAAAAAAAAAAAAAAAAAAAAAAAAAAAAAAAAAAAAAAAAAAJQAAAAwAAAAAAACAKAAAAAwAAAADAAAAJwAAABgAAAADAAAAAAAAAP///wAAAAAAJQAAAAwAAAADAAAATAAAAGQAAAALAAAARQAAACcAAABzAAAACwAAAEUAAAAdAAAALwAAACEA8AAAAAAAAAAAAAAAgD8AAAAAAAAAAAAAgD8AAAAAAAAAAAAAAAAAAAAAAAAAAAAAAAAAAAAAAAAAACUAAAAMAAAAAAAAgCgAAAAMAAAAAwAAAFIAAABwAQAAAwAAANb///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RQAAACYAAABzAAAAAQAAAFVVj0EmtI9BDAAAAHQAAAABAAAATAAAAAQAAAALAAAARQAAACgAAAB0AAAAUAAAAFgAAAAbAAAAFgAAAAwAAAAAAAAAJQAAAAwAAAACAAAAJwAAABgAAAAEAAAAAAAAAP///wAAAAAAJQAAAAwAAAAEAAAATAAAAGQAAAA2AAAAKAAAADQBAABzAAAANgAAACgAAAD/AAAATAAAACEA8AAAAAAAAAAAAAAAgD8AAAAAAAAAAAAAgD8AAAAAAAAAAAAAAAAAAAAAAAAAAAAAAAAAAAAAAAAAACUAAAAMAAAAAAAAgCgAAAAMAAAABAAAACcAAAAYAAAABAAAAAAAAAD///8AAAAAACUAAAAMAAAABAAAAEwAAABkAAAANgAAACgAAAA0AQAAbwAAADYAAAAoAAAA/wAAAEg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IQAAAAgAAABiAAAADAAAAAEAAABLAAAAEAAAAAAAAAAFAAAAIQAAAAgAAAAeAAAAGAAAAAAAAAAAAAAAqQEAANE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IJ20/AAAAAAAAAAB+P2w/AABYQgAAIEIkAAAAJAAAAAgnbT8AAAAAAAAAAH4/bD8AAFhCAAAgQgQAAABzAAAADAAAAAAAAAANAAAAEAAAADYAAAAo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lQAAAE0AAAAAAAAAIQAAAAgAAABiAAAADAAAAAEAAAAVAAAADAAAAAQAAAAVAAAADAAAAAQAAABRAAAAePoAADYAAAAoAAAAvwAAAG4AAAAAAAAAAAAAAAAAAAAAAAAA+QAAAIAAAABQAAAAKAAAAHgAAAAA+gAAAAAAACAAzACVAAAATQAAACgAAAD5AAAAgAAAAAEAEAAAAAAAAAAAAAAAAAAAAAAAAAAAAAAAAAA5Z1prWmt7b1prWmtaa3tvWmtaa1pre29aa3tvWmt7b3tve29aa3tvWmtaa1prWmtaa3tvWmt7b1prWmtaa1prWmtaa1pre29aa3tvWmt7b1prWmtaa1prOWdaa1prWmtaa1prWmtaa1pre29aa3tvWmtaa1prWmtaa1prWmtaa1prWms5Z1prOWdaa1prWms5Z1prWmt7b1prWmtaa1prWmt7b1prWms5Z1prOWdaa1prWmtaa1prWmtaa1prWms5Z1prOWdaazlnWmtaa1prWmtaa1pre29aa1prWmtaazlnWmtaa1prWmtaa1prWms5Z1prWmtaazlnWms5Z1prWmtaazlnWms5Z1prOWdaazlnWms5Z1prOWdaazlnWms5Z1prWmtaa1prWms5Z1prOWc5ZzlnWms5Z1prOWdaa1prWmtaa1prWmtaa1prWms5Z1prOWdaazlnWms5Z1prOWdaazlnWms5Z1prOWdaazlnWms5Z1prOWdaa1prWms5Z1prWmtaazlnWms5Z1prWmtaazlnWms5ZzlnOWdaazlnOWc5ZzlnOWc5ZzlnWmtaazlnOWd7b3tve285Z1prOWc5ZzlnOWc5ZzlnOWc5ZzlnWmtaa1prOWc5Zzlne285Z1prOWc5ZzlnOWc5Z1prGGMAAHtvWmt7b3tve29aa3tve297b1pre297b3tvWmt7b1pre297b3tvWmtaa1pre29aa3tvWmt7b1pre29aa3tvWmtaa1pre29aa3tvWmt7b1pre29aa1prWmtaa1prWmtaa3tvWmt7b1pre29aa3tve297b1pre29aa1prWmt7b1prWmtaa1prWmtaa1prWmtaa1prWmt7b1pre29aa3tvWmt7b3tve29aa1prOWdaa1prWmtaa3tvWmt7b1pre29aa1prOWdaa1prWmtaa1prWmtaa1pre29aa3tvWmt7b1prWmtaa3tvWmt7b1pre29aa1prWmt7b1prWmtaa1prWmtaa1prWmtaa1prWmtaa1prWms5Z1prWmtaa1prWmtaa1prWmtaa1prWmtaa1prWmtaazlnWms5Z1prWmtaazlnWmtaa1prWmtaa1prWmtaa1prWmtaa1prWmtaa1prWmtaa1prWmtaa1prWmtaa1prWmtaa1prWmtaa1prWmtaa1prWmtaa1prWms5Z1prWmtaazlnWmtaa1prOWdaa1prWms5Z1prOWc5ZzlnWmtaa1prOWdaa3tve29aa1prOWdaazlnOWc5ZzlnOWdaazlnWmtaa3tvWmtaazlnWmtaa1prOWdaazlnWms5Z1prOWdaawAAWmt7b3tve29aa3tvWmt7b1pre29aa3tvWmt7b1prWmtaa3tvWmtaa1prWmtaa1prWmt7b1prWmtaa1prWmtaa1prWmtaa1prWmtaa1prWmtaa1prWmtaa1prWmtaa1prWmt7b1prWmtaa3tvWmt7b1pre29aa1prWmtaa1prWmtaa1prWmtaa1prWmtaa1prWmt7b1prWmtaa1prWmtaa1pre29aa1prOWdaazlnWms5Z1prWmtaa1prWms5Z1prWmtaazlnWmtaa1prWmtaa1prWmtaa1prWmtaa1prWmtaa1prWmtaa1pre29aa3tvWmtaa1prWmtaa1prOWdaa1prWmtaa1prWmtaa1prWms5Z1prWmtaa1prWmtaa1prWmtaazlnWms5Z1prOWdaazlnWms5Z1prOWdaazlnWmtaa1prOWdaa1prWms5Z1prOWdaazlnWms5Z1prOWdaazlnWms5Z1prOWdaazlnWmtaa1prWmtaazlnWms5Z1prOWdaazlnWms5Z1prOWdaa1prWms5Z1prOWc5ZzlnWms5Z1prOWc5ZzlnWms5Z1prOWdaa1pre29aa1prOWdaazlnOWc5ZzlnOWc5ZzlnOWc5Z1prOWdaazlnOWc5Z1prOWdaazlnOWc5ZzlnOWc5ZzlnAAB7b1pre297b3tvWmt7b1pre29aa3tvWmt7b1pre29aa1prWmtaa1pre29aa3tvWmt7b1pre29aa3tvWmt7b1prWmtaa1prWmtaa1prWmtaa3tvWmtaa1prWmtaa1prWmt7b1prWmtaa3tve297b1pre29aa3tvWmt7b1pre29aa3tvWmt7b1pre29aa3tvWmt7b1prWmtaa1prWmtaa1pre29aa3tvWmtaa1prWmtaa1prWmtaa1pre29aa1prOWd7b1prWmtaa3tvWmt7b1prWmtaa1prWmtaa1prWmtaa3tvWmt7b1pre29aa3tvWmtaa1pre29aa1prWmtaa1pre29aa1prWmtaa1prWmtaa1prWmtaa1pre29aa1prWmtaa1prWms5Z1prOWdaa1prWmtaa1prOWdaa1prWms5Z1prWmtaa1prWmtaa1prWmtaa1prWmtaa1prWmtaa1prWmtaa1prWmtaa1prWmtaa1prWmtaa1prWmtaa1prOWdaazlnWms5Z1prWmtaa1prWmtaa1prWmtaazlnWms5Z1prWmtaazlnWmtaa1prWms5ZzlnWmtaa1prOWdaazlnWms5ZzlnOWdaazlnWms5Z1prWmtaazlnWms5Z1prWmtaazlnWms5Z1prOWdaazlnWmsAAFpre297b3tvWmtaa1pre29aa1prWmt7b1pre29aa3tvOWdaa1prWmtaa1prWmt7b1prWmtaa1prWmtaa1pre29aa1prWmtaazlnWmtaa1prWmtaa1prWms5Z1prWmtaa1prWmtaa3tvWmt7b1pre29aa1prWmtaa1prWmtaa3tvWmtaa1prWmtaa1prWmt7b1prWmtaa1prOWdaazlnWmtaa1prWmt7b1prWmtaa1prWmtaa1prWmtaa1prOWdaa1prWmtaa1prWmtaa1prWms5Z1prOWdaa1prWmtaa1prWmtaa1prWmtaa1prWmtaazlnWmtaa1prOWdaazlnWms5Z1prOWdaazlnWmtaa1prOWdaazlnWms5Z1prOWdaazlnWms5ZzlnOWdaa1prWmtaa1prOWdaazlnWms5Z1prOWdaa1prWms5Z1prWmtaazlnWms5Z1prOWdaazlnWms5Z1prOWdaazlnWms5Z1prOWdaazlnWms5Z1prWmtaazlnWms5Z1prOWdaa1prWms5Z1prWmtaazlnOWc5Z1prOWdaazlnWms5Z1prOWdaaxhjWmtaa1prOWc5ZzlnWms5ZzlnOWc5ZzlnOWc5Z1prOWdaazlnWms5ZzlnOWdaazlnWms5ZzlnOWc5ZzlnWms5ZwAAe297b5xze297b1pre297b3tvWmt7b3tve29aa3tvWmtaa1pre29aa3tvWmt7b1pre29aa3tvWmt7b1pre29aa1prWmt7b1prWmtaa1prWmtaa1prWmtaa1prWmt7b1pre29aa3tvWmt7b3tve29aa3tvWmt7b1pre29aa3tve297b1pre29aa3tvWmt7b1prWmtaa1prWmtaa1prWmtaa1prWmt7b1prWmtaa1prWmt7b1pre29aa1prWmtaa1pre29aa3tvWmtaa1prWmtaa1prOWdaa1prWmtaa1prWmtaa1prWmtaa1prWmtaa1prWmtaa1prWmtaazlnWmtaa1prOWdaazlnWms5Z1prWmtaa1prWmtaa1prOWdaazlnWmtaa1prWmtaa1pre29aa1prWmtaa1prWmtaa1prOWdaa1prWmtaa1prWmtaa1prWmtaa1prWmtaa1prWmtaa1prWmtaa1prWmtaa1prWmtaazlnWms5Z1prWmtaa1prWms5Z1prWmtaa1prWmtaa1prWmt7b1prWms5Z1prOWdaa1prWmtaa1prOWdaazlnOWdaa1prOWc5ZzlnWms5Z1prOWdaazlnOWc5Z1prOWdaazlnWms5ZzlnOWc5ZzlnWms5Z1prOWdaazlnWms5Z1prAAB7b3tve297b3tve29aa3tvWmt7b1pre29aa3tvWmtaa1prWmtaa3tvWmt7b1prWmtaa1prWmtaa1pre29aa3tvWmtaa1prWmtaa1prWmtaa1prWms5Z1prWmtaa1prWmtaa1prWmt7b3tve29aa1prWmt7b1prWmtaa3tvWmt7b1prWmtaa1prWmtaa1prWmtaa1prWmtaa1prWmtaa1prWmtaa1pre29aa1prOWdaa3tve29aa1prWmtaa1prWmtaa1prWmtaa1prWms5Z1prOWdaazlnWmtaa1prWmtaa1prWmtaa1prWmtaa1prWms5Z1prWmtaa1prWms5Z1prOWdaazlnWms5Z1prWmtaa1prWmtaa1prWmtaazlnWms5Z1prOWdaa1prWmtaa1prWmtaazlnWmtaa1prOWdaazlnWms5Z1prOWdaazlnWms5Z1prOWdaazlnWms5Z1prOWdaazlnWms5Z1prOWdaazlnWms5Z1prOWdaazlnWms5Z1prOWdaazlnWms5Z1prOWd7b1prWms5Z1prOWc5ZzlnWms5Z1prOWdaazlnOWc5Z1prOWc5ZzlnWms5ZzlnOWdaazlnOWc5ZzlnOWdaazlnWms5ZzlnOWc5ZxhjOWc5Z1prOWc5ZzlnOWc5ZzlnOWcAAHtve297b3tve29aa3tvWmt7b1pre29aa3tvWmt7b1pre29aa3tve297b3tve29aa3tvWmt7b1pre29aa3tvWmt7b1pre29aa3tvWmtaa1prWmtaa1prWmtaa1pre29aa3tvWmt7b1pre297b3tvWmt7b1pre29aa3tvWmt7b3tve29aa1prWmtaa1prWmtaa1prWmt7b3tve297b3tvWmtaa1pre29aa3tvWmtaa1prnHN7b3tvWmtaa1pre29aa3tvWmtaa1prWmtaa1prWmtaa1prWmtaa3tvWmt7b1pre29aa3tvWmt7b1prWmtaa1prWmtaa1prWmtaa1prWmtaa1prWmtaa1prWmt7b1pre29aa1prWmt7b1prWms5Z1prWmtaa1pre29aa3tvWmt7b1prWmtaa1prWmtaazlnWmtaa1prWmtaa1prWmtaa1prWmtaa1prWmtaa1prWmtaa1prWmtaa1prWmtaa1prWmtaa1prOWdaazlnWms5Z1prWmtaa1prWms5Z1prOWdaa1pre285Z1prOWdaazlnWms5Z1prOWdaazlnOWc5Z1prWmtaazlnWmtaa1prOWdaazlnWms5Z1prOWdaazlnWms5ZzlnOWc5ZzlnOWc5Z1prOWdaazlnWms5Z1prOWc5ZwAAWmtaa1pre29aa3tvWmt7b1pre29aa3tvWmtaa1prWmtaa1prWmt7b1prWmtaa1prWmtaa1prWmtaa1prWmt7b1prWmtaa1prWmtaa1prWmtaa1prWmtaa1prWmtaa1prWmtaa1pre29aa1prWmtaa1prWmtaa1prWmtaa1prWmtaa1prWmt7b1prWmtaa3tvWmtaa1prWmtaa1prWmt7b1prWmtaa1prWmtaa1prWmtaa1prWmtaa1prWmtaa1prWmtaa1prWms5Z1prOWdaa3tve29aa1prOWdaa1prWms5Z1prWmtaa1prWmtaa1prWmtaa1prWmtaa1prWmtaazlnWmtaa1prWmtaazlnWms5Z1prOWdaazlnWmtaa1prOWdaa1prWmtaa1prWmtaazlnWms5Z1prOWdaa1prWms5Z1prOWdaazlnWmtaa1prOWdaazlnWmtaa1prWmtaazlnWms5Z1prOWdaazlnWmtaa1prWmtaazlnOWc5ZzlnOWc5ZzlnWms5Z1prOWdaa1prWms5Z1prOWdaazlnWmtaa1prOWc5ZzlnWms5Z1prOWc5ZzlnOWc5ZzlnOWc5ZzlnOWc5ZzlnOWdaazlnWms5ZzlnOWc5ZzlnOWc5ZzlnOWc5ZzlnOWc5ZzlnOWc5ZxhjAAB7b1pre297b3tvWmt7b1pre29aa3tve297b1pre29aa3tvWmt7b1pre29aa3tvWmtaa1pre29aa3tvWmt7b1prWmtaa3tvWmtaa1pre29aa1prWmt7b1prWmtaa3tvWmtaa1pre29aa1prWmtaa1prWmtaa1prWmtaa1pre29aa3tvWmt7b1pre29aa3tvWmt7b1pre29aa3tvWmt7b1pre29aa3tvWmt7b1pre29aa1prWmt7b1prWmtaa3tvWmtaa1prWmtaa1prWmtaa1pre29aa1prWmtaa1pre29aa1prWmtaa1prWmtaa3tvWmtaa1pre29aa1prWmt7b1prWmtaa1prWmtaa1prWmtaa1prOWdaazlnWmtaa1prWmtaazlnWmtaa3tvWmt7b1prWmtaa1prWmtaa1prWmtaa1prOWdaa1prWmtaa1prWmtaazlnWmtaa1prWmtaa1prWms5Z1prWmtaa1prWmtaa1prWmtaa1prWms5Z1prOWc5ZzlnWms5Z1prWmtaa1pre29aa1prOWdaazlnWmtaa1prOWdaazlnWmtaa1prOWdaazlnWms5Z1prOWdaazlnWms5Z1prOWdaa1prWms5Z1prOWdaazlnWms5Z1prOWdaazlnWms5Z1prOWdaazlnOWcAAFpre29aa3tvWmt7b1prWmtaa3tvWmt7b1pre29aa3tvWmt7b1pre29aa1prWmtaa1prWmtaa1prWmt7b1prWmtaa1prWmtaa1prWmtaa1prWmtaa1prWmtaa1prWmtaa1prWmtaa1prWmtaazlnWmtaa1prWmtaa1prWmtaa1prWmt7b1prWmtaa3tvWmtaa1pre29aa3tvWmt7b1pre29aa3tvWmt7b1pre29aa1prWmtaa1prWmtaa1prWmtaazlnWms5Z1prOWdaazlnWms5Z1prWmtaa1prWmtaa1prWmtaazlnWmtaa1prWmtaa1prWmtaa1prWmtaa1prWms5Z1prWmtaa1prWms5Z1prOWdaazlnWms5Z1prOWdaazlnWms5Z1prWmtaa1prWmtaa1prWmtaa1prWms5Z1prOWdaazlnWms5Z1prOWdaazlnWms5Z1prWmtaa1prWms5Z1prOWdaa1prWms5Z1prOWdaazlnWms5Z1prOWc5ZzlnOWc5Z1prOWdaa1prWmtaa3tvWmtaazlnWms5Z1prOWdaazlnWmtaa1prOWdaazlnWms5ZzlnOWdaazlnOWc5Z1prOWc5ZzlnWms5Z1prWmtaazlnOWc5Z1prOWc5ZzlnOWc5ZzlnOWc5ZzlnOWc5ZwAAe29aa3tvWmt7b1pre29aa3tvWmt7b1pre297b3tvWmt7b1pre29aa3tvWmtaa1pre29aa3tvWmt7b1pre29aa3tvWmtaa1pre29aa1prWmtaa1prWmtaa3tvWmt7b1prWmtaa1prWmtaa1prWms5Z1prWmtaa1prWmtaa1prWmt7b1pre29aa3tvWmt7b1pre297b3tve297b1pre29aa3tvWmt7b1pre29aa3tvWmt7b1prWmtaa3tvWmtaa1prWms5Z1prOWdaa1prWmtaa1prWmt7b1pre29aa1prWmtaa1prWmtaa1prWmtaa1prWmtaa1prWmtaa1prWmtaa1prWmtaa1pre29aa1prWmtaa1prWms5Z1prWmtaa1prWmtaa1prWmt7b1prWmtaa3tvWmtaa1prWmtaa1prWmtaa1prWmtaa1prOWdaazlnWmtaa1prWmt7b1prWms5Z1prOWdaa1prWmtaa1prWmtaa1prWmtaa1prWmtaazlnWms5Z1prOWdaa1prWmtaa3tvWmtaazlnWms5Z1prOWdaazlnWmtaa3tvWmtaa1prWms5ZzlnOWdaazlnWms5Z1prOWdaazlnWmtaa1prOWd7b1prWms5Z1prOWdaazlnWms5Z1prOWdaazlnWms5Z1prAABaa1prWmt7b1pre29aa3tvWmtaa1pre29aa3tvWmt7b1pre29aa1prWmtaa1prWmtaa1prWmt7b1prWmtaa1prWmtaa1prWmtaa1prWmtaa1prWmtaa1prWmtaa1prWmtaa1prWmtaa1prWmtaa1prOWdaa1prWmtaa1prWmtaa1prWmtaa3tvWmtaa1pre29aa3tvWmt7b1pre29aa3tvWmtaa1pre29aa1prWmtaa1prWmtaa1prWmtaa1prWms5Z1prOWdaazlnWmtaa1prWmt7b3tve29aa1prWmtaa1prWmtaa1prWmtaa1prWmtaa1prWmtaa1prWmtaa1prOWdaa1prWmtaa1prWmtaa1prWmtaa1prOWdaa1prWms5Z1prWmtaa1prWmtaa1prOWdaa1prWmtaa1prWmtaa1prWmtaa1prOWdaazlnOWc5Z1prOWdaa1prWms5Z1prOWdaazlnWms5Z1prOWdaazlnWms5Z1prOWdaazlnWms5ZzlnOWdaazlnWmtaa1prWmtaa1prWms5Z1prOWdaazlnWmtaa1prWmtaa1prWms5ZzlnOWc5ZzlnWms5Z1prOWdaazlnWms5ZzlnOWdaa1prWms5Z1prOWc5ZzlnOWc5ZzlnOWc5ZzlnOWc5ZzlnOWcAAHtvWmt7b3tve29aa3tvWmt7b1pre297b3tvWmt7b1pre29aa3tvWmtaa1pre29aa3tvWmt7b1pre29aa3tvWmtaa1pre29aa1prWmt7b1prWmtaa3tvWmtaa1pre29aa3tvWmt7b1pre29aa1prWmtaa1prWmtaa1prWmtaa1pre29aa3tvWmt7b1pre29aa3tvWmt7b1pre29aa3tvWmtaa1pre29aa3tvWmt7b1prWmtaa3tvWmtaa1pre29aa1prWmtaa1prWmtaa1prWmtaa3tvnHN7b3tvWmtaa1prWmtaa3tvWmtaa1prWmtaa1prWmtaa1prWmtaa1prWmtaa1pre29aa3tvWmtaa1prWmtaa1prWmtaa1prWmtaa1prWmtaa1prWmtaa1prWmtaazlnWmtaa1prWmt7b1prWmtaa1prWmtaazlnWms5Z1prWmtaa1pre29aa1prOWdaazlnWmtaa1prWmtaa1prWms5Z1prWmtaa1prWmtaa1prOWdaa1prWmtaa1prWmt7b1prWmtaa1prOWdaa1prWmtaa1prWmtaazlnWmtaa1prOWdaazlnWmtaa1prOWdaazlnWmtaa1prOWdaa1prWmtaa1prOWdaazlnWms5Z1prOWdaazlnWms5Z1prOWdaawAAWmt7b1pre29aa3tvWmtaa1pre29aa3tvWmt7b1prWmtaa3tvWmtaa1prWmtaa1prWmt7b1prWmtaa1prWmtaa1prWmtaa1prWmtaa1prWmtaa1prWmtaa1prWmtaa1prWmtaa1prWmtaa1prOWdaazlnWms5Z1prWmtaa1prWmtaa3tvWmtaa1pre29aa1prWmt7b1prWmtaa3tvWmt7b1prWmtaa1prWmt7b1prWmtaa1prWmtaa1prWmtaa1prWmtaa1prWmtaa1prWmtaazlnWmtaa3tvWmtaazlnWmtaa1prWmtaa1prWms5Z1prWmtaazlnWmtaa1prOWdaa1prWmtaa1prWmtaa1prWmtaa1prWmtaa1prWms5Z1prWmtaa1prWmtaa1prOWdaazlnWms5Z1prOWdaazlnWmtaa1prOWdaazlnWms5Z1prOWdaazlnWmtaa1prOWc5ZzlnWms5Z1prWmtaazlnWms5Z1prOWdaazlnWms5Z1prOWdaazlnWmtaa1prOWdaa1prWms5Z1prOWdaazlnWms5Z1prWmtaazlnOWc5Z1prOWdaazlnOWc5Z1prOWdaazlnWms5Z1prOWc5ZzlnWmtaa1prOWc5ZzlnWms5ZzlnOWc5ZzlnOWc5ZzlnOWc5ZzlnAAB7b1pre29aa3tvWmt7b1pre297b3tvWmt7b1pre29aa3tvW2t7b1prW2taa3tvWmt7b1pre29aa3tvWmtaa1pre29aa1prWmt7b1prWmtaa1prWmtaa1pre29aa3tvWmtaa1prWmtaa1trWmtaazlnWmtaa1prWmtba1prW2tba3xvW2t7b1pre29aa3pvWmtaa1prW2taa3tvW2t7b1pre29aa3tvWmt7b1pre29aa3tvWmtaa1pre29aa1prWmt7b1pre29aa3tvWmtaa1prWWtZa3pvWmtaazlnWmtaa3tvWmtaa1prWmtaa1prWmtaa1prWmtaa1prWmtaa1prWmtaa3tvWmt7b1prWmtaa3tvWmtaa1prWmtaa1prWmtaa1prWmtaa3tvWmtaa1prWmtaa1prOWdaazlnWms5Z1prWmtaa1prWmtaa1prOWdaa1prWmtaa3tvWmtaazlnWms5Z1prWmtaa1prWmtaa1prWmtaa1prWmtaa1prOWdaa1prWmtaa1prWmtaa1prWmtaa1prWmtaa1prWmtaa1prWmtaazlnOWc5ZzlnOWdaazlnOWc5Z1prWmtaazlnWmtaa1prWmtaazlnWms5Z1prOWc5ZzlnWms5Z1prOWdaazlnWms5Z1prOWdaazlnWmsAAFlrWmtaa3pvWmt6b1pre29aa3tvWmt6b1prWmtaa1prW2tbb1tre29aa1trWmtba1pre29aa1prem97bzlnWms5Z1prWmtaa1pre29aazlnWWtaa1prWmtZa1prWWtaa1prWmtaa1trOmdaazlnWms5Z3pve29aaztrO2ddb9leNErZXp1zW2taa1lnem96b1pre29ba3tvW2tbb1pre29aa3tvWmtaa1prWmtaa3tvWmtaa1prWmtaa1prWmtaa1lrWms5Z1prOWdaa1lrem9ZZ1lrWWtaa1lrWmtaa1prWmtaa1prWmtaa1prWmtaazlnWmtaa1prOWdaa1prWmtaa1prWmtaa1prWmtaa1prWmtaa1prWmtaa1prWmtaa1prWmtaa1prWmtaa1prWmtaa1prWmtaa1prWmtaa1prOWdaazlnWms5Z1prOWdaazlnWms5Z1prWmtaa1prWms5Z1prWmtaa1prWmtaa1prOWdaazlnWms5Z1prOWdaazlnOWc5Z1prOWdaazlnWms5Z1prWmtaa1prWms5Z1prOWdaazlnWms5Z1prOWdaazlnWms5Z1prOWdaazlnOWc5ZzlnOWdaazlnWms5Z1prOWc5ZzlnOWc5ZzlnOWdaazlnOWc5Z1prOWc5ZzlnWms5ZwAAWmtaa3pvWmt7b1pre297b3tvem97b1prem9aa3pvWmt7b1tre29ba1tvW2t7b1prOWdaa3tvWmt7b1prWmt6b3tvWmt7b1prWmtaa3tvWmt6b1prem9aa1prWWtaa1lremtaa1trWmtbazpnW2s5Z1prOWdaazlnfG8bZ9pebzEtJbE1XGt8b5xzem96b1lre29ba3xvW2t7b1tre29aa3tvWmt7b1pre29aa3tvWmtaa1pre29aa3tvWmt7b1prWmtZa1prWWtaa1lrem9aa1prWWtaa1lrWmtaa3pvWmtaa1pre29aa3tvWmtaa1prWmtaa1prWmtaa1prWmtaa1prWmt7b1prWmtaa3tvWmtaa1pre29aa1prWmtaa1prWmtaa1prWmtaa1prWmtaa1prWmtaa1prWmtaa1prWmtaazlnWms5Z1prOWdaa1prWmtaa1prWmtaa1prWms5Z1prWmtaa1prWmtaa3tvWmtaazlnWmtaa1prWmtaa1prWms5Z1prWmtaa1prWms5Z1prOWdaa1prWmtaa1prOWdaazlnWms5Z1prOWdaa1prWms5Z1prWmtaazlnWms5ZzlnOWdaa1prWmtaa1prWms5ZzlnWms5ZzlnOWdaa1prWms5Z1prOWdaazlnWms5Z1prAABaa1prWmt6b1pre29aa3tvWmt7b1prem9aa3pvWmtaa1prW29aa1trWmtba1prW2s6Z3tvW2tba1trW2s5Z3tvWmtaa1pre29aa1prWmt7b1prem9aa1prWWtaazlnWWtZa1prWmtaazpnW2s6Z1prWWtZazlnOWdcbztrdlKpFOsgLSkaY1xrWmt7b1lrem9aa3tvW2tba1trW29aa1prWmt7b1pre29aa3tvWmtaa1prWmtaa1prWmtaa1prWmtZa1prOWdaa1lrWmtZa1prWWtaa1lnWmtZa1prWWtaa1prWmtaa1prWmtaazlnWmtaa1prOWdaa1prWms5Z1prWmtaa1prWmtaa1prWmtaa1prWmtaa1prWmtaazlnWmtaa1prWmtaa1prWmtaa1prWmtaazlnWms5Z1prOWdaazlnWms5Z1prOWdaazlnWmtaa1prOWdaa1prWms5Z1prOWdaazlnWmtaa1prWmtaazlnWms5Z1prOWdaazlnWmtaa1prOWdaa1prWms5Z1prOWdaazlnWmtaa1prOWdaazlnWms5Z1prWmtaazlnWms5Z1prOWdaazlnWms5ZzlnOWdaazlnWms5Z1prOWdaazlnWms5ZzlnOWc5ZzlnWms5Z1prOWc5ZzlnWms5ZzlnOWcAAHtvWmt7b1pre296b3tvem97b3pve29aa3tvWmt6b1pre29ba3tvW2t7b1trW29ba5xzW2sZY/heW2tbb1trWmtbazpnW2t7b5xzWmt7b3tve29aa3pvWmtaa1lrWmtZa3prWWtaa1prW2taa1prOWdaa1lre285Z1trO2e4WsoYbzEtKVxrW2s5Z3pvem+bc3tvW2t7b1tre29ba3tvWmt7b1pre29aa3tvWmtaa1prWmtaa3tvWmt7b1prWmtaa1prWWtaa1lrWmtZa1prWWtaa1lrWmtZa1prWmtaa1pre29aa3tvWmt7b1prWms5Z1prWmtaa1prWmtaa1prWmtaa1prWmtaa1prWmtaa1prWmtaa1prWmtaa1prWmtaa1prWmtaa1prWmtaa1prWmtaa1prWms5Z1prWmtaazlnWmtaa1prOWdaa1prWmtaa1prWmtaa1pre29aa1prOWdaa1prWmtaa1prWmtaa1prWmtaa1prWmtaa1prWms5Z3tvWmtaa1pre29aa1prOWdaa1prWmtaa1prWmtaazlnWms5Z1prWmt7b1prWms5Z1prOWdaazlnWms5Z1prOWdaazlnWms5Z1prOWdaazlnWms5Z1prOWdaazlnWms5Z1prOWdaazlnWms5Z1prOWdaawAAWmt6b1pre29aa3tvWmt7b1prem9aa3pvWmtaa1prem9aa1trWmtba1prW2tba1tvfG/4XhFCEUa3WltrXGtcb1trW2s6a3tvW297b1prWmtaa3tvWmtaa1lrWmtZa1lrWWtZa1lrWms6Z1prOmdaazhnOGdaazlnGWM7Z9ha6hwtJQwlPGudc1pre29ZZ3pvWmtba1trW2taa1trWmtaa1prWmtaa3tvWmtaa1prWmtaa1prWmtaa1prWmtaa1prOWdZazlnWms5Z1prWWtaazlnWmtZa1prWWtaa1lrWmtaa1prWmt7b1prWms5Z1prOWdaa1prWms5Z1prWmtaa1prWmtaa1prWmtaa1prWmtaa1prWmtaa1prWmtaa1prWmtaa1prWmtaa1prWmtaazlnWms5Z1prOWdaazlnWms5Z1prOWdaazlnWmtaa1prOWdaazlnWmtaa1prWmtaazlnWmtaa1prOWdaazlnWms5Z1prOWdaazlnWms5Z1prOWdaazlnWmtaa1prOWdaazlnWms5Z1prOWdaazlnWms5ZzlnOWdaa1prWms5Z1prOWc5ZzlnWms5ZzlnOWc5ZzlnWms5Z1prOWdaazlnWms5Z1prOWdaazlnOWc5Z1prOWc5ZzlnWms5ZzlnOWdaazlnAAB7b1pre296b3tvem97b3pve29aa3tvWmt7b1pre29aa3tvWmt7b1pre29ba3tvW2tba5VSrzmOMXROGmNcb3xvfW98b3xvWmtba1trfG9aa3tvWmt7b1prem9Za3pvWWtZa1lrWmtaa1trWmtba1prem84Z1prOWdba1tr2F6HFAwlTSlca31ze296b1prWmt6b1pre29ba1tvW2t7b1pre29aa3tvWmt7b1prWmtaa1prWmt7b1pre29aa3tvWmtaa1lnWmtaa1prWWtaa1lrWmtZa1prWmtaa1prem9aa3tvWmt7b1pre29aa1prWmtaa1prWmtaa1prWmtaa1prWmtaa1prWmtaa1prWmtaa1prWmtaa1prWmtaa3tvWmtaa1prWmtaa1prWmtaa1prWms5Z1prWmtaa1prWmtaa1prWmtaa1prWmtaa1prWmtaa1prWmtaa1prWmtaazlnWmtaa1prWmtaa1prWms5Z1prOWdaa1prWmtaa1prWmtaazlnWmtaa1prWmtaa1prWms5Z1prWmtaazlnWmtaa1prOWdaa1prWmtaa1prWmtaazlnWms5Z1prOWdaazlnWms5Z1prWmtaazlnWms5Z1prWmtaazlnOWc5Z1prOWdaazlnWms5Z1prOWdaazlnWmsAAFpre29aa3tvWmt7b1pre29aa3pvWmt6b1prem9aa3pvWmtaa1prWmtaa1tvW2tbbzpn+F4zShJCVEqWUpZSuFr4XltrfG9bazpnW29bb1trWmtaa1prWmtZa3pvWWt6a1hrWWtZZ1prOmtbazpnWmt7bzhnWWt6b1prW2u3WocULCXSOTtnXGtaa1lrWWt6b1prW2taa1trWmtba1prWmtaa3tvWmtaa1prWmtaa1prWmtaa1prWmtaa1prWmtaazlnWWs5Z1prWmtaazlnWmtaa1prOWdaa1lrWmtZa1prWmtaa1prWmtaa1prWmtaa1prWms5Z1prWmtaazlnWmtaa1prOWdaa1prWms5Z1prWmtaazlnWmtaa1prWmtaa1prWmtaa1prWmtaa1prWms5Z1prOWdaa1prWmtaa1prOWdaazlnWms5Z1prWmtaa1prWms5Z1prWmtaazlnWms5Z1prOWdaazlnWms5ZzlnOWdaazlnWms5Z1prOWdaazlnWms5Z1prWmt7b1prWms5Z1prOWdaazlnWms5Z1prOWdaazlnWmtaa1prWmtaazlnWms5ZzlnOWc5ZzlnOWc5ZzlnOWdaazlnWms5Z1prOWdaazlnWms5ZzlnOWdaazlnWms5ZzlnOWdaazlnOWc5ZwAAe297b3tvem97b3pve296b3tvWmt6b1pre29aa3tvWmt6b1pre29aa3tvW2t7b1trW2tbaztnt1p1UvJBsDmwOVRK+WKdc1xvW2t8b3xvOmtba1prW2taa3tvWmt7b3prWWtZa1prWmtba1prW2taa3pvF2N6b3pvWmsZY9heyBjrIPI9PGtca5xzWWt6b1lnem9aa1trW2tbb1trW2taa3tvWmtaa1prWmtaa1prWmtaa1pre29aa3tvWmtaa1prWWtZZ1prWWtaa1prWms6Z1trWmtaa1prWmtaa3prWWtaa1prWmtaa3tvWmtaa1prWmtaa1prWmtaa1prWmtaa1prWmtaa1prWmtaa1prWmtaa1prWmtaa1prWmtaa1prWmtaa1prWmtaa1prWmtaa1prWmtaa1pre29aa3tvWmtaa1prWms5Z1prWmtaa1prWmtaa1prWmt7b1prWms5Z1prWmtaa1prWmtaa1prOWdaa1prWmtaa1prWmtaazlnWmtaa1prWmt7b3tve29aa1prWmtaazlnWms5Z1prOWdaa1prWms5Z1prWmtaa1prWms5Z1prOWdaazlnOWc5ZzlnOWdaazlnWmtaa1prWmtaa1prWms5Z1prOWdaazlnWms5Z1prOWdaazlnWms5ZzlnAABaa3pvWmt7b1prem9aa3tvWmt6b1pre29aa1prWmtaa1lnWmtaa3pvWmtba1trfG86a1trO2c7Z9haVE6PNSslbS3QOVROGWM7a1trOmtbazprW2tbb3tvWmtaa1prWmtZa3lrWWtaa1prW2s6ZzprOWdaazhnem8YYzln11rJHAwlsTlca3xvWmt6b3premtaa3tvW2tbb1tre29ba1prWmtaa1pre29aa1prWmtaa1prWmtaa1prOWdaa1prem85Z1lnOWdaazpnW2taa1trOWdbazpnWmtaa1prWWebc1lrWmtaa1prWmtaa1prWms5Z1prWmtaazlnWmtaa1prOWdaa1prWmtaa1prOWdaazlnWmtaa1prWmtaa1prWms5Z1prOWdaazlnWms5Z1prOWc5ZzlnWmtaa1prOWdaazlnWms5Z1prWmtaa1prWmtaa1prWmtaazlnWmtaa1prOWc5ZzlnWms5Z1prOWdaazlnWmtaa3tvWmtaazlnOWc5Z1prWmtaa1prWmtaa1prOWdaazlnWms5Z1prOWdaazlnWms5Z1prOWdaazlnWmsYYzlnOWc5ZzlnOWc5Z1prOWc5ZzlnWms5Z1prOWdaazlnWms5Z1prOWc5ZzlnOWc5Z1prOWc5ZzlnOWc5Z1prGGMAAHtvWmt7b3pve29aa3tvem97b1pre296b3tvWmt6b1prWmtaa3tvWmt7b1pre29bb3xvXGt8b1xrO2vYXnVSEkIrJUwtrjXPOXROGWN8bzpnOmd7b3xvOmdba513nXM5Z3pvemtaa1prfG87ZzpnfG9aa1prWWt6bzlnOmf4XukcLCWQNX1vfG97b1prem9aa3tvWmt7b1tre29bb3tvWmtaa1pre29aa3tvWmt7b1pre29aa3tvWmtaa1pre29aa1prWWtaa1prWmtaa1trW2tba1trW2taa3tvWmtaa1lrWmtaa1prWmtaa1pre29aa1prWmtaa1prWmtaa1prWmtaa1prWmtaa1prWmtaa1prWmtaa1prWmt7b1prWmtaa1prWmtaa1prWms5Z1prWmtaazlnWmtaa1prWmtaa1prWmtaa1prWmtaa1prWmtaa1prWmtaa1prWmtaa3tvWmtaa1prWmtaa1prWmtaa1prWms5Z1prWmt7b1prWms5Z1prWmtaa1prWmtaa1prWmtaa1prWmtaa1prWmtaa1prWmtaa1prWmtaa1prWmtaa1prOWdaa1prWms5Z1prOWdaazlnWmtaa1prOWdaazlnWms5Z1prOWdaazlnWms5Z1prOWdaazlnWms5Z1prOWc5ZwAAWmt6b1prem9aa3pvWmt6b1prem9aa3pvWmt6b1prWmtZa3prWmt6a1prWmtaa3tvW2tbazprW2tba1tr+WL4XlNKrjUqJUwtjTHQPVROGmN9bzpnGWN8b3xvOmc6Z3xvOGd6bzlnW2t8b/lelVIaYzprfG85Z3tvOWdaa/heCiHrIJA1XGt8b1prem9Za3prWmtbazprW2tba1tvWmtaa1prWmtaa1prWmt7b1prWmtaa3tvWmtaa1prWmtaa1prWWtaa1lrWms6Z1prOmdba1trW2s6ZzprWmt6b1lrWWs5Z1prOWdaa1prWmtaa1prOWdaa1prWmtaa1prOWdaazlnWmtaa1prWmtaazlnWms5Z1prOWdaa1prWmtaa1prWmtaazlnWms5Z1prOWdaazlnWms5Z1prOWdaazlnWmtaa1prWmtaa1prWms5Z1prOWdaazlnWmtaa1prWmtaa1prWmtaa1prWmtaa1prWms5Z1prOWdaa1prWms5Z1prWmtaa1prWmtaa1prWmtaa1prWms5Z1prWmtaazlnWms5Z1prOWdaazlnWms5Z1prWmtaa1prWms5ZzlnOWc5ZzlnWms5Z1prOWdaazlnOWc5Z1prOWc5ZzlnOWc5ZzlnOWdaazlnOWc5Z1prOWdaazlnAAB7b1pre29aa3tvWmt7b1pre29aa3tvWmt7b1prem9aa3pvWmt6b1prem9aa3tvW2t7b1prOms6Z1trWmtaazpnGWMZY7ZWjTUrKW0x0DmvNXROGmN9bzpnO2d9b51zOmd7b5xze29baztrEkJMKdA5W2t8b3tve29ba1pr+F4rJesgbzFca3xve29Za3prWmt7b1prW2tba3tvW2t7b1prWmtaa1prWmt7b3tve29aa3tvWmt7b1prWmtaa1prWWtaa1lremtaa1trOmdca1trfG9ba1trWmtaa1pre29Za1prWmtaa1prWmtaa1prWmtaa1prWmtaa3tvWmtaazlnWmtaa1prWmtaa1prWmtaa1prWmtaa1prWmtaa1prWmtaa1prWmtaa1prWmtaazlnWmtaa1prWmtaa1prWms5Z1prWmtaa1prWmtaa1prOWdaa1prWmtaa3tvWmtaa1pre29aa3tvWmt7b1prWmtaa1prWmtaa1prWmtaa1prWmtaa1prWmtaa3tvWmtaa1pre29aa1prWmtaa1prWmtaa1prWmtaa1prWmtaa1prWmtaa1prWmtaa1prOWdaazlne29aa1prWmtaazlnWms5Z1prOWdaazlnWms5Z1prOWdaazlnWms5Z1prOWdaazlnWmsAAFprem9aa3pvWmt6b1prem9aa1prWmt7b1prem9aa3pvWWt6a1prem9Za1prWmt7b1prWms5Z1prWmtaa1prWms6Zxhj+GI5Z5VSrjUrKY0xbS2ONTNGO2d9bztnO2e+dzlne286Zztn+V6wNckYbS35XpxzWmt7b1prWmv4Xm0xyhxOLRpjfG9aa1prWWt6b1prWms6Z1tvW2tba1pre285Z1prWmt7b1pre29aa3tvWmt7b1prWmtaa1prWmtaazhnWWtZa1prOmdbaztrXGv4XvliW2ucc1prWWtaa1lrWmtaa1prWms5Z1prOWdaazlnWmtaa1prWmtaazlnWmtaa1prWmtaa1prWmtaa1prOWdaazlnWms5Z1prWmtaa1prWmtaa1prOWdaazlnWmtaa1prOWdaazlnWms5Z1prWmtaa1prWms5Z1prOWdaazlnWmtaa1prWmtaa1prWmtaa1prWmtaa1prWms5Z1prOWdaazlnWms5Z1prWmtaazlnWmtaa1prWmtaa1prWmtaa1prWmtaa1prWmtaa1prOWdaazlnWms5Z1prOWdaazlnWms5Z1prOWc5ZzlnWmtaa3tvWmtaa1prWms5Z1prOWdaazlnWms5ZzlnOWc5ZzlnOWc5ZzlnOWc5ZzlnWms5ZwAAem9aa3tvWmt6b1pre29aa3pvWmt7b3pve29aa3tvWmt6b1pre296a1prWmt6b1pre29aa3pvWmt6b1prem9aaxhjWmt8bxlnGWP4XpVS0DlLKW0tjjWPNTNG2Vo8Z/leWmtba1trO2v6YtE5LCVuMddafG98b1tvW2s6ZxpjsDnrHC0pGmNba3tvWmt6b1pre29aa1trfG98c1trW2t7b1prWmt7b1pre29aa3tvWmt7b1pre29aa3tvWmtaa1lrWWs5Z1prWmtbb1trW2s7Z9A50D3XWnxze29Za3pvWWt6b1pre29aa1prWmtaa1prWmtaa1prWmtaa1prWmtaa3tvWmtaa1prWmtaa3tvWmtaa1prWmtaa1prOWdaa1prWmtaa1prWmtaa1prWmtaa1prWmtaa1prWms5Z1prWmtaa1prWmtaa1prWmtaa1prWmtaa1prWmtaa1prWmtaa1prWmtaa1prWms5Z1prOWdaazlnWmtaa1prWmt7b1prWmtaa1prWmtaa1prWmtaa3tvWmt7b1prWmtaa1prWmtaa1prWmtaa1prWmtaa1prOWc5Z1prOWdaazlnWmtaa3tvWmt7b1prWmtaa1prOWdaazlnWms5Z1prOWdaazlnWms5Z1prOWdaazlnWmtaa1prAABaa3pvWmtaa1prem9aa1prWmtaa1prem9aa3tvWmt6b1prem9aa3pvWWtaa1lremtZa1prWWtaa1lrem9Za1lre286ZxhjW2tbazpn+F4ZY3VS8T1tLW4xbjGPMdE9dU4ZYzpnO2dca9le0j0LIQslVU5ca1tre29ba1trOmcTRsocLSXYWjpnWmt6b1lrWmt6b1prWmt8c3xve29aa3tvWmtaa1prWmtaa3tvWmtaa1prWmtaa1prWmtaa1prWmtZa1lrOGdaa1trXGsaY/li6iAKIRJGW2t7b1lrWmtaa1lrWmtaa1prWmtaa1prWmtaa1prOWdaazlnWmtaa1prWmtaa1prWmtaa1prWmtaa1prWms5Z1prOWdaazlnWmtaa1prWmtaa1prWms5Z1prOWdaazlnWms5Z1prOWdaazlnWms5Z1prWmtaazlnWmtaa1prWmtaa1prWms5Z1prWmtaa1prWms5Z1prOWc5ZzlnWms5Z1prWmtaa1prWmtaa1prWmtaa1prWmtaa1prWmtaa1prWms5Z1prOWdaazlnWms5Z1prOWdaazlnWms5Z1prOWdaazlnWms5Z1prWmtaa1prWmtaa1prOWc5ZzlnWms5ZzlnOWc5ZzlnOWc5ZzlnOWc5ZzlnWms5Z1prOWcAAHtvWmt6b1pre29aa3pvWmt6b1prem9aa3tvem97b1pre29aa3tvWmt6b1lremtZa3tvem96b1prem9aa3pvWWtZa1pre29aazprOmc6ZxljGWP4XrdWEkKOMSslbS2ONa418D2WUvpi+l4URpAxTS1USjtrXG9ba3xvW2tbb1RO6yAMJdhaGmN7b3pvem9Za3tvWmt7b5xznXd7b1trW2t7b1pre29aa3tvWmt7b1prWmtaa3tvWmt7b1prW2taa3pvWWtZa1prfG9baxpn2FpNLQohEkZba3xvOWd6a1lrWmtaa1prWmt7b1pre29aa3tvWmtaazlnWmtaa1trWmt7b1prWmtaa1prWmt7b1pre29aa1prOWdaazlnWms5Z3tvWmtaa1prWmtaa1prWmtaa1prWms5Z1prWmtaa1prWmtaa1prWmtaa1prWmtaa3tvWmtaa1prWmtaa1prWmt7b1prWmtaa1prWmtaazlnWms5Z1prWmtaa1prWmtaa1prWmtaa1pre29aa1prWmtaa1prWmtaa1prOWdaazlnWmtaa1prWmtaa1prWmtaa3tvWmt7b1prWms5Z1prOWdaa1prWms5Z1prOWdaazlnWms5Z1prOWdaazlnWms5Z1prOWc5ZzlnWms5Z1prWmtaawAAWmt6b1prem9aa3pvWmt6b1lrWmtaa1prWmtaa1prem9aa3pvWmtaa1prWmtaa3pvWmt6b1premtZa1prWWt6a1pre29aa1prWmtaa1prWms5ZzpnGGP4XpRSEUKMMSslCyVNKU4pkDXTPdI9Ti0tJbA1O2caY3xvfG9Za3prlFLqIC0pE0J9c1tre29Za5tvWWt6a1prem9aa3trW2t7b1prWmtaa1prWmtaa1prWmtaa1prW2t7b1prW2s6a1prWWtZazlnWms6a1trGmf6Xm8x6yBuLV1vOmtZa3lrWWs5Z1prWmt7b1tre297b3tvWmtba1prW2s6Z1prOmdaa1prWmtaa1prWmtaa1prWms5Z1prWmtaazlnWmtaa1prOWdaa1prWms5Z1prWmtaazlnWmtaa1prWmtaazlnWmtaa1prOWdaazlnWmtaa1prWmtaa1prWms5Z1prOWdaazlnWms5Z1prOWdaazlnWms5Z1prWmtaazlnWmtaa1prWmtaa1prWms5Z1prOWdaa1prWmtaa1prOWdaazlnWms5Z1prOWdaazlnOWc5Z1prOWdaazlnWms5Z1prOWdaazlnWms5Z1prOWdaazlnWms5Z1prOWdaazlnWms5Z1prGGM5ZzlnOWcYYzlnOWdaa1prAAB7b1pre29aa3tvWmt7b1prWmtaa3pvWmt6b1pre29aa3tvWmt7b1prem9aa3tvem97b1pre29aa1prWmt6b1pre29aa3tvWmtaa1prWmtaa1prWmt7b1prWmv3XtZalVIzRhNCsTktKQwhyhzrHOwgTil2TthaXGudczhjWmu2VskcLSkzRlxrOmd7b1prOGd6b1lrem9aa3tvWmt7b1trW2taa3tvWmt7b1pre29aa1trW2t7b1tre29aa1trWmtaa1lrWms5Z1trW2s7Z/lekDHKHE4tPGdcazlneWtYa1prWmt7b1tre29ba3tvWmt7b1prW29ba1trWmtbazprW2taa1prWmtaa1prWmtaa1prWmtaa1prWmtaa1prWmtaa1prWmtaa1prWmtaa1prWmtaa1prWmtaa1prWmtaa1prWmtaa1prWmtaa1prWmtaa1prWmtaa1prWmtaa1prWmtaa1prWmtaa1prWmtaa1prWmtaa1prWmtaa1prWmtaa1prWmtaa1prWmtaa1pre29aa1prWmtaazlnWmtaa1prWmtaazlnWms5Z1prOWdaa1prWmtaa1prOWdaazlnWmtaa1prWmtaa1prWmtaa1prOWdaazlnWms5Z1prOWc5ZzlnWms5ZzlnOWdaa1prWmsAAFprem9aa3pvWmt6b1prem9aa1prWmtaa1prem9aa3pvWmt6b1prWmtaa3pvWmt6b1prem9aa1prWmtaa1prWmtaa1prWmtaa1prWmtaa1prOWc5ZzlnOWc5ZzlnGGMYY/he+V6WUvI9bi0MJcoYyRjrHNE5NEYbZ11rGmM6Zxlj6yBOKdE5XWsZY51zOmdaa1lremtZa3prWmt7a1trW2taa3tvWmt7b1pre29aa1prWmtba1prW2taa1trWmtaa1prWms5Z1prWmtbaxpn+l6QNesgDCX6XltrOWc4Z1lrWWtba1prWmtaa1prWmtaa1prWmtaa1prWmtbazpnWmtaa1prWmtaa1prWmtaa1prWmtaazlnWmtaa1prOWdaazlnWms5Z1prOWdaazlnWms5Z1prOWdaa1prWms5Z1prOWdaa1prWmtaa1prWmtaa1prWms5Z1prWmtaazlnWms5Z1prOWdaazlnWms5Z1prWmtaazlnWmtaa1prOWdaa1prWms5Z1prWmtaazlnWmtaa1prOWdaazlnWms5Z1prOWdaazlnWms5Z1prOWdaazlnWms5Z1prOWdaazlnWms5Z1prOWdaazlnWms5Z1prOWdaazlnOWc5ZzlnOWc5ZzlnOWc5ZzlnOWc5ZzlnWms5ZwAAe296b3tvWmt7b3pve29aa3tvWmt6b1pre29aa3tvWmt7b1pre29aa3tvWmt7b1pre29aa3pvWmt6b1prem9aa3tvWmtaa1pre29aa3tvWmt7b1prWms5Z1prOWc5ZxhjWms5Zzpn+F7YWlVKkDWpFFZKsTUtKZE1mFIbYzxnuFaQNS0pkDVdb1xrfG86Z3tvem9aa3prWmt7b1pre2tba3tvWmt7b1pre29aa3tvWmt7b1pre29aa3tvWmtba1prWmtaa1prOWdba1trO2f6YvI9DCUMJZdWfW86Z1lrWWt6b1prWmtaa3tvWmtaa1pre29aa1prWmtba1prWmtaa1prWmtaa1prWmtaa1prWmtaa1prWmtaa1prWmtaa1prWmtaa1prOWdaa1prWms5Z1prWmtaa1prWmtaa1prWmtaa1pre29aa3tvWmtaa1prWmtaa1prWmtaa1prWmtaa1prWmtaa1prWmtaa1prWmtaa1prWmtaa1prWmtaa1prWmtaa1prWmtaa1prWmtaa1prWmtaazlnWms5Z1prOWdaa1prWms5Z1prOWdaazlnWmtaa1prOWdaazlnWms5Z1prWmtaa1prWmtaa1prWmtaazlnOWc5ZzlnOWc5ZzlnWms5Z1prOWdaazlnWms5Z1prAABaa3pvWmt7b1prem9aa3tvWmt6b1prem9aa3pvWmt6b1prem9aa3pvWmt6b1prem9aa3pvWmtaa1lrWmtaa1prWmtaa1prWmtaa1prWmtaa1prWmtaa1prWmtaa1prWmtYZzdnOGM5Zxlj+V4TQusgby3TPVdK1D0NJXAt0z02SpExDSFOKTxnPGd9bxljW2taa1prWmtaa1prWmtaa1trWmt7b1pre29aa3tvWmt7b1prWmtaa1prWmtaa1prWms5Z1prWWtaazpnW2s6ZxtjE0JOKeocNEZca1prWWd6b1lrWmtaa1prWmtaazlnWmtaa1prWmtaa1prWmtaa1prWmtaa1prWmtaa1prWmtaazlnWmtaa1prOWdaa1prWms5Z1prOWdaazlnWms5Z1prOWdaa1prWmtaa1prOWdaazlnWmtaa3tvWmt7b1prWmtaa1prWmtaazlnWms5Z1prOWdaazlnWms5Z1prOWdaazlnWmtaa1prOWdaa1prWms5Z1prWmtaazlnWmtaa1prOWdaazlnWms5Z1prOWdaazlnWms5Z1prOWc5ZzlnWms5Z1prOWdaazlnOWc5Z1prOWdaazlnWms5Z1prOWdaazlnOWc5ZzlnOWc5ZzlnOWc5ZzlnOWc5ZzlnOWc5ZzlnOWcAAHtvem97b3pve296b3tvem97b1pre296b3tvWmt7b1prem9aa3tvem97b1pre29aa3tvWmt7b1prWmtaa3pvWmt7b1pre29aa1prWmt7b1prOWc5Z1prWmtaazlnWmtZZ1hrN2d5b1lrGWP4XlVKDCENJZI1ulb1QQ8lUC1QLQ4lDiXLHE8td1L6Yn1vnXNba1trWmtba1prW2taa1trWmt7b1pre29aa3tvWmt7b1pre29aa3pvWmtaa1prem9aa1prWmtaa1lrWmtaa1trGmNVTo8x6hyPNTtrOmtaa1lremtaa3pvWmtaa1prWmtaa1prWmtaa1prWmtZa3prWmtaa1prWmtaa1prWmtaa1prWmtaa1prWmtaa1prWmtaa1prWmtaa1prWmtaa1prWmtaa1prWmtaa1prWmtaa1prWmtaa1prWmt7b1pre29aa1prWmtaa1prWmtaa1prWmtaa1prWmtaa1prWmtaa1prWmtaa1prWmtaa1prWmtaa1prWmtaa1prWmtaa1prWmtaazlnWms5Z1prOWdaa1prWmtaa1prOWdaazlnWms5Z1prOWdaazlnWms5Z1prOWdaa1prWmtaa1prWmtaa1prWms5Z1prOWc5ZzlnOWc5Z1prOWc5ZzlnWms5Z1prOWdaawAAWmt7b1pre29aa3tvWmt7b1pre29aa3pvWmt6b1prWmtaa3pvWmt6b1prem9aa1prWmt6b1prWmtaa1prWmtaa1pre29aa1prWmtaa1prWmtaa3tvWmt7b1prWms5Z1prWGdYa5pvm28ZYxpjVUoMIQ0lszncXvVBihQOJS8pszkvKcwcDSWxNTVG2Fpca1trOmdbazpnWmtaZ1trOmdaa1prW2taa1trWmtaa1prWmtaa3pvWWtaa1lrWmtZa1prOWdaa1lrWWs5Z1trOmcbZ5dS0j3JGCwpGWNba1prWWtZa1prWmtaa1prWmtaa1prWmtaa1lrWmtZa1prWWtaa1lrWmtaa1prWmtaa1prWmtaa1prOWdaa1prWms5Z1prWmtaa1prWmtaa1prWmtaazlnWms5Z1prWmtaazlnWms5Z1prOWdaa1prWmtaa1prWmtaazlnWmtaa1prOWdaazlnWms5Z1prOWdaazlnWmtaa1prOWdaa1prWms5Z1prOWdaazlnWmtaa1prWmtaazlnWms5ZzlnOWdaazlnWms5Z1prOWdaazlnWms5Z1prOWdaazlnOWc5Z1prOWc5ZzlnWms5Z1prOWdaazlnWms5ZzlnOWc5ZzlnOWc5ZzlnOWdaazlnOWc5Z1prOWc5ZzlnAAB7b3pve296b3tvem97b3pve296b3tvWmt7b1pre29aa3pvWmt7b3pve296b3pvWmt7b1prem9aa3pvWmt6b1pre29aa3tvWmt7b1prWmtaa1prWmtaa1prWmtaa3tvem+abzhneWtZazpnO2eXUgshDSWRMR5nV04uJS8pDiUuKRZGDiUNJQwlkDGPMZdS+V5ca1trW2taa1trWmtba1prW2tba1trWmt7b1prW2taa3tvWmtaa1lrWmtZa3prWmtaa1prWmtZZ1prWmtbaxpn2VoTQuogCiEaY1tve29Za3prWmt6b1pre29aa1trWmtba1prWmtZa3prWWtZa1lrWmtaa1prWmtaa1prWmtaa1prWmtaa1prWmtaa1prWmt7b1prWmtaa3tvWmtaa1prWmtaa1prWmtaa1prWmtaa1prWmtaazlnWmtaa1prWmtaa1prWmtaa1prWmtaa1prWmtaa1prWmtaa1prWmtaa1prWmtaa1prWmtaa1prWmtaa1prWmtaa1prWmtaa1prWms5Z1prOWdaazlnWmtaa1prWmtaazlnWms5Z1prOWdaazlnWms5Z1prOWdaazlnWmtaa1prWmtaa1prWmtaa1prOWdaazlnWms5ZzlnOWdaazlnOWc5Z1prOWc5ZzlnWmsAAFprem9aa3pvWmt6b1pre296b3tvem97b1pre29aa3tvem96b1pre297b3tvWmtaa1lrWmtaa1prWWtaa1prWmt7b3tvWmtaa1prWmtaa1prWmtaa1prWmtaa1prWmtaazlnems5Z1pnGmM7Z7hWTSkMIU4pulr7XvM9sTmQMW8tyxzLHOwgsTUUQk0pjjFMLdA5llIZYzpnGWNba3trfG8ZY1pre298b1trWmtaa3tvWmtaa1prWms5Z1lrWWtaazlnWmtZa1prOWdaazpnO2sbZ/JByhwLJXVOW2s5Z3tvGGOccxhje29baxhjfG86azprOWdaa3pvOGdZa1lremtZa1prWmtaa1prWmtaa1prWmtaazlnWms5Z1prWmtaa1prWmtaa1prOWdaa1prWms5Z1prWmtaa1prWms5ZzlnOWdaazlnWms5Z1prWmtaa1prWmtaa1prOWdaazlnWms5Z1prOWdaazlnWms5Z1prWmtaazlnWms5Z1prWmtaazlnWmtaa1prOWdaa1pre285Z1prOWdaazlnWms5Z1prOWdaazlnWms5Z1prOWdaazlnWms5Z1prOWc5ZzlnOWc5ZzlnOWdaazlnOWc5Z1prOWdaazlnWms5ZzlnOWc5ZzlnOWc5Z1prOWc5ZzlnOWc5ZwAAe29aa3tvWmt7b1pre297b3tve297b3tve296b3tvem97b3pve296b5tze297b1prWmtaa3pvWmtaa1prem9aa3tve297b1prWmtaa1prWmtaa1pre29aa3tvWmtaa1prWmtba1trO2c7Zztn2VpOLQwlTSnaXjxrt1aWUpZSVErrHA0l6xzrHLhW+l5VSvE9jjFtLa41Mkb4XjlnOmcZY55zW2s6ZxljW2tba3xvW2tba1pre29aa1prOWc5ZzhnWmtZa1prWWtaazlnW2s7ZztnNEYLIeocM0Zba1tvWmt7b3tvGGNaa1prOmtba3xve29aa5xzem9Za1lreW9Za1prWmtaa1prWmtaa1prWmtaa1prWmtaa1prWmtaa1pre29aa1prWmtaa1prWmtaa1prOWdaazlnOWc5Z3tve29aazlnWmtaa1prWmtaa1prWmtaa1prWmtaa1prWmtaa1prWmtaa1prWmtaa1prWmtaa1prWmtaa1prWmtaa1prWmtaa1prWmtaa1pre29aa1prWmtaa1prWmtaa1prWmtaazlnWms5Z1prOWdaa1prWms5Z1prOWdaazlnWms5Z1prOWdaazlnWms5Z1prOWdaa1prWmtaa1prOWdaazlnWms5Z1prWmtaazlnWms5Z1prAABaa3pvWmt6b1pre29aa3tvem97b3pve296b3tvWmt7b3tve29aa3pve297b1prWmtaa1prWmtaa1prWmtaa1prWmt7b1prWmtaa1prWmtaa1prWmtaa1prWmtaa1prWms6Z1trOmc7axtjPGfZWo8x6yBNLbdWfW8ZYxlj+F7XWm4t6xzKGAwhuFZ+b9laGmOWUvE9TClsLY0xrjURQrZW2F4aYztnXG9ba1trOmc6Z3tve286ZzlnGWM5Z1prnHM5Z1prWWdZa1lrWms6ZztrGmOXUuocyRiPNVxrW2s6Z3tvW2s5Z1tvOmf4XvFBdE46Z3tvW2taa1lreWtZa1lrWWtaa1prWmtaa1prWmtaa1prWms5Z1prOWdaazlnWmtaa1prOWdaazlnWmtaa1prWmtaa1prWms5ZzlnOWd7bzlnWms5Z1prOWdaazlnWmtaa1prOWdaa1prWms5Z1prOWdaazlnWms5Z1prOWdaa1prWms5Z1prOWdaazlnWmtaa1prOWdaazlnWms5Z1prOWdaazlnWms5Z1prOWdaazlnWms5ZzlnOWdaazlnWms5Z1prOWdaazlnWms5ZzlnOWdaazlnWms5Z1prOWdaa1prWms5Z1prOWdaazlnWms5Z1prOWdaazlnWms5ZzlnOWcAAHtvWmt7b1pre296b3tvem97b3tve296b3tvem97b1pre296b3tvWmt7b3tve29aa3pvWmt6b1prem9aa3pvWmt7b1pre29aa3tvWmt7b1pre29aa3tvWmt7b1prWmtaa1trW2s7ZztnO2c7Z/pe0TnqIEwpdU58b1trWms5Z/dedlLqHOocbi0TQtlafW9+b1xr+V63VnVO8T1MKWwtrjWvNRJCt1YaYztrO2tcb3xvOmc6a3tve298b1prWms5Z1prWWtaa1lrWmtZa1prO2c7Z5dW6yDJHE0tGmN8bzpnW29aa3tvfG9ba/A9CSEKIfliW2tbazlnemtZa3pvWWt6a1prWmtaa1prWmtaa1prWmtaa1prWmtaa1prWmtaa1prWmtaazlnWmtaa1prWmtaa1prWms5Z1prWmtaa1prWmtaa1prWmtaa1prWmtaa1prWmtaa1prWmtaa1prWmtaa1prWmtaa1prWmtaa1prWmtaa1prWmtaa1prWmtaa3tvWmtaa1prWmtaa1prWmtaa1prWmtaa1prWmtaa1prWmtaa1prOWdaazlnWms5Z1prWmtaazlnWms5Z1prOWdaazlnWms5Z1prOWdaazlnWmtaa1prOWdaazlnWms5Z1prOWdaazlnWms5Z1prOWdaawAAWmt6b1prem9aa3pvWmt7b1pre296b3tvWmt6b1pre29aa3tvWmt6b1prem9aa3pvWmtaa1prem9aa1prWmt6b1prWmtaa1prWmtaa1pre29aa1prWmtaa1prWmtaa1prOmdaazpnW2saYztn+mITRqgUKyXxPXxve2ucc1prWmv5XtE9yRwLJU0pdU5+b1xrGmM6ZztnW2sZY7ZWEkLPOW0tbi1uLdA5NErYWhpnXG9ba1xvW2tbbzpnOmc5Z1prOWdaa1lrWmtZa1prWmtbaxpnl1bqHAshCyW3VltrW2taa3tvO2s7Z9he6RzqIAohllJcazpnWmtaa1lrem9Za1lrWmtaa1prWmtaa1prWms5Z1prWmtaazlnWmtaa1prOWdaazlnWms5Z1prOWdaazlnOWcYYzlnOWdaa1prWms5Z1prOWdaazlnWms5Z1prOWdaa1prWms5Z1prWmtaazlnWms5Z1prOWdaazlnWmtaa1prOWdaazlnWmtaa1prWmtaa1prWms5Z1prOWdaazlnWmtaa1prOWdaa1prWms5Z1prOWdaazlnOWc5Z1prOWdaazlnWms5Z1prOWdaazlnOWc5Z1prOWdaazlnWms5Z1prOWdaazlnOWc5Z1prOWc5ZzlnOWc5ZzlnOWdaazlnAAB7b1pre29aa3tvWmt7b3tve296b3tvem97b1pre29aa3tvem97b1prem9aa3tvWmt6b1pre29aa3pvWmt7b1pre29aa3tvWmt7b1pre29aa1prWmt7b1pre29aa1prWmt6a1lnWmtbazpnGmM7Z1RKyBgrJc85W2t8b5xve29bazpn11orJekgbS2vNbdWfW99b1xvXGsaYztnW2s7Z7dadlI0RtE9bjFuMa81EkIzSvle+V46ZzpnW2tba3xvfG9aa1lrWmtZa3prWWtaa1trPGuXViwlDCUrJTRKXGtbb1trW2tcazpndU5mDCwpTCl1Tn1vXG9ba3tvOWeab1lrWmtaa1prWmtaa1prWmtaa1prWmtaa1prWmtaa1prWmtaazlnWmtaa1prOWdaazlnnHN7b1prOWdaa1prWmtaa1prWmtaa1prWms5Z1prOWdaa1prWmtaa1prWmtaa1prWmtaa1prWmtaa1prWmtaa1prWmtaa1prWmtaa1prWmtaa1prWmtaa1prOWdaa1prWmtaa1prWmtaa1prWmtaa1prWmtaazlnWms5Z1prOWdaa1prWmtaa1prOWdaazlnWms5Z1prWmtaa1prWmtaa1prOWdaazlnWms5Z1prOWdaazlnWms5ZzlnOWdaazlnWmsAAFprem9aa3pvWmt7b1pre29aa3tvWmt6b1pre29aa3pvWmt7b1prWmtaa1prWmt6b1prem9aa3pvWmt6b1prem9aa3tvWmtaa1prWmtaa1prWmtaa1prWmtaa1prWmtZa1lrWWs4Z3prGWMZYxpjlVLIGEwpjTFba1trfG85Z1trOmcZY40xKyVLKW0trzUZYztnfW+dc3xvO2dbazpnGmMbZzxn+l53UtE9jjFNLW4xbTHxPXRO+WI6Z1trOmc5ZzpnWmtZZ1lrWWtaa1prW2s8a9haTSkLIeoc8T1ba1xvO2tba1trXGuwNYcQ6hxNLfJBfW9ba1tre285Z1lrWWtZa1prWmtaa1prWmtaa1prOWdaazlnWmtaa1prOWdaazlnWms5Z1prOWc5ZzlnOWf3XjlnOWdaazlnOWc5Z1prOWdaazlnWms5Z1prOWc5ZzlnWms5Z1prWmtaa1prWms5Z1prOWdaazlnWms5Z1prWmtaazlnWms5Z1prOWdaazlnWms5Z1prOWdaazlnWmtaa1prWmtaa1prWmtaa1prWmtaazlnWms5ZzlnOWc5ZzlnWms5Z1prOWdaazlnWms5Z1prOWdaazlnWmtaa1prOWdaazlnWms5Z1prOWdaazlnWms5ZzlnOWc5ZzlnWms5ZwAAe29aa3tvWmt7b3pve296b3tvem97b1pre29aa3tvWmt7b3pve29aa3pvWmt6b3pve29aa3tvWmt7b1pre29aa3tvWmt7b1pre29aa3tvWmt7b1pre29aa3tvWmtaa1lrem9Ya1lrems5ZxljOmeWUsgYTCmOMTtnfG98b3trnHN8b/da8T3pHOkcEkKwNW4tGmM7Z31vXGt9b1xvfW9ca11rPGtdazxnG2OXVjNG0DlNLUwtbTGONRJCdVIaY1xrW2taa1prWmt6b1prW2tba31v+V6PNeoc6RyvNX1vW2udczpnXGtcayslyRjqILA10Dlca1trOmt7bzhne29Za1prWmtba1prW29aa1trWmtaa1prW2taa1tvWmtaazprWmtaa1prOWtaazpnOmcZY/A9VEr5XjpnW2s6Z1prWmtaa1lrWmtZZ1prOWdaazlnWmtaa1prWmtaa1prWmtaa1prWmtaa1prWmtaa1prWmtaa1prWmtaa1prWmtaa1prWms5Z1prOWdaa1prWmtaa1prWmtaa1prWmtaa1prWmtaa1prWms5Z1prOWdaazlnWmtaa1prWmtaa1prWms5Z1prOWdaazlnWmtaa1prWmtaa1prWms5Z1prWmtaa1prWmtaa1prOWdaazlnWmtaa1prAABaa3tvWmt7b1pre29aa3tvWmt7b1pre29aa3tvWmt7b1prWmtaa1prWmtaa1prem9aa1prWmt7b1prem9aa1prWmtaa1lrem96b3tvWmtaa1prem9aa1prWWtaa1lrWmtZa1lrOGdZa1lrOWf4YvheTSkKIY8xt1Z9c1pre296b1lrOWdUTgoh6hzzQZA1TiluLVVO2FoaY1xrfm9da35zfW99b1trO2c6ZztnGWPXWnVOVErxPY8xLSlOLbE1FEL5XhljGmM6ZxpjOmc7Z1xrO2caY9E96RwKISslW2tba3xvW2s7Z9hahxALIQshsDXQOVtrW2s6Z1prW2t7b1trOmtaazprW2s6a1prOmtaazprWms6a1trOmtaazprWms5a1lvOWs6aztrXG8aY7hWDCXqHNE5G1/6XjtjXGcZX1pnWWc5Z1prOWdaZzpnW2s6Z1trOmtaazlnWmtZa1prOWdaa1prWms5Z1prWmtaazlnWms5Z1prOWdaazlnWmtaa1prWmtaa1prWmtaa1prOWdaa1prWmtaa1prOWdaa1prWms5Z1prOWdaazlnWms5Z1prOWdaazlnWms5Z1prWmtaazlnOWc5Z1prWmtaazlnWms5Z1prOWdaazlnWms5ZzlnOWc5ZzlnOWc5ZzlnOWcAAHtvWmt7b1pre29aa3tvWmt7b1pre297b3tvWmt7b3tve29aa3tvWmt6b1pre29aa3pvWmt7b3tve296b3tvWmt7b1prWmtaa3tve297b1pre29aa3pvWmtaa1lrWmtaa1lrWWtZa1lrWWs5Zxlj+V6wOeocjzV2Tp5zW2ubc3pvem8YY7ZW6RwsJbE5VkqyOfNBbjFNLfE9+V48Z11vnnM6Z3tvvXd8b1trOmdbazpnW2saZ/lel1I0RrE1cDEtKSwprjV0TvleXGtca1xrO2dcaxpjEkKnFOkcKyUaY1xre286Z1xrdU5mEMkYsTm3VlRKfG98b1pnfG9aa3xvW2tbazprW29aa1tvOmtbazprW2s6a1tvOmtbazprW286azlrOWtabzprW2tcbzxn2lpwMU8p7BxOKblWfmtdZztjOWNZa5tvWWc5Zzpne2tba1trWmtba1prWmtaa1prWmtaa1prWmtaa1prWmtaa1prWmtaa1prWmtaazlnWmtaa1prWmtaa1prWmtaa1prWmtaa1prWmtaa1prWmtaa1prWmtaa1prWmtaazlnWmtaa1prWmtaa1prWms5Z1prOWdaazlnOWc5Z1prWmtaa1prWms5Z1prOWdaazlnWms5ZzlnOWdaazlnOWc5Z1prOWdaawAAWmt7b1pre29aa3tvWmt7b1pre29aa3tvWmt7b1pre29aa3tvWmtaa1prWmtaa1prWmt7b1pre296b3tvWmt6b1prWmtZa1prem97b1prWmtaa3pvWmtaa1lrWmtZa1prOGdZa1lrWWs5Zzln+GIZYxNCyRxuLRNGfW98b3pvm3N6bzln11oKIS0lbzHbXndODCWPMbA1bjFMKfI92Vp9b1trnG97b3tve2+bb3prWmsZYzpnGmM7Zxtj2VpVShNCjjGOMUwpTS2OMRNGl1YbYxtjPGd2UskcqBgLIVVOXGtba1trXGszRocQyRjyPflet1Z9b1trWmt7a1trOmdbazprWms6a1prOmtaazprOms6a1prOmtaazprW2s6a1prOGdZazlrOms6a1xvO2cbY3ZO8jkMIesYjy2YUjxjfWs6Y1pnOWdaZzljWmc6Z1trWmdaazpnWmtaa1prOWtaa1prWms5Z1prWmtaazlnWmtaa1prOWdaazlnWms5Z1prWmtaa1prWmtaa1prWmtaa1prWms5Z1prOWdaazlnWmtaa1prOWdaazlnWms5Z1prWmtaazlnWms5Z1prOWdaazlnWms5ZzlnOWdaa1prWms5Z1prOWdaazlnWms5Z1prOWdaazlnOWc5Z1prOWc5ZzlnAAB7b3tve29aa3tve297b1pre297b3tvWmt7b3tve29aa3tvem97b1prem9aa3pvWmt7b3pve29aa3tvem97b1pre29aa1prWmt7b3pve29aa3tvWmt6b1prWmtaa1prWmtZa1lremtZa1lrOWc5ZxljllLJGG4t0Dl8b3xvem96b3pvOWcZY00tLSkuKV5r214URk0tTS2vNa81jjHyQVVOW2taa3tve2ubb3tve29ZZ3trWmdaazpnfG87axpn+V63WlRK8T1tLUwpTSmvNdE5NUpWTlZO6hzKHMoc0jkcZ1trOmc7a44xyRgMIbhWG2MaY1trW2s6Z3xvW2tba1trW2taa1tvWmtbb1prWms5a1pvOmtaazprWm86a1prOmtZa1lrWm86a1trW2tcaztnPGd2TtE5TSXrHE4pd05dZ55vOmMZY1pnfG86ZzlnWmdaa1prWmtZa1prWmtaa1prWmtaa1prWmtaa1prWmtaa1prWmtaa1prWmtaa1prOWd7b1prWmtaa1prWmtaa1pre29aa1prOWdaa1prWmtaa1prWmtaazlnWms5Z1prOWdaa1prWmtaa1prWmtaazlnWms5Z1prOWdaa1prWmtaa1prOWdaazlnWms5Z1prOWdaazlnWms5Z1prOWdaazlnWmsAAFpre29aa3tvWmt7b1pre29aa3tvWmt7b1pre29aa3tvWmt7b1prem9aa1prWmt6b1prWmtaa1prWmtaa1prem9aa3pvWmt6b1prem9aa3pvWmt6b1prWmtZa1prWWtaa1lrWWs5Z1lrWWtaaxljGWOXVuocLCWPNRpjfHNaa3pvOWdaa/he8UEMJU4p+2I9axxnEkJMKW0trzUTRvI9bS3wPZVSOWecc3pvWmtZa5tvm2+bb1prWms5ZzpnOmc6ZxpjGmP5XthadU4TQo81bi0tJQwlLSWIFKoYyxwuKbpafW99cztnCyGIEAwl+2JcaztnO2c6Z1prWmtbazpnfG86a1prWmtaazlrWms5Z1prOWdaazlrWms5Z1prOWtaazlrWm9aa1prOWdaazpnW2saYxtj8j0tJU4pLSEuJXdKG2M7ZztnW2s6Z1pnOWdZZ1lnWWtZa1prOWdaazprWms5Z1prWmtaazlnWmtaa1prWmtaa1prWms5Z1prOWdaa1prWmtaa1prWmtaa1prWmtaa1prOWdaazlnWmtaa1prWmtaazlnWms5Z1prOWdaazlnWms5Z1prOWdaazlnWms5Z1prOWdaazlnWmtaa1prOWdaazlnWms5Z1prOWdaazlnWms5Z1prOWdaazlnWms5ZwAAe297b3tve297b3tve297b3tvWmt7b3tve29aa3tve297b1pre29aa3tvWmt7b3pvem9aa3pvWmtaa1prem9aa3tvWmt7b1prem9aa3tvWmt7b1prem9aa1prWWtaa1prem9Za1lrWWt6b1prOmsZY9leLCksJY4x2Fp8b3tvWWtZa1prGWd1Uk0pTimYUj1r+l5ca9haTCnHGI4xM0avNSoljTF0TjljnHOcc5xzem9Za1lre297b3tvemt7b3tvW2tba1trOmcaY9hat1Z2ThNCTi0NJakU7BzsHA0h0z36XjtnG2cMJcocDCEcZ1xrfW87Z3xvWmtba3trW2tba1prWWtab1prWmtZa1prWWtaa1lrWmtZa1prWWtaa1lrWm9aa1pvWmtaazlnWms6ZzpjW2fYWvI9kDFPKS4lDSEUQhtfv3NcZxljWmucb1lnWWtZa1lrWWtaa1prW2taa1prWmtaa1prWmtaa1prWmtaa1prWmtaa1prWmtaa1pre29aa3tvWmtaa1prWmtaa1prWmtaa1prWmtaa1prWmtaa1prWmtaa1prOWdaa1prWmtaa1prWmtaazlnWms5Z1prWmtaa1prWms5Z1prWmtaazlnWms5Z1prOWdaazlnWms5Z1prOWdaazlnWms5Z1prAABaa3tvWmt7b1pre29aa3tvWmt7b1pre29aa3tvWmt7b1prem9aa1prWmt7b1pre29aa3pvWmtaa1prWmtaa3pvWmt7b1prWmtaa1prWmt6b1prem9aa1prWWtaa1lrWmtaa1prOWdZa1lrWms5Zzpn+V7QOekcjjF0Tnxve29aa1lrWms6Z7dajzFuLfNBXm9db1xr+V50To0xCiFtMZZWrjVsLWwtMkb4Xpxve29aa1prem97b5tzem96a1lnWms5ZzpnOmdbaztnO2caY/peG2O4VhRCcDENIe0g7RxPLY8x8T3yPQshLSVOKRxjn3Ncazpne29aazpnfG86Z1trWmtaa1lrWmtZa1prOWdZa1lnWWs5Z1lrWWdZazlnWWtaa1prOWdZa1lrWWs5Z1lnWmc6Z1xr+l7SNbI1kjHMGAwhNUYbYzxnGmNba3prWWdYZ1lrWGdZa1lrWms6a1prWmtaazlnWmtaa1prOWdaa1prWmtaa1prWmtaazlnWmtaa1prWmtaa1prWms5Z1prOWdaazlnWmtaa1prOWdaa1prWms5Z1prOWdaazlnWmtaa1prOWdaazlnWms5Z1prOWdaa1prWms5Z1prOWdaazlnWms5Z1prOWdaazlnWms5Z1prOWc5ZzlnWms5ZzlnOWcAAHtve297b3tve297b3tve297b3tve29aa3tve297b1prem9aa3pvWmt7b3tve297b3tvem96b1prem9aa3tvem97b3pve29aa3pvWmt6b1pre29aa3pvWmtaa1prWmtaa1prWmt6b1lrWms5Z1prOmcaYxJC6hxuMVNKW2+9d1pre285Z3xv2FrSPU4t0jleb11vO2s7a1tr11quNc852Fq3VvE9TClMKRJCtlY6Z3xvfG9ba3prWmt6b3prm297b3tvemt6a1pre29ba1trO2caYzxn+2IURi4l7BxQKXAtsTluLSwliBANJewgmFYbY1xrGWN8bzpnOmd8bztnOmdba1prWmtaa1prWWtaazlnWmtZa1prWWtaa1lrWWtZa1trOWc5Z1lnem9Za1lrOGdZazljOmMaX/paVkrTOXEtqhQuJVZKPGeec1tnOWdZZ3lrWGtZa1lrWmtaa1trWmtba1prWmtaa1prWmtaa1pre29aa1prWmtaa1prWmtaa3tvWmt7b1prWmtaa1prOWdaa1prWmtaa3tvWmtaazlnWmtaa1prOWdaazlnWms5Z1prWmtaa1prWmtaa1prOWdaa1pre29aa1prOWdaa1prWms5Z1prOWdaazlnWms5Z1prOWdaazlnWms5Z1prOWdaawAAe297b3tve29aa3tvWmt7b1pre29aa3tvWmt7b1pre29aa3pvWmt6b1prem9aa3tvWmt7b1prem9aa3pvWmt7b1pre296b3tvWmt7b1prem9aa1prWWtaazlnWmtZa1prOWdaa1lrWmtZa1lrOWc6a/lil1aoGG4trjVcb1prnHNaa3tvW2s7Z1VKLSVvMRxnfW9ca1trW2sZYxljGWM6ZxpjuFozRq81KyVtLTNGO2dca3xvW2t7b1pre2taa1prWWd6b3prem+bb3tvOWdaaztnfW/6XvteyxzLHO0gLymYUjVK0TnKGOwg7CCQMW4xM0a2VjpnfG+VUlRKXGt8bzpnOmdbb51zWms5Zzlne29aa1prOWc5ZzhnWWtZa1prOmdaazlnWWs4Z1lrWWt5a1lnWmc5YzpjG2McY3hO0zlwLaoU6xw0RvpeOmdaa1lnN2NZa1lremtZZ1prOmdaazpnWmtaa1prOWdaazlnWms5Z1prWmtaazlnWmtaa3tvWmtaa1prWmtaa1prWmtaazlnWmtaa1prWmtaa1prWms5Z1prWmtaazlnWmtaa1prWmtaazlnWms5Z1prOWdaa1prWms5Z1prOWdaazlnWms5Z1prOWdaazlnOWc5Z1prOWdaazlnWms5ZzlnOWc5ZzlnAAB7b3tve297b3tvWmt7b3tve29aa3tve297b1pre297b3tvWmt7b1pre29aa3tvem97b3pve29aa3pvWmt7b3tve296b3tve297b1pre29aa3pvWmt6b1prWmtaa1prWmtaa1prem9aa3prWWtaazpnOmeXVukcTSmvNTtrfG97b3tvWmtbaztnl1JOLW8xl1aec1xvfG97bzprOmdba1trO2cbY/piVUqvNSwljjHxPRpjGmNba1trfG9ba3xve2+bb3pveWtZZ3pvemt7b3trfG9ba11r2l7rHMsczBwNJfti+2KYUg0lDSXsIBRG8T1MKW0trjWuNY0xTCkzRhpjXG86ZzpnOmdbb1trW2s6a1prOWdaa1pre29aa1prOWdaazpnWmtZa1lrWGd5a1lrWWdZZ1trOmdcZzxn+l53TrI1sTWqFAshVUp9bzpnOWd7bzlnOWdZZ1prWWtbb1tvWmtaa1prWmtaa1prWmtaa1prWmtaa1prWmtaa1prWmt7b1pre29aa1prWmtaa1prWmtaa1prWmtaa1prWmtaa1prWmtaa1prWmtaa1prWmtaa1prWmtaa1prOWdaa1prWmtaa1prOWdaazlnWmtaa1prOWdaa1prWms5Z1prOWdaazlnWms5Z1prOWdaazlnWmsAAHtve29aa3tvWmt7b1pre29aa3tvWmt7b1pre29aa3tvWmt7b1prem9aa3tvWmt7b1pre29aa3pvWmt7b1pre29aa3pvWmt6b1pre29aa3pvWmt6b1prWmtaa1prWWtaa1prW2taa3prWWtaazlnWms6Z7da6iArJY41GmNba3xvem97bzpnW2u4WrA1LSkTQn1vnXN8b3tvWmt7b1trfG9ba1xrG2f5XpZSM0aOMSsljjESQpZSGmNba3xvO2daZ1lrem9Za1lrWWubb3tve297axpjfm88Z04pLiXNHE8puFZ+c9peTinrHAwhuVqXVtA90DlsLSolKyUKISwll1IaY1xrO2c7ZztnW2saYzpnGWNba3tve285ZxljGWNaazlnWms5Z1lrOWdZa1lnWWs4Z1prWms6ZzpnXGsbY/pemFJvLS0lyhhMKRJCXGs6ZzlnOmdaa3tvWms5Zzlnem9aa1prWmtaa1prWms5Z1prOWdaazlnWms5Z1prOWdaa1pre29aa1prWmtaa1prWmtaa1prWmtaa1prWmtaa1prWmtaazlnWmtaa1prOWdaazlnWms5Z1prOWdaazlnWms5Z1prOWc5ZzlnWms5ZzlnOWdaazlnWms5Z1prOWc5ZzlnWms5Z1prOWc5ZzlnOWc5ZwAAe297b3tvWmt7b3tve297b3tvWmt7b1pre297b3tve297b3pve29aa3tvem97b3pve296b3tvWmt7b3pve29aa1prWmt6b1pre29aa3tvWmt7b1pre29aa3tvWmtaa1prW29ba3tvWmt6b1prWmtaa1tr2FpNLeogrzXXWnxve2+bc3tvW2tba/pi0j1NKY81XGt8c5xzWmt7b3tve297b3xvXGs7ZxpnXGsaY3ZS0DmvNY4xbi1tLdA5VEoZY3xvemt7b5xzem9aa3pre286Z3ROEkLZXjxn0z3tIO4gLykURn5zG2MtKcocDCFeaxpjGmfXWpVSjjFMKSwl6yBOLSwl0T2WUtleXWt9b1xrOmedcztnGWMZY1trfG98b1pnWmtaa1prWWtaa1lrWms5Z1prWmt7bzpnOmc6Z1tnOmP6WndOTSksIagUTSnyPVxrW2tba3xvWmtaa1lrWWs5a1prWmtaa1prWmtaa1prOWdaa1prWmtaa1prOWdaa1pre29aa3tvWmt7b1pre29aa1prWmtaa1pre29aa1prWmtaa1prWmtaa1prWmtaa1prWms5Z1prOWdaa1prWmtaa1prOWdaazlnWms5Z1prOWdaa1prWms5Z1prOWdaazlnWmtaa1prOWdaazlnWms5Z1prAABaa3tvWmt7b1pre29aa3tvWmt7b1pre29aa3tvWmt7b1prem9aa3pvWmt6b1pre29aa3pvWmt7b1prem9aa3tvOWdaa1prem9aa1prWmt6b1prWmtaa3pvWmtaa1prWmtaa1trWmt6b1lrWWtZa1prO2v4Xq816RyOMXVSfG98b1pre29ba1xr+mIURk0tjjH5XnxvnHN6b1pre29aa3tvOWd7b3trWmsaYzpn+V7YWhNC8T2OMUwpKyVsLa81EUL4XlprnG98bzlnW2s6Z9daKyVNKdI9HWdYTs0c7yAOJbE5nnMcZ04tyRgsJV5vPGdcaxpjGmfyQeockDVPLYkUDCVNKSwlDCFuLTRG2FY8ZxtjXGtca3xvO2c7ZzpnWmdaZ3prWmt6a1pnWmc5Z1pnWmtba1pnWmc5Z1lrOGc5Zzpj2VpURuocCyGoFG4tE0I8a31vO2cZYzlnm3N6bzhnOWdaa1prWms5Z1prOWdaazlnWms5Z1prOWdaazlnWmtaa3tvWmt7b1prWmtaa1prOWdaa1prWmtaa1prWmtaazlnWmtaa1prOWdaa1prWms5Z1prOWdaazlnWmtaa1prOWdaazlnOWc5ZzlnOWdaazlnWms5Z1prOWdaazlnWms5Z1prOWdaazlnOWc5ZzlnOWcAAHtvWmt7b1pre29aa3tve297b1pre297b3tvWmt7b3tve29aa3tvWmt7b1pre296b3tvWmt7b3pve29aa3tvWmtaa1prem9aa3tvWmt7b1prWmtaa3tvWmt7b1prWmtaa1trW2t7b1prem9Za1prWmtba/leE0bIGI4xMkadc3xvem97b3tvO2s8Z1VOsDVuMZZWW2u9d3pvm3N7b3pve296a3lrem9ZZ1prWmdbaxpjW2v5XnVO0DmOMUwpTClMKfA9U0oaY31vfW+dc1trU0rJGAwlcDG6Vt1ezhwxKe4gkDE7Zzxrbi3rHC0pXm88a31vGmOec1RK6hyyOVdO7CANIW8tNUYUQm8tLCVuLU0p8j11ThtjXGtcZxpjXGt8b1prWWd6a1pre2taZ1trOmdba1pnWmtZZ3prWWt5a1hnnG/4WrdWt1YLIcoY6xwMITVK2Vp9b1xrWmtaa3pvWGtaa1prWmtaa1prWmtaa1prWms5Z1prWmtaazlnWmtaa3tvWmt7b1pre29aa3tvWmtaa1prWmtaa1prWmtaa1prWmtaa1prWmtaa1prWmtaa1prOWdaazlnWmtaa1prWmtaazlnWms5Z1prOWdaazlnWms5Z1prOWdaazlnWmtaa1prWmtaa1prWms5Z1prOWdaawAAWmt7b1prWmtaa3tvWmt7b3tve29aa3tvWmt7b1prWmtaa3tvWmt6b1pre29aa3tvWmt6b1pre296b3tvWmtaa1prem9aa3pvWmt6b1prWmtZa1prWmt6b1prWms5Z1prOmtba1prWmtZa1lrOWdaazpnGWNUSqgYbTHxPXxvfG9aa5xzWms7azxruFawNW0tEkI6Z5xzem+bc5tzWmubc5pveGs3Z3lre2+bb1prOmf5XjpnOmc7Z/hedE6vNUwpLCVuLRNG2FoaY55zO2fyQYgULSUuJdQ5m1bwJM8crRgtKdhaG2NuLcocTikcZ35vXGs7Z1xrllLKGE8tmlLUPQ4lcDF4UvxiNUbSObE1TiktJSwlTSnyPbhWXGs8ZzpjOGNYZzhnWmdaZ1trOmdbZztnWms5Z1lrWWt5a1hreWs5Y1tnOmPYVrhWLSWIEC0l7CDyPdlefW9bazlnN2dZa1lrWmtaa1prWmtaazlnWms5Z1prWmtaa1prWmtaa1prWmtaa1prWmtaa1prWmtaa1prWmtaa1prWmtaa1prWmtaa1prOWdaa1prWms5Z1prWmtaazlnWms5Z1prOWdaa1prWms5Z1prOWdaazlnWms5Z1prOWdaazlnWms5Z1prWmtaazlnWms5Z1prOWc5ZzlnAAB7b1pre29aa3tvWmt7b3tvnHN7b3tve297b1pre29aa3tvem97b1pre296b3tvem97b1pre296b3tvem97b1pre296b3tvWmt7b1prem9aa1prWmt6b1pre29aa1prOWdaa1prWmtZa3prWWtaazlnW2sZY5ZSpxSOMc85fXN8b3tvm3NbazpnfXPZXvE9TCnQORljnXNaa5xzm29aa5pzmnN5b5pvmm96bzhnOWdba5xvW2s6ZxljOmf4XtdallLRPW0tbi2vNTRKG2c8ZxNCDCFwLZIxUSmcVnMxESXOHE8tl1Zda28x6yAtKfpifW99b1trfG/YWiwlDSXcWrtakjENIRRCPWdeaz1nuVZOLbE1sTWxNU4pLSVNKdI5VEoZYxhjOmc6Z1trW2tca1tnXGs6Z1trWWdZa1hneWt5b1prOmM6Zztn2VqXUrA1hxAMJQshsDm3VnxvW2tZa1lrWmtaa1prWmtaa1lrWms5Z1prWmtaa1prW2taa1trWmt7b1prW2taa1trWmtaa1prWmtaa1prWmt7b1prWmtaa1prWmtaa1prWmtaa1prWmtaa1prWms5Z1prOWdaazlnWmtaa1prOWdaa1prWms5Z1prOWdaazlnWmtaa1prWmtaa1prWmtaa1prOWdaazlnWmsAAFprWmtaa3tvWmt7b3tve297b3tve297b1pre297b3tvWmt6b1prem9aa3pvWmt6b1prem9aa3pvWmt6b1prem9aa1prWmtaazlnWmtaa1prWWt6b1prem9Za1prWmt7b1lnWWtZa1prWWtaa1prW2sZYztndVLpHG0t8D0aZ3xvW2t7b1pre29bazpndlJNLbA5VU6fd1trfG+bc1hnu3d6b5tzem97b1prWmtaa1prW2t7b1prW2s6ZzlnGWM5Z/hedU6OMU0pbS3yPXdONUYNIQ8l1TmUMa4UfE6uFBAh7Bw1Rj1nsTnqHE0pOmedc3trWms5ZxljKyUtKXhSHmezNZIxcC1eaxtjdk4LIesc7BztHA4hcS2RMXAtLSUMJQshbjHyPXZS2V5ca1xrPGv5YlxrfG98b1pnWmtaa3tvOmdaZ1prW2s6ZzlnlVLPOYUQSykrJUwpdE5caztnW2s6Z1prOWc5Zzlnem96b1prOWdaa1prW2taa1trWmtbazpnW2s6a1trOmtba1prW2taa1prWmtaa1prWmtaa1prOWdaa1prWmtaa1prWmtaa1prWms5Z1prOWdaazlnWms5Z1prWmtaazlnWms5Z1prOWdaazlnOWc5ZzlnOWdaa1prWmtaa1prOWdaazlnOWc5ZwAAe29aa3tve297b3tvnHN7b3tve297b3tve297b3tve297b1pre29aa3tvWmt7b1pre29aa3tvWmt7b1pre29aa3pvWmt6b1prWmtaa1prWmtaa1pre29aa1prWWtaa1prWmtZa3pvWmtaa1prW29bazprO2u3VgkhbS3QORpnfG98b3tvWmtaa3tvOWe3Vo4xkDU0Rp93PGt8c5tveWuac5tze2+cc3tve29aa3tvWmt7b1pre29aa1prOWdaazlnGGMZY/haVEqvNS0ljy0uJcwYcS05RrU1Uym2NfAcECHtINM5XmuxOesgTClba5xzm296a1prGWNtMSwlV0odY5lSbyk1QrhWfWvxOcoYTilPKQ4hzRzNHC8lkjE2SplWNUpvLQwhLSmPMY8xE0KWUlxrO2c7ZzpnW2tba3xve297b1prW2s5ZzlnWmdaa/delVJkDOgcrzkKIbA1f29db51zOWc6Z3tvnHM5ZzhnWWtZa1lrWmtaa3tvW2tbb1trW2taa1trW2tba1prW29ba1trWmtba1prWmtaa1prWmt7b1pre29aa1prWmtaazlnWmtaa1prWmtaazlnWmtaa1prWmtaa1prWms5Z1prWmtaazlnWms5Z1prOWdaa1prWmtaa3tvWmtaa1prWms5Z1prAABaa3tvWmt7b3tve297b3tve297b3tve29aa3tvWmt7b1prem9aa3pvWmt6b1prem9aa3pvWmt6b1prem9aa3pvWmtaa1prWmtaa1prWWtaa1lrWmtaa1prWWtaa1lrWmtZa3prWWtaa1prW2taa1trOmdba7daTClLKa852Fqdc3tvnHNZa3tvWms6a9da0DksKRNCXWtca1trm3NYa5pzem97b3tve29aa3tvWmt7b1pre29aa1prWmtaazlnWms5Z3tvOmcZY1RK0DVNKakUqhRxLThG9j1zLXMtrhQQIcwYLyn8YrI1qhhNKRpnfG97b5tzOWc5Z9A5LCXTPR1j/F6xNfM5l05/b28tyhgUQtpaeE6SNQ4lqxjsIHAt9EG5VvtemFLSPS0pTSksKSwlbi2vNRJCtlb5XjpnOmdbaxpjW2tca3xvW2tbazpnOmf4XrdWLCWoGE4tLSUNIXdS+mJba3tvWms5Z3tvem96b1lnWWtZa1prWWtaa1lrWms6a1trOmdba1prW2taa1prWmtaa1prWmtaa1prWmtaa1pre29aa1prWmtaazlnWmtaa1prOWdaazlnWms5Z1prOWdaazlnWms5Z1prOWdaazlnWms5ZzlnOWdaazlnWms5Z1prOWdaazlnWms5ZzlnOWcAAHtve297b3tve297b5xze2+cc3tve297b3tve297b1pre296b3tvWmt7b3pve29aa3tvWmt7b1pre29aa3tvWmt7b1pre296b3tvWmt6b1prem9aa3tvWmt7b1pre296a3pvWmt6b1pre29aa3tvW2tba1tr+V6uNSsljjGXVn1znHOcc3pvem97b1prGWMTRgsl0TkcZ1xrfG+bc3pvem97b3tve297b3tve297b3tve297b3tvWmt7b1prWmtaa3tvWmsZYzpnO2fYWlVKLSUNIS4lFkJZSlIptTWuGO8g7iDMHP1esznKGC0pPGd8b3tvm3NaazlnVEoLIZE1HGMcY5hSbym5Vl5nTikNIXdOfmscY7lWFEKQNQ0lDSHsILI5FEK5Whxn+l40RtE50TluLU0tbS1tLY4xrjURQnROGmc7Z1xrXGt8bztnO2dcazxr+l7ZWtI5yxzsHFAt7CATQtlefW87Zzpne2+cc1prWmtZa1lrWWt6a1lrWmtZa1prWmtaa1prWmtaa1trWmtba1prWmtaa1prWmtaa1prWmtaa1prWmtaa1prWmtaa1prWmtaazlnWms5Z1prOWdaa1prWms5Z1prOWdaa1prWms5Z1prOWdaazlnWms5ZzlnOWdaazlnWmtaa1prOWdaawAAWmt7b3tve297b3tve297b3tve297b3tvWmt7b1pre29aa3pvWmt7b1prem9aa3tvWmt6b1prem9aa3pvWmt6b1pre296b3tvem97b1prem9aa1prWmt6b1pre29aa3pvWWt6b1prem9aa1prWmtbazprOmv5YhFC6RxtLTRKnXN7b5xzWmt7b1prW2saZ3ZS6yCPNbhWfW9ba5tzem+ab1pre29aa3tvWmt7b3tve29aa3tvWmt7b1pre29aa3tvWmt7bzpne287Zxpj2Vo1Ri0lDSXTNR5jtDW0NXItzhwPJc0celL1QaoYTik8Z31vWmucczlnOmeWUiwlTi37XlxrPGdvLXdOmVJxLewcd04bYztnO2caY7hWVUrSOZExDCUMIU4tNUraXhtj+mIbY3ZSVUrxPa81TCkrJSolTCkKIY4x8T12UtlauFqXUvtiHGNea39z3F5QLcwc7iAOJS0lsTV2TjxrXW9baxljOWdZa1lrWWtZa1hrWWtYa1lrWWdaa1lrWmtZa1prWmtaa1prWmtaa1prWmtaa1prWms5Z1prWmtaa1prWmtaa1prOWdaazlnWms5ZzlnOWdaazlnWms5Z1prOWc5ZzlnWms5Z1prOWc5ZzlnOWc5Z1prGGNaazlnWms5Z1prWmtaazlnAAB7b3tve297b3tve297b3tve297b3tve297b1pre297b3tvem97b3pve296b3tvem97b1pre29aa3tvWmt7b1pre297b3tve297b3pve296b1prWmtaa1prem9aa3tvWmt6b1prem9aa1prWmtaa1prW2s5ZzpnVErpHEwtEkJ9b3xznHN7b3tve29ba1xrt1ZNKW4tVU5db3xve2+bc3pvem9aa3tve297b3tve297b3tve297b3tve29aa3tvWmtaa3pve297b1trGmM7Z7dSTSktJbI1P2e7Vi8lOEaLEDEpzhz2QfZBqxguKTxnXGt7b3tvWms6Z/leLCVOKbhWnnP4WnZKsjU3RtQ57Rx3Tn1vfG+cc3prW2v6XrlWV04URvI9bzEMJZA1l1I8ZzxnPGcbY/pe2FrYWnVOEkKPMW0tbS1uLY8xsDULIakYDCU2SplSHmc/a7ta1T0xKasU7SDsIHAxFEb6XjxrfW9ba3tvWmt6a1lrWWtYa3lrWWtaa1lrWmtZa1prWmt6b1prWmtaa1prWmtaa1prW2taa3tvWmt7b1prWmtaa1prOWdaazlnWms5Z1prOWdaazlnWms5Z1prWmtaazlnWmtaa1prOWdaazlnOWc5Z1prOWc5ZzlnWms5Z1prWmtaazlnWmsAAFpre29aa3tvWmt7b1pre29aa3tvWmt7b1pre29aa3tvWmt7b1pre29aa3tvWmt7b1prem9aa3pvWmt6b1prem96b3tvWmt6b1prem9aa3pvWmtaazlnWmtaa3tvWmtaa1prem9aa1prWWtaazlnWmtbazpnGmeWVugcbS3QOX1ve2+cc3pvnHN6b1trW2vYXo4xTSnROVxrW2t7b3pvem9aa3tvWmt7b1pre29aa3tvWmt7b1pre29aa3tvWmtaa1lrems4Z1prWmdba1tr2FqPMSwhby37Xh1jszXTOawYECUQJTEp90FqEC4l+l5ca3trm29ZZ1prGWNMKS0lVUp8a/ha+l6xNfZB9kHtHFZKfG97b1lrWGs5Z1trHGccZ/tiVUqwNY8xTSlNKdE92Vpdb55zXWs7ZxtjPGf6YthadU40So4xbS1uLQslLSU1SuwccC2zOTdKu1q8WrU5zhzuIO4kzRwNJbE1mFY7Z31vW2tba1prWWtZZ1lrWWdZa1lrWWtZZ1lrWWtaa1lrWmtZa1prWmtaa1prWmtaa1prWmt7b1prWmtaa1prOWdaazlnWms5ZzlnOWc5ZzlnOWc5Z1prOWdaazlnOWc5Z1prOWdaazlnOWc5ZzlnOWdaazlnWmtaa1prOWdaa1prWms5ZwAAe29aa3tvWmt7b3tve297b3tvWmt7b1pre297b3tve297b3pve296b3tvem97b3pve29aa3tvWmt7b1pre29aa3tvem96b1prem9aa3pvWmt7b1prWmtaa3tve297b3pve29aa1prWmtaa1lrWms5Z3tvGWdba7da6SBtLdE5XW98b5tze2+bc3tvWmt8b/he0DksJY81PGt8b3tvem9Za3tve297b3tve297b3tve297b3tve29aa3tvWmt7b1prWmt6b3pvWmtaazpnfG/5YlVKCyFuLXdOHWP7Xi4lLyVSLTIt8CAYRqsYLykcZ31vnXN7b3prWmc6Z0wpLSkTQntre2s8Z1ZKOErVPQ4h0jl8b3pvmW94a1lrW2tdaxxnfm8bZ5dW0T2OMU0tbi1uLVRK+l5+c11rPGtca11vO2c7Zzpn+V7YWrhW0TlvMTVGsTkNJQ4lLykwKXExtDlyMVIt7iDOIA8lLylPKRRG+mJ9b1xrW2taa1prWWtaa1lrWmtZa1prWWt6a1premtZa1prWmtaa1prW2taa1trWmtaa1prWmtaa1prWmtaa1prWms5Z1prOWdaazlnWms5Z1prOWdaazlnWms5Z1prOWdaazlnOWc5ZzlnOWdaazlnWmtaa1prWmtaa1prWms5Z1prAABaa3tvWmt7b1pre29aa3tvWmt7b1pre29aa3tve297b1pre29aa3tvWmt6b1prWmtaa3pvWmt6b1prWmtaa3tvWmt6b1prem9aa1prWmtaa1prWmtZa1prWmt7b3pve29aa3tvWmtaazlnWWc5Z1lrOmdaaxlj2F7pIEwp0Tk7Z3xve297b5tze297bzpnGmdVTgohbjF1Tjtn3ntZa3pvWmt7b1pre29aa3tvWmt7b1pre29aa3tvWmt7b1prem9Za3pvWWt6b1prW2s6Zzpn11pMKSwlsDU9ZxxjVkrLGBAlMilTMfdBahBQLRxjfW98b1prnHNbaxlj0TlNKbA1Wmd6aztjHGM4SpMxcS0tJRhfem+6c1dnmnNaaztnXWv6XjtnO2cbY5dSEkJuLSslTSmPNTNG+l5da11rPGdcaztnW2s6ZxpjGmP6XhNCLCWQMdM9sTWyOQ0lDSWrGO0gECXPHGwUlDWzOZI1LilOKVVK2V47a1trOmdba1tvfG84Z1prem+bb1lrWWs5Z1prWmtaa1prWms5Z1prWmt7bzlnWmtaa1prOWdaa1prWmtaa1prWmtaazlnWms5Z1prOWdaa1prWms5Z1prOWdaazlnOWc5Z1prOWc5ZzlnOWc5Z1prOWdaazlnWms5Z1prOWcAAHtve297b3tve297b3tve297b1pre297b3tve297b3tve29aa3tve297b3pve296b3tvWmt7b1prem9aa3tvem97b1pre29aa3pvWmt6b1prem9aa3pvWmt7b3pve296b3tvWmt7b1prWmtZa1prWWtaa1prOmf4XkwtCyHRPflefHN7b3tve2+bc3pvW2s6Z7dW6iCPNRJCfG+cc3tvem97b3tve297b3tve297b3tve297b3tve297b1pre29aa3pvWWt6b1pve29aa1trOmf5XvE9CyHQNfpePGe5Vi4pzhx0MTIpdDXuIA4lPGd9b51zWmu9d1trGmPyQSwljjF7a1lnnW89Z7pW9T1QLS0plVJ6b3hveG96bzlrfW88a553O2f5XhpjXGsaY3VOrzWOMSwlLCmvNVVO2Vpda55zW2t7b51zW2tbaxpjl1LRPZAxsTW5WlZKNUZvLZAxihTvJDIpECXvJO4gUC3TPdI5qRiPNdhaXGt9bztnO2c6Z51zWms4ZxhjOWdaa3tve297b1prWmtaa1prWmt7b1prWmtaa1prWmtaa1prWmtaa1prWmtaa1prWms5Z1prOWdaa1prWmtaa1prOWdaazlnWms5Z1prWmtaazlnWms5Z1prOWdaa1prWmtaa1prWmtaawAAWmt7b1pre29aa3tvWmt7b1pre29aa3tvWmt7b1pre29aa3pvWmt7b3pve296b3tvWmt6b1prem9aa3pvWmt6b1prem9aa1prWmtaa1prWmtaa1prWmt6b3pve29aa1prWmtba1prem9aa3pvWWtaa1pre28ZYxljrzXJHLA5t1Zba3tvemt6b3pve29aazpn2FoLJW4tsDVcb1tve296b1pre29aa3tve297b1pre297b3tve297b3tve29aa3pvWWtZb1lrWm9aa3tvOmc6axlj11rpHNA1dk5da/pe8z1rEJU17yAQJS8pDSEbY35vfG97b5xze2saY3ZO6xxuLRhfWWeecz1n/GJ4Ui4pTSnPOXpvN2eaczhnWWuccztrfG9baxljOmdca1xr+F62VvE9rzVMKQslCiFuMVVKO2d8b5xvW2tca3xvfW/6XpZSDCUtKTVGPWvaWtlad06yOe4g7yCtHA8lcTFQLU8tDSWwNS0pCiHQOdlannN9bztrGWM6a1trfG9aa1prOmdba1prW2s5Z1prOWdaa1lrWmtaa1prOWdaa1prWms5Z1prWmtaazlnWms5Z1prOWc5Z1prWmtaa1prOWdaazlnOWc5ZzlnOWc5ZzlnOWc5ZzlnOWc5ZzlnWmtaa1prWmtaazlnAAB7b3tve297b3tve297b3tve297b3tve297b3tve297b3tvem97b3tvm3N7b3tve297b3pve29aa3tvem97b1pre296b3tvWmt7b1prem9aa3pvWmt6b3pve297b3tvWmtba1tre296b3tvemt6b1lrem9aazlnGWMzSqcUsDVUSnxve2+bc3pve296b3tvOmcaY0wpTCluMTtrW2ucc1pre297b3tve297b3tve29aa5xze297b3tve29aa3tvWmt6b1lrWmtZa3tvWmtbazprOmcZY20tbS0zRl1rPGeYUs0cMi0RJc4cMCkNIRxnfW98b3trnHNba1tr+V4sJW4tlVJaZ51zO2deb9pesTkLJW0t+F56b5tzOGdaa513Oms6Z1trnHN7azpnGWM6ZztnW2uWUtA5TS1tLU0tbi1tLZVS+F6dc51zfW87ZzxnG2fyPSwlTSn6XjxnXWvZWrlWeE6SNewgyxyxNW8xsTlNKU0tTS1uMU0tTSmPMZZSfW99b1trO2s6Z1trW2tbazprW29aa1prWmtaa1prWmtaa1prWmtaa1prWmtaa1prWmtaa1prWmtaa1prWmtaazlnWmtaa1prWmtaazlnWms5Z1prOWdaazlnWms5ZzlnOWdaazlnWmtaa1prWmtaa1prWmsAAFpre29aa3tvWmt7b1pre29aa3tvWmt7b1pre29aa3tvem97b3tve296b3tvWmt7b1prem9aa3tvWmt7b1prem9aa3pvWmt6b1prWmtaa3pvWWtaa1pre296b3tvWmtaa1prW2tba3tvWmtaa1lrWWtZa1prGWMaZ3VOqBhuLfI9Omd7b5tvm29Za3pvWmtba/herzXqHI8xt1Z9c1tre297b3tve297b3tve29aa3tvWmt7b1pre29aa1prWmtaa1lrWW9Za1pvWmtab1prW2s6ZxljEkIrKdA5PGsaY/tiUS3OHFEt7iDtIC4pG2Ncb1tre297b3tvO2cbZ04tTSnwPZxvW2s7Z31vG2dVTgohTClUSp13e285a3tzem9aa1pre297b3tvWmtaazpnOmf4XjpnGmO3VvE9bS0rJU0tTC3POVNK+V5ca55zXWs8Z9lakDXrII8xXWtdaztnPGf7YvtiVk6PMdA5M0a3WnVO8T2vNUwpLCkLIQslTS2wOZZS+V5ca31vO2s6ZzpnW29aa1trWmtaazlnWmtZa1prOWdaa1prWms5Z1prWmtaazlnWms5Z1prOWdaazlnWms5Z1prWmtaazlnWms5ZzlnOWc5ZzlnOWc5ZzlnOWc5ZzlnWms5Z1prOWdaazlnWms5ZwAAe297b3tve297b3tve297b3tve297b3tve297b3tve297b3tvm3N7b3tvem97b1pre29aa3tve297b3pve29aa3tvWmt7b3pve29aa3tvWmt6b1pre296b3tvem97b1pre29ba3tvem96b1lrWWtZa3pvWWs6Zxpjt1oLIU0pjzU6Z3tvnHN7b3pvem97b1pr+WIzRuocjjFUSp1zW2t8b3tve2+cc3tve297b3tve297b1pre29aa3tvWmt7b1prem9Za1pvWWt6b1prW29aa1tr+F7XWislrzX5XjtjPGc3SowUcjEPJcwcTy08Z1xrnG97b3tvWmtcaxtj8z0sJc81nXNba1trfW87ZxpjTClNLa81nnM7a3xvm3N5b1lre296a3tvemt7b1trW2s6Z1trGmMaYxpjGmO3VhNGjjFMKQohCyGPNZdSHGNebz1rHGOYVm8tDCG5Wp9zfnNdaxpjW2tbaxljGWP4Xlpr+F74XpZWVE7xPY4xKyULIeogLCXRObhaO2ddbztrXGtba1trWmtba1prWmtZa3prWWtaa1prWmtaa1prWmtaa1prWmtaa1prWmtaazlnWmtaa1prWmtaa1prWms5Z1prOWdaazlnWms5Z1prOWdaazlnWmtaa1prWmtaazlnWms5Z1prAABaa3tvWmt7b1pre29aa3tve297b1pre29aa3tvWmt7b1pre29aa3tvem97b1prem9aa3tvWmt7b3tve29aa1prWmt7b1prem9aa3pvWmt6b1prem9aa1prWmt7b1prWmtba3tvWmt6b1prem9Za3pvWmtaaxlnGme3Wm4xCyFuMfheWmt7b3pvWWt6b1prW2sZY5dW6hxtLfE9fW86a3xve297b3tve297b3tvWmt7b1pre29aa1prWmt7b1prem9ab3pvWWtaa1prWm86a1prOmc6Z/hejTFtLZZSO2c9a5pW7iDuIC8p7BxPLTtnfG+cc5xzWmt7a1xrG2N3Ti0pjjE6Z1tre2taZ1prO2cSQgslTi24Wl1vW2+cc1hreW9Ya3premt6b1lnWms6Z1trGWNba1xrXGsaY/let1a3VrA1kDVuLU4pLSmRNVZKHWO6Wj5r9EFvMZAxHGcbYztne29Za9Zaem96b1lrWWd6axdjGWP4YthedVISQk0t6hxuLS0pCyGPMVVOG2dba1trOmtbazprWmtaa1prWWtZa1lrWms5Z1prWmtaazlnWms5Z1prOWdaazlnWms5Z1prOWdaazlnWmtaa1prOWdaa1prWms5ZzlnOWdaazlnWms5Z1prOWdaa1prWms5Z1prOWcAAHtve297b3tve297b3tve297b3tve297b3tve297b1prem9aa3tvWmt7b3pve296b3tvem97b3tvm3N7b3tvWmt7b3pve29aa3tvWmt7b1pre29aa3pvWmt7b3pve29aa3xvW2t7b1pre296b5tvem+bb1lrWmsaY9he0DkLIW4t2Fo5Z3tvem96b3pve29aazpn2FosJSwl0Dlba1trfG+cc3tvnHN7b5xze297b1pre29aa3tvWmt7b3tve296b3tzem9ab1prWm9aa1prOWtaa1trGF/POWwtU0p8b1xr21owKcwYLiUuJS4pPGt8b713nHN7b3tvnXMaYxxnTi1uLZdWfW97bzlnWmd7b7dW6iAtKRRGfm98b3tveW95b5tzemtaa1lrem96a3tvWmucb1trOmcaY1trW2s7Z/liGmNVSrA1Ti2PMW8tTy0uKdI5NUZWTi0pbi00Rn5vfXN6b5tzOGd5b1lrm3ObbzhnWmtaa1trGWc6Zxljt1YzRiwlTS1uMU0pTSmPNZZSXGtca1trW2tba1tvWmtaa1prWmtaa1prWmtaa1prWmtaa1prWmtaazpnWmtaa1prWmtaazlnWmtaa1prWmtaa1pre29aa1prOWdaazlnWmtaa1prOWdaa1prWmtaa1prWmtaawAAWmt7b1pre29aa3tvWmt7b1prem9aa3tvWmt6b1pre297b3tvWmt7b1pre296b3tvWmt7b3pve29aa3tvWmt6b1pre29aa3pvWmtaa1prem9aa3pvWmt7b1prem9aa1prW2tba1pre29aa3pvem96bzlnem86Zzpn2V7yQYcQjzV1UrdanHOcc1lnm3NZa3tvW2v4Xo4x6RyvNRlffGt8b1tre297b3tvWmt7b1pre29aa3tvWmt7b3tve29aa3tvWmtaa1prWmtZa1prWWtaa1lrOWc5ZzFGjDGuNfhefG/6XlZOiRTsIOwgLikbY55zfG98b3tve286Zzpn2F5VSk8tNkpdb51zGGO8d/deOmduMesckTU9axpnnHOac1lrWWtaazlnWWs5Z1prWmt7b1prWms6Z1prOmdaazlnOmcaZxpn2Fp1TtA5bjFMKU0pLCksJQshDCULIW8xVk5db5xzWWt6b5xzWWdaa3trW2tba1trWmdaZzljOWcYYzln+F4zRm0xTCkLJQslbS3yQbhaO2dcaztrO2d8b1trOmc5Z1prWmt7bzlnOWc6Z3tvWmtaazlnOmc6Z1prWmtbazlnWms5Z1prOWdaa1prWms5Z1prOWdaazlnOWc5ZzlnOWdaa1prWmtaa1prOWc5ZzlnAAB7b3pve296b3tvem97b3pve29aa3tvem97b1pre296b3tvWmt6b1pre296b3tvWmt7b3pve297b3tvem97b1pre29aa3tvWmt6b1pre29aa3pvWmt7b3pve29aa3pvWmt8b1tre29ba3tvem97b3pvWWtaa1trOmcaYxNGqRiPMVRK2F6dd3xvem96b3prWmt7a/le8T3pHK8xllJ8a3xvfG97b3tve297b3tve297b3tve297b3tvnHN7b3tvWmtba1prWmtaa1prWWt6a1lrWms4Z1lrUkoIIWwtUkpbaztnl1YLIcoYDCEMJfpeXW99c3xvnHN7b1trWmsZY3ZSkTHUPV5rXGtaa5tvWWc6ZxNC6xyQMdpefW9ba5tzWWt6b1prWms5Z1prWmt7b1pre29aa1prWmtaa1prWms6Z1prGWc6ZxljGWO3VjNGrzmOMSwpCyULIeog6yDROZZSfG9aa5tze297b3xvnG9aZ3tvW2tba1prWms5Z1lrOWdaa/hi2F6VUvE9LCkLJSwlTS00RhtnXW9caztrXGtba1tvWmtba1prWms5Z1prOmdbazpnWms6Z1prWmtba1prWms5Z1prWmtaa1prWmtaa1prWmtaa1prWms5Z1prOWdaazlnWmtaa1prWmtaazlnWmsAAHpve29aa3tvem97b1pre29aa3tvWmt7b1pre29aa3tvWmtaa1lrWmtaa3tvWmtaa1pre29aa3tvem97b1prem9aa3tvWmtaa1prem9aa3pvWmt7b1pre29aa3pvWmtaa1tre29aa1prWmt7b1prem9ZZ3pvOmc7axpjVU7JHI810D0aY3xve296b3pvWmtaa1trGmM0RuocbSkSQjpjnXN7b3tve297b3tve29aa3tve297b3tve297b3tvWmtaa1prW2taa1prWWtaa1lrWWs5ZzhnOWeUUoUUKilsLVtrPGv6Ym4tiBTrIAwluFpca3xvfG97b3tvWmt7bzpnuFqzOZI1+2Jca3tvem9aa1pnl1ItKS0pVUp9b1preWt5a3prWms5Z1prWmt7b1pre29aa1prWmtaa1pre29aa1prOmdba1trfG9bazpn+F7YWnVSM0bxPdE9bjEsKSwpjzUZY3xvfG9ba3trnXN7a1prWmtba1prWmtaa1prWmtaa1prW2s6a1tr+V51Tq81TSkLISwlbi0zRvlefXNcbztrW2taazpnWms6a3tve297b1prWms5ZzpnOmdaazprWms5Z1prOWdaazlnWms5Z1prOWdaazlnWms5Z1prOWc5ZzlnWms5Z1prWmtaazlnOWc5ZwAAe297b3tvem97b3tve296b3tvem97b3pve296b3tvem96b1prWmtaa3tve297b1prem9aa3tvem97b3tve296b3tvWmt7b1pre29aa3tvWmt7b3pve29aa3tvWmt7b1prfG9ba3tvWmt7b3pvem9Za3pvWmtbazpnO2eXViwpjzWPNRpne29aa5tzWWt7b1prfG8aY7dSCiFMKa81OmOdb3xve297b3tve297b3tve2+cc3tve297b3tve297b1pre29aa1prWmt6b1prWmtZazlnOWc6Z9ZaCSHoHGwtOmddbztn80FnEAwlLSXZWl1vnXNbb3tvem97b3tvW2v5XhVGUC25VlxvnHNaa3pvOWcaY7E1LSWxNRtnW2t6b1lre29aa1prWmt7b3tve297b3tvWmt7b1pre297b3tvWmt7b1trW2s6ZzpnOmdba1xrXGs7Zxpj2V64VjNGjzUrJZZSXGuec1trfG98b3tvW2t7b1pre2taa3tvWmt7b1trW2s6ZzpnOmt9b1xr+V51TtA5bjFtLUwpjjHxPdhafXNba1tre286azprOmdba1pre29aa1prOWdaa1prWmtaa1prWmtaazlnWmtaa1prWmtaa1prWms5Z1prOWdaazlnWmtaa1prWmtaa1prWms5Z1prAAB6b3tvem97b3pve296b3tvWmt7b3pve29aa3tvem97b1prWmtaa3tvem97b3pve29aa1prWmt7b1pre29aa3tvWmt6b1prem9aa3pvWmt7b1pre29aa3tvWmt6b1pre29ba3tvW2t7b1prem9Za1prWmtaazpnOmcaY9hebi2wNY4xGmdba1prem9Za3pre297azpnuFZMKSsljjEZX51ve297b3tve297b3tve297b1pre29aa3tve297b3tve29aa1prWmtaa1lrWmtZa1prOWd7bxljGWPPOacYbjHYWjxrPGtVSogU6xwtKZdSXG98b3tvWmt7b1prW29baxtjNkZQLRNCfW97a5tvWWc6ZxpjVk4tJW4tVUp8b3premtaa1prWmtaa1pre29aa3tvWmt7b1pre29aa3tve297b3tvWmsYYzpre2+cc1prGWMaZ1xrW2s7ZxtnGmMzRk0pjzG4Wl1rfW98b3tvWmt7b1premtaa3prWmtba1prW2taa3xve29bazpnW2s7a1tr+WKWUvA9jTEqJSsprjUyRvheW2udc51zW2taazpnWmtaa1prOWdaazlnWmtZa1prOWdaazlnWms5Z1prOWdaazlnWms5Z1prOWdaazlnWms5Z1prOWdaazlnWms5Z1prOWcAAHtve297b3tve297b3tve297b3pve297b3tvem97b3tve296b3tve2+cc3tvm3N7b3pvWmt7b3pve29aa3tvWmt7b1pre29aa3pvWmt7b3pve296b3tvem97b1pre297b3xvW2t7b1pre29aa3pvWWt7b1prW2s6Zztn+V6PNW4xrzn4Xnxvem96b1lrem96a3xvOmf5Xo8xTCWOLRlffG98b3tvnHN7b3tve297b3tve29aa3tve297b3tve297b3tvWmt7b1prem9Za1prWmtaa3tvOmcZY5ZSpxSPNTRGXG87Z7hWyhzKHC0pVU4bZ51zW2t7b3pvWmtba1tvGmNXTnAtsDU7Z3tvnHN7a1trO2fZWpA1LSWwOTtnfG9aa3tvWmt7b1pre297b3tvWmt7b1pre29aa3tve297b3tve29aa1prWmt7b3tve286ZzpnW2tbaxljO2tba9da0T0tJfNB+l5+b753fG97a3tve296a3tvWmtba1prW2tba3tve297b1tre29ba1tvO2f5YjpnfG/4XhFCSylLKWwtrjUSQrZW+F5ba3xvnHNba3tvWmtaa1lrWmtZa1prWWtaa1prWmtaa1prOWdaa1prWms5Z1prOWdaazlnWms5Z1prWmtaa1prWms5Z1prWmtaawAAe297b3pve297b3tvem97b3pve29aa3tvem97b1pre296b3tvem97b3tvm3N6b3tvWmt6b1prem9aa3pvWmtaa1prem9aa1prWmt6b1pre297b3tvWmt6b1pre29aa3tve297b1prWmtaa1prWWtZa1prWmtaa1trOmcaY20tCiVtMXROOmt7b1lrem9Za3tvW2tca/pe8j0rIY4x2FZ8a3tve297b3tve297b3tve297b3tvWmt7b1pre29aa3tvWmt7b1prWmtaa1prWmtaa1tre286ZxpjuFoLIU0t8kFcaztr2FpNLagYbi0zRhpjfG97b1pre29aa3tvW2s7Z5hWkTFOLbdWfG97b1pre287ZxtjE0IsJU0pt1Z8b3tvWmtaa1prWmtaa3tvWmtaa1prWmtaa1prWmt7b1prWms5Z3pvWmtaaxhjOWdaa5xze298b1prOmc6Z1tr+F6XVm8xkTEVRjxnfm98b1pre296a3pvWmt6a1prW2tba1trWmtZazhne2+cc5xzW2s6Z1trOmcZYzpnOmf3XhFCjTEKISslSynPOZVSW2tbazpnWmtaazlnWmtZa1prWWdZa1lrWms5Z1prOWdaazlnWms5Z1prOWdaazlnWms5Z1prOWdaazlnWms5Z1prOWdaazlnAACbc3tve297b5tze297b3tve297b3tvem97b3tve296b3tve297b3tvnHN7b3tvWmt7b3pve29aa3tvWmt6b1pre29aa3pvWmt7b1pre296b5tze297b1pre296b3tve2+cc3tve29aa3tvWmtaazlne29aa3tvW2tbaxljbC3HGEwpzzk5Z1prWWubc3pre298a3xrPGc0RiwljjHYVlxrnHN7b3tve297b3tve297b5xze297b1pre297b3tvWmt7b3pve29aa3pvWmtaa1prfG86Z1xvGmPZXk4tTSnyQX1vOmcaY681yRyPMVRKGmedc1pre297b3tve298bztn+2KxNW4tVEqdc1pne297a1xrGmOXUiwlTSk0Rn1vfG97b1prWmtaa3tve297b1pre29aa1prWmt7b1pre29aa3tvWmtaa1pre297b1prOmd7b1prW2tba1trOWc6ZztnNkpwLbE5uVpda1xrfG96b3tvemt7b1pre29ba3xvXGt7b3pvm3N7b3tvOWdaa3tve29ba1prOWc6ZxlnGWP4XnVS8T1tMY4xlVJbb51zOWd7b1prWmtZa3pvWWtZazlnWmtaa1prWmtaa1prWms5Z1prOWdaazlnWmtaa1prOWdaa1prWms5Z1prWmtaa1prWmsAAFpre29aa3tvWmt7b3pve29aa3tvem97b1pre29aa3tvWmt7b3pve297b3tvem97b1pre29aa3tvWmt7b3pve285Z1prWmt7b1pre29aa3pvWmt6b1prem9aa3pvWmt7b3tvfG97b3tvWmtaa1lrWmtaa1prOmdbazpntlquNccYKiVTSlprm3NZa3pvem97b3xvfGv5XpdSLCWOLfE9nW97b3tve297b3tve297b3tve297b1prWmtaa3tvWmt7b1prem9aa1prWWtaa1pre286Z1trO2c7Z/le0TnqHPE9t1adcztnEkbpHCslllJ9c3tve296b3tvWmt7b1trXG8bY/NBCyERQp1zWmtaa3tvOmcaY9hasDkLJbA1PGuec1tre29aa3tvWmtaa1pre29aa3tvWmt7b1pre29aa3tvWWtaa1premtZa1prWmt7b1prWmtaa1prWmtbazpnO2ccY/Q9LimwNdleXGt8b1prWmtaa1pre29ba1trW2t8b1prem96b3pvWWtaazlnWmtaa3tvWmtbazpnOmc5ZzpnGWP5YvheGmM6Z1trWmtaa1prWmtZa1prWWdZa1lrWmtZa1prOWdaazlnWms5Z1prOWdaazlnWms5Z1prOWdaazlnWms5Z1prOWdaazlnWms5ZwAAe297b3tve297b3pve297b3tvem97b3tve296b3tvem97b3pve297b3tve297b3pve296b3tvem97b3pve297b3tvWmt7b3pve29aa3tvWmt7b1pre29aa3tvWmt7b3tvfG97b3xve297b1prem9aa1prWmtaa1prW2sZY7ZWMka2VjpnvXebc3lrWWt6b1prnW9caxpjl1JNKW4tEj59b5xve2+cc3tvnHN7b5xze2+cc3tve29aa3tvWmt7b1pre29aa3pvWmtaa1pre29aa3xvW2tbaztnGmPRPQsh0Dn4XnxvOmcSQiwpTS23VnxvfG97b3tvem97b1pre29cazxnVk4sKW0t+F5ba51zWmt8bztnGmPRPU0pjzH7Yn5zfG9aa3tvWmt7b1pre29aa3tvWmt7b3tve29aa3tvWmtaa1prem9aa1prWmt6b1pre29aa1prWmt7b1prWms6Z/teulqyOY8xrzUaY3xve297a3tvfG9aa3tre298b1pre296b5tvem96b1lrWmtZa3pvWmt7b1pre29aa1trOms7ZxpnOmc6Z1trW2tba1prW2taa1prWWtaa1lremtZa1prWmtaazlnWms5Z1prWmtaazlnWmtaa1prOWdaa1prWms5Z1prWmtaazlnWms5Z1prAAB7b5tze297b3pve296b3tvWmt7b1pre296b3tvWmt7b1pre29aa3tvem97b1pre296b3tvWmt6b1pre29aa3tvem97b1prem9aa1prWmtaa1prem9aa3pvWmt7b1pre29ba3tvWmt7b1pre29aa3tvWmt7b1prOmc5ZzpnGWM5Z3tvnHN7b3pvWGt5a1lre298a3xr+l64Vk0pbi3ROX1ve297b3tve297b3tve297b3tve29aa1prWmt7b1prWmtaa1prWWtaa1lrWmtZa1prWmtbazpnO2caYxJC6iCOMdZafG9ba9heVE6WUjtrnXd7b3tvWmt6b1prWmtaa1trO2e4WkwpKyVTSnxvnG9aa1trfG/5XvJBTSlOKVZKfm9ba3tvWmt7b1pre29aa1prWmtaa1pre29aa3tvWmtaa1lrWmtaa1prWWtaa1prWmtaa1prWmtaa1prWms5ZzprGmMcZ7laLCVNKfE9O2d8b1tre29ba3trW2t7b1trW2taa3tvWmt7b1lrWmtZZ1lrWWt6b1pre29ba3tvW2tbb1trW2s7Z1trOmdbazpnWmtaa1prOWdZa1lrWmtZa1prWWtaazlnWms5Z1prOWdaazlnWms5Z1prOWdaazlnWms5Z1prOWdaazlnWms5Z1prOWcAAJxze297b3tve297b3tvem97b3tve297b3tve297b3pve296b3tvem97b3tve296b3tve297b1pre296b3tvem97b3tve29aa3pvWmt7b1pre29aa3tvWmt7b3pve296b3tve297b1pre29aa3tvWmt7b3tve29aazlnGGM5ZzlnfG9aa1prWWt6b3lrem97b3xvXGs7Y9laji1uLdE5XGucc3tve297b5xze297b3tvnHN7b3tvWmt7b1pre29aa3tvWmtaa1prWmtZa1prWWtaazpnW2s6a1trVEpMLW0x11paa1trOmcaZxpjfXN7b3tvem96b1prem9aa1trO2tca9habi1sLVNKe297b1pre2t7bzpnM0awNS0l9D1/c3xve297b1pre29aa3tvWmtaa1pre29aa3tvWmtaa1prWmtaa3tvWmtaa1prWmtaa3tvWmt7b1pre29aa1prOmtcazxr2V5USm0tbjFUSlxrnXM7Z1trfG+cczpnWmt7b3tve297b1prem9aa3prWWt6b1pre29ba3xve298b1trfG9ba3xvW2tbazprW2taa1trWmtaa1lrWmtaa1prWmtaa1prWmtaa1prWmtaa1prWmtaa1prWmtaa1prWmtaa1prWmtaazlnWmtaa1prOWdaawAAem97b3pve29aa3pvWmt7b1pre296b3tvem97b3pve29aa3tvWmt7b1pre29aa3tvem97b3pve29aa3pvWmt7b1prem9aa3pvWmt6b3pve29aa3pvWmt6b1prem9aa3tve297b3tve29aa1prWmtba1prWmtaa3tvWmtaa1pre29bb1trWmt6b3lveW9Za3tvW2tcaxtj+l5uLW4tsDV9a3tve297b3tve297b3tve297b3tvWmtaa1prWmtaa1prWmtaa1prWmtZa1lrWWtZa1prWmtaa1trW2vYXhJGU0o5Z3tvOWc6ZxljGmdca1trWmt6b1lrem9Za1prOmtbaztn+V6ONUwp8D1ba1tre29aa3tvOmeWUtE5by2yOZ93XGt7b1pre29aa1prWmt7b1prWmtaa1prWmtaa1prWmtaa1prWmtaa1prWmtaa3tvWmtaa1pre29aa1prWmtaa1trOmf4XhpnEkJtLW0tdU47Z1xrfG98b1prWmtaa3pvW2t7b1pre29aa3pvWWtaa1lremtaa3tvW2tba1trXGtaa1trW2tbazpnWms6a1trOmdaazpnWms5Z1prWmtaa1prWmtaa1prOWdaazlnWms5Z1prWmtaazlnWmtaa1prOWdaazlnWms5Z1prOWdaazlnAAB7b3pve296b3tvem97b3tve297b5tze297b3tve297b3tvem97b1pre29aa3tve297b3tve296b3tvWmt7b3pve29aa3tvWmt7b3pve297b3tvWmt7b1pre29aa3tve297b3tve297b3tvWmt7b1pre29aa1prWmt7b3pre297b3xvW297b3pvem9Za3pve297a1xrXGcbY48xTSnROVxrnG97b5xze297b3tve297b3tvWmt7b1pre29aa3tvWmtba1pre29aa3pvWWtaa1lre29Za1prOWdaazpn+GI6Z3tvm3Nba1tvfG9ba51zW2t7b3pvem9Za3pvWmtba1trW2s7ZzNGCiGvNTpnnHN7b3prWmtba9daE0KRMbI1f298b1pre29aa3tvWmt7b1prWmtaa3tvWmt7b1pre29aa1trWmt7b1prW2taa3tvW2tba1pre29aa3tvWmt7b1prem8YY5xvGWMaY681jzFNKbdWXGu/d1trOWebb5tzOGN7b1tre297b3tvem96b1lrem9aa3tvW2t7b1trXGtba1trWmtba1prW2taa1trWmtaazpnWmtaa1prWmtba1prWmtaa3tvWmtaa1prWmtaa1prWmtaa1prWmtaa1prWmtaa1prWmtaa1prOWdaa1prWmsAAFpre29aa3tvem97b3pve296b3tvem97b3tve296b3tvem97b1prem9aa3tvWmt7b3tve29aa3tvWmt6b1prem9aa3tvWmt7b3pve29aa3tvWmt6b1prem9aa3tvWmt7b3pve29aa3tvW2t7b1prW2t7b1prOWdaa1prWms5Z1prWmt7b1prWWtZa3lvemt7b1trfGs8Zxtjby1NKbAxfWt8b3tve297b3tve29aa3tvWmtaa1prWmtaa3tvWmtaa1prW2taa3pvWmt6a1lrWWtZa1lnWWs5ZxhjWms5Z5xzGGNZazlnfG98b1trW2s6a3pvem9Za3pvWmtaazprW2s7Z1trt1avNVNKXGt7a3tvWmtaa1pr+V7zQbI5US0dZ1xre29aa3tvWmt7b1prWmtaa1prWmtaa1prWmtaa1prWmtba1prW2taa1trWmtba1prW2taa3tvWmtaa1prem84Z3pvGGOcb9ha2V6wNS0psTm4VjtnW2s5Z3tvem9YZ3tve29aa3tvem97b1lrWmtaa3pvWmt7b1trW2s7a1trWmtaazlnOWdaa1trOmdaazpnWms6ZzprOmdbazprW2taa1prWmtaa1prWms5Z1prOWdaazlnWms5Z1prOWdaa1prWms5Z1prOWdaazlnWmtaawAAe296b3tvem+bc3tvnHN7b3tve297b3tvm3N7b3tve297b3pve29aa3tvWmt7b3pvm3N7b3tvem97b1pre29aa3tve297b3tve296b3pvWmt7b1pre29aa3tvem97b3pve29aa3tvWmt7b3tve297b3tvWmtaa3pve29aa1prWmtbb3tvnHN6b3pvem96bzlne29ca1xrGmOPMUwpsDV8a5xze297b3tve297b3tvWmt7b1prWmtaa3tve297b1pre29ba3tvWmt7b1premtZa1lnWWecc1prWmtaazpnWmucc3tvWmtba1trOmd8b3tve296b3pvemt7b1prW2taa1trGmNba7ZWXGt8b1premucc1prfG8ZYzNG0jmQMfpefG97b3tvWmt7b1pre29aa3tvWmt7b1pre29aa3tvWmtba1tre29aa1trWmtba1prW2taa3tvW2t7b1pre29aa3prWWdaaxhjfG8aY5dSkDUtKbE5uFZcb51zOWdZa5pve29bb3tvWmt7b3tvem9Za3pvWmt7b1trfG9ba3xvW2t7b1prOWc5Z1prWmtaazlnWms6Z1prOmdba1prW2taa1trWmt7b1pre29aa1prOWdaazlnWms5Z1prOWdaazlnWmtaa1prWmtaa1prWmtaa1prAAB6b3tvem97b3pve297b3tvWmt7b3tvm3N6b3tvem97b1pre29aa3tvWmt7b3tve29aa3tve297b3tve297b3tve297b3tve297b3tve297b1prWmtaa1prWmt7b1prWmt7b3tve297b1pre297b3tvWmt7b3tve29aa1prWmt7b1pre29aa3pvWmtaa1pre29aa1trW2sZY8856ByuNTlne297b3tve297b3tvWmt7b1pre29aa3tvWmt7b1pre29aa3tvWmt7b1prWms5Z1lrOGdaa1prWms5Z3tve29aa1prWmtaa1trWmtba1prWmtaa3pvWmt7b1pre29ba3tvOmc6ZxlnWmtba3xvW2taa1prnHM5Zzpn11qOMUwp+V5aa1prWmt7b1prWmtaa1prOWdaa1pre29aa3tvWmtaa1prWmtaa3tvWmt7b1pre29aa3tve297b1prWmtaa3tvOWdaa1prWms6Zztr+V65WsscLilOLRtjXW9ba1pre29aa3tvWmt7b1prWmtaa1prWWtaa1prWmtaa1prWmtba1prWmtaa1prWmtaa1prWms5Z1prOmdaazpnWmtaa1prWmtaa1prWms5Z1prWmtaa1prWms5Z1prOWdaa1prWms5Z1prWmtaazlnWmtaa1prOWcAAHtve297b3tve297b5tze297b3tvnHN7b5tze297b3tve297b3tve297b3tve297b3tve297b3tve297b3tve297b3tve297b3tve2+cc3tve29aa3tvWmt7b3tve297b5xze297b3tve297b3tve29aa1prnHN7b5xze297b3tve29aa3tvWmt7b1pre297b3tvWmtaaxhjtVZSStZae297b3tve297b3tve297b1pre29aa3tve297b1pre297b3tvWmt7b3tve29aa1prWmtaa1pre29aa1pre2+cc1pre29aa3tvWmt7b1pre29aa3tvWmt7b1pre29aa3tvWmtaazlnWmtaa3tve297b1pre2+cc3tvWmtaa3NOc057b3tvWmt7b1pre29aa3tvWmtaa1pre297b3tvWmt7b1prWmtaa3tvWmt7b1pre29aa1prWmt7b1pre29aa1prWmtaa1prWmtaa1trW2s7Z9le0j3rILE50j1da31vfG9aa3tvWmt7b1pre29aa3tvWmtaa1pre29aa1prWmt7b1prWmtaa1prWmtaa1prWmtaa1prWmtaa1prWmtaa1prWmtaa1prWmtaa1prWmt7b1prWmtaa1prWmtaa1prWmtaa1prWmtaa1prWmtaa1prWmtaawAAem97b3pve297b3tve297b3tvm3N7b5tze297b3pve297b3tvWmt7b1pre29aa3tvWmt7b1pre297b3tve297b1pre29aa3tve297b3tve297b3tvWmt7b1pre29aa3tve297b3tve29aa3tvWmt7bzlne297b5xznHOcc1pre29aa3tvWmt7b1prWmtaa3tve297bzlnOWcYY1pre297b3tve29aa3tve297b1pre29aa3tvWmt7b1pre29aa3tvWmt7b1pre29aa1prOWdaa1pre29aa1prWmt7b3tvWmtaa1prWmtaa1prWmtaa1prWmt7b1prWmtaa1prWmtaa1prWms5Z1prWmtaa1pre285Z3tvWmtaa1prOWc5Z5xzWmt7b1prWmtaa1prWmt7b1prWmtaa3tvWmt7b1prWmtaa1prWmtaa1pre29aa1prWmtaa1prWmtaa1prOWdaazlnWmtZa1prWmt7bztnG2eYVtI9Ti1vLTRKnXNba3tvWmt7b1prWmtaa3tvWmtaa1prWmtaa1prWmtaa1prWmtaa1prWmtaa1prWmtaa1prOWdaazlnWms5Z1prOWdaa1prWms5Z1prWmtaa1prWmtaa1prOWdaazlnWms5Z1prWmtaazlnWmtaa1prOWdaa1prAAB7b3tve297b5tze2+bc3tvm3N7b5xze2+bc3tve297b3tve297b1pre297b3tve297b3tve297b3tve297b3tve297b3tve297b3tvnHN7b3tve297b1prWmtaa3tve2+cc3tve297b3tvWmt7b1prWmt7b5xznHOcc3tve29aa3tve297b1pre29aa3tve297b3tvnHNaa1prWmt7b1pre297b3tve297b3tve29aa3tve297b1pre297b3tvWmt7b3tve29aa3tvWmtaa1prWmt7b3tvWmt7b3tve29aa3tvWmt7b1pre29aa3tvWmt7b3tve29aa3tvWmtaa1pre29aa3tvWmtaa1pre297b3tvWmt7b1prWmtaa3tvWmt7b3tve29aa1prWmt7b3tve29aa3tvWmt7b1pre29aa3tvWmt7b1pre29aa3tvWmtaa1pre29aa3tvWmtaa1prWmtaa1prWWt7b1trW2s7Zxtn+l5vMW4tjzW3Vpxze297b1pre29aa3tvWmt7b1pre29aa1prWmt7b1prWmtaa3tvWmtaa1prWmtaa1prWmtaa1prWmtaa1prWmtaa1prWmtaa1prWmtaa1prWmtaa1prWmtaazlnWmtaa1prOWdaa1prWmtaa1prWmtaa1prWmsAAHpve296b3tvem97b3tve29aa3tve297b1pre29aa3tvWmt7b1pre29aa3tve297b1pre29aa3tvWmt7b3tve29aa3tvWmt7b3tve297b3tvWmt7b1pre29aa1prWmt7b3tve297b3tvWmtaa1pre297b3tve2+cc3tve29aa3tvWmt7b3tve29aa1prWmt7b1pre297b3tvWmtaa3tvnHNaa3tvWmt7b3tve29aa3tvWmt7b1pre29aa3tvWmt7b1pre29aa3tvWmtaa1prWmtaa1prWmtaa1prWmtaa1prWmtaa1pre29aa1prWmt7b3tve29aa3tvWmtaa1prWmtaa3tvWmtaazlnWmtaa3tve29aa1pre285Z1prWmtaa1pre29aa1prWmtaa1pre29aa1prWmt7b1prWmtaa1prWmtaa1pre29aa1prWmtaa1pre29aa3tvWmtaa1pre29aa1prWWtaa1lrWms6a1trG2cbZ1VKbjHRPVNKnHNZa1prWmtaa1prWmtaa1pre29aa1prWmtaa1prWmtaa1prWmtaa1prWmtaa1prWmtaazlnWms5Z1prOWdaazlnWms5Z1prOWdaazlnWmtaa1prOWdaazlnWms5Z1prOWdaazlnWmtaa1prOWdaa1prWms5ZwAAe297b3tve297b3tvm3N7b3tvem+bc3tve29aa3tvem97b3tve297b3tve297b3tve29aa3tve297b3tve297b3tve297b3tve297b3tve297b3tvnHN7b3tvWmt7b3tvnHN7b3tve297b1pre29aa5xze2+cc3tve29aa3tve297b3tve297b3tvWmt7b3tve29aa1pre2+cc3tvnHOcc3tvWmt7b3tve297b3tvWmt7b1pre297b3tvWmt7b3tve29aa3tvWmtaa1pre29aa3tvWmt7b1prWmtaa1prWmtaa1pre297b1prWmt7b3tve297b3tve297b1pre29aa3tve297b1prWmtaa3tve297b1pre297b3tvWmt7b3tve29aa3tvWmt7b1pre297b3tvWmt7b1pre29aa3tvWmt7b1pre29aa3tvWmt7b1pre29aa3tve297b1pre29aa3pvWWtaa1lremtZZ1prW2tca/piG2dUSpZSOmdZa1prWmtaa3tvWmt7b1pre29aa1prWmt7b1prWmtaa3tvWmt7b1pre29aa1prWmtaa1prWms5Z1prWmtaa1prWmtaa1prOWdaa1prWmtaa1prWmtaa1prWmtaa1prWmtaa1prWmtaa1prWmtaa1prWmtaa1prAAB6b3tvem97b3tve297b3tvWmt7b3tve296b3tvWmt7b3tve29aa3tvWmt7b1pre29aa3tvWmt7b1pre29aa3tve297b1pre29aa3tvWmt7b1pre297b5xze297b1pre297b3tvWmt7b1pre29aa3tve297b3tve29aa3tvWmt7b1pre29aa3tvWmt7b1pre297b3tvWmtaa3tvnHNaa1prWmt7b1pre297b3tvWmt7b1pre29aa3tvWmt7b1pre29aa3tvWmtaa1prWmtaa1prWmt7b1prWmtaa1prOWdaa1pre297b3tvWmtaa1pre29aa3tvWmt7b1pre29aa3tvWmt7b1pre29aa3tvWmt7bzlnWmtaa1prWmt7b1pre29aa3tvWmt7b1pre29aa3tvWmt7b1prWmtaa1prWmtaa1pre29aa3tvWmtaa1prWmtaa3tvWmt7b1prWmtaa1prWmtZa1lneW9Za1lrOWdbb1xrW2saZ1tr+F7eezhjem9Za1prWmtaa1prWmtaa1prWmtaa1prWmtaa1prWmtaa1prWmtaa1prWmtaazlnWms5Z1prOWdaazlnWms5Z1prOWdaazlnWms5Z1prOWdaa1prWmtaa1prWmtaa1prWmtaa1prOWdaa1prWms5Z1prOWcAAHtve297b3tvm3N7b5tze297b3tvnHN7b5tze297b3tve297b3tvWmt7b3tve297b3tvWmt7b1pre297b3tve2+cc3tve297b3tve297b1prWmt7b5xze297b1prWmtaa3tve297b1pre29aa3tvWmt7b3tve297b3tve297b1pre297b3tve297b1pre297b1pre2+cc3tve2+cc5xzWmt7b1pre29aa3tve297b1pre297b3tvWmt7b3tve29aa3tvWmt7b1prWmtaa3tvWmt7b3tve29aa3tvWmtaa1prWmt7b3tve297b1pre297b3tvWmt7b1pre29aa3tvWmt7b3tve297b3tve297b1prWmucc3tvOWdaa3tvWms5Z3tvWmt7b3tve297b3tvWmt7b1pre29aa3tvWmt7b1pre29aa3tvWmt7b1prWmtaa1prWmt7b1pre29aa1prWmtaa1lrWWt5b3pvWWt6a3tvW2tcbztrOmd8b/dem3NZa1prWmtaa1pre29aa3tvWmt7b1prWmtaa3tvWmtaa1pre29aa3tvWmtaa1prWms5Z1prOWdaazlnWmtaa1prOWdaa1prWms5Z1prWmtaa1prWmtaa3tvWmt7b1prWmtaa1prWmtaa1prWmtaa1prWmtaawAAe297b3tve296b3tve297b3tve297b3tvem97b3tvm3Naa3tvWmt7b1pre29aa3tve297b1pre297b3tvWmtaa1pre297b3tvWmt7b1pre29aa3tvWmt7b1pre29aa3tvWmtaa1prWmtaa3tve297b3tve297b3tve297b1pre29aa3tvWmt7b1pre29aa3tvWmt7b1pre29aa3tve297b1pre29aa3tvWmt7b1pre29aa1prWmt7b1pre29aa3tvWmt7b1pre29aa1prWmt7b1prWmtaa3tvWmtaa1prWmtaa3tve297b1prWmtaa3tvWmt7b1pre29aa3tvWmt7b1prWmtaa1prWmtaa1pre29aa1prWmtaazlnWmtaa3tvWmt7b3tve29aa3tvWmtaa1pre29aa1prWmtaa1pre29aa3tvWmt7b1prWmtaa1prWmtaa1prWmtaa1prWmtaazlnWmtZa3lrWGtZa1lrWmtaa1trO2dba1prWmtZa3pvWmt7b1prWms5Z1prWmtaa1prWmtaa1prWmtaa1prWmtaa1prWmtaazlnWms5Z1prOWc5ZzlnWms5Z1prWmtaazlnWms5ZzlnOWdaa1prWmtaa1prWmtaa1prWmtaa1prOWdaa1prWms5Z1prWmtaazlnAACbc3tvm3N7b3tve2+cc3tvm3N7b5tze297b3tvm3N7b3tve297b3tve297b3tve297b3tve29aa3tvWmt7b1pre297b3tve297b3tve29aa3tve297b3tve29aa3tvWmt7b1prWmtaa3tve297b3tve297b3tve297b3tve297b3tve297b3tve297b3tve297b1pre297b3tve297b3tve29aa3tve297b3tve29aa3tvWmt7b1pre29aa3tve297b1pre29aa3tvWmt7b1pre29aa3tvWmt7b1pre29aa3tve2+cc3tvWmtaa3tve297b1pre29aa3tvWmt7b1prWmtaa3tvWmt7b1pre29aa1prWmt7b1prWmtaa3tvWmt7b3tve29aa1prWmt7b1pre29aa3tvWmtaa1pre29aa3tvWmt7b1pre29aa3tvWmt7b1pre29aa1prWmtaa1prWmtaa3pvWWt5a1lremtZa3tvW2tba1prW2taa3pvWWt6b1pre29aa1prWmtaa1pre29aa3tvWmt7b1pre29aa1prWmtaa1prWmtaa1prWmtaazlnWmtaa1prWmtaa1prWmtaa1prOWdaazlnWmtaa1prWmtaa1prWmtaa1prWmtaa1prWmtaa1prWmtaa1prWmsAAHpve296b3tve297b3tvm3N7b3tve297b3tve297b3tvWmt7b1pre29aa3tvWmt7b3tve29aa3tvWmt7b1pre29aa3tvWmt7b3tve29aa3tve297b3tve297b3tvWmt7b1pre29aa1prWmt7b1pre297b3tve297b3tve29aa3tve297b1pre29aa3tvWmtaa1pre29aa3tve297b1pre29aa3tvWmt7b3tve29aa3tvWmt7b1pre29aa3tvWmt7b1pre29aa1prWmt7b1pre297b3tvWmtaa1prWmtaa1prWmt7b1pre29aa1prWmt7b1prWmtaa1prWmtaa1prWmtaa1prWmtaa1pre29aa1prWmtaa1prWmtaa1prWmt7b3tve29aa1prWmt7b1prWmtaa1prWmtaa1prWmtaa1prWmt7b1prWmtaa1prWmtaa1pre29aa1prWmtaa1prWmtaa1prWWtZa1lreWtYa1prWmtbazpnWmtaa3prWWtZa1lrWmtaa1prWmtaa1prWmtaa3tvWmtaa1pre29aa1prWmtaazlnWms5Z1prOWdaazlnWms5Z1prWmtaazlnWms5Z1prOWc5ZzlnWms5Z1prWmtaazlnWmtaa1prOWdaa1prWms5Z1prWmtaazlnWms5ZwAAe297b3tvem+bc3tvnHN7b5tze2+bc3tvnHN7b5tze297b3tve297b3tve297b3tvnHN7b3tve2+cc3tvnHN7b3tve297b3tve297b3tvWmt7b3tve297b3tve297b3tve297b3tvWmt7b3tve29aa3tve297b3tve297b3tvWmt7b3tve297b3tvWmt7b1pre29aa3tve297b3tve29aa3tve297b3tve297b3tve297b1pre29aa3tvWmt7b1pre29aa3tvWmt7b1pre297b5xze297b1pre29aa3tvWmtaa1pre29aa3tvWmt7b1pre29aa1prWmt7b1prWmtaa3tvWmt7b1pre29aa3tvWmtaa1prWmtaa1prWmt7b3tve297b3tvWmt7b3tve285Z1prWmtaa1pre29aa1prWmt7b1pre29aa3tvWmt7b1pre29aa3tvWmt7b1prWmtaa1trWmtaa1lreW9Za3lrWWt7b1trW2taa3tvWmtZa1lrWmtaa1prWmt7b1prWmtaa3tvWmt7b1pre29aa3tvWmt7b1prWmtaa1prWmtaa1prWmtaa1prWmtaa1prWmtaa1prWmtaazlnWmtaa1prWmtaa1prWmtaa1prWmtaa1prWmtaa1prWmtaa1prWmtaa1prAABaa3tvWmt7b3pve297b5xzem97b3tvm3N7b3tve297b1pre29aa3tvWmt7b1pre29aa3tve2+cc5xznHN7b3tvWmt7b1pre29aa3tvWmt7b3tve297b3tve297b1pre29aa3tvWmt7b1pre29aa3tvWmt7b1pre29aa3tvWmt7b1pre297b3tvWmtaa1prWmtaa1prWmt7b1pre29aa3tvWmt7b3tve29aa3tvWmt7b1pre29aa3tvWmt7b1pre29aa1prWmtaa1pre29aa3tve297b1prWmtaa1prWmtaa1prWmtaa3tvWmtaa1pre29aa1prWmtaa1prWmtaa1prWmtaa1pre29aa1prWmtaazlnWmtaa1prWmtaa1pre29aa3tvWmtaa1pre29aazlnOWdaa1prWmtaa1prWmtaa1prWmtaa1prWmtaa1pre29aa3tvWmt7b1prWmtaa1trWmtba1premtZa3lrWWtaa1prW2taa1trWmtaa1lrWWs5Z1prWmtaa1prWmtaa1prWmtaa1prWmtaa1prWmtaa1prWmtaa1prOWdaazlnWms5Z1prWmtaa1prWmtaa1prOWdaazlnWms5Z1prWmtaazlnWmtaa1prOWdaa1prWms5Z1prWmtaazlnWmtaa1prOWcAAHtvem97b3tve297b5tze297b3tvnHN7b5xze2+bc3tve297b3tve297b3tve297b3tvWmt7b3tvnHN7b3tvWmt7b1pre297b3tve297b3tve297b3tve297b3tve297b3tve297b3tve29aa3tve297b1pre297b3tve297b3tve297b3tve297b1pre29aa3tvWmt7b3tve29aa3tve297b1pre297b3tvWmt7b1pre29aa3tvWmt7b1pre29aa3tvWmt7b1pre29aa3tve297b1pre29aa1prWmt7b1pre29aa3tvWmt7b1pre29aa3tvWmt7b1pre29aa3tvWmt7b1pre29aa3tvWmt7b1prWmtaa3tvWmtaa1pre297b3tvWmt7b1pre297b1prGGNaa1pre29aa3tvWmt7b1pre29aa3tvWmt7b1pre29aa3tvWmt7b1pre29aa3tvWmtba1tre29aa3pvWWt6b1lre29aa1trW2t7b1premtZa1prWmtaa1prWmtaa1prWmtaa1pre29aa1prWmt7b1prWmtaa1prWmtaa1prWmtaa1prWmtaa1prWmtaa1prWmtaazlnWmtaa1prWmtaa1prWmtaa1prWmtaa1prWmtaa1prWmtaa1prWmtaa1prWmtaawAAem97b1pre296b3tvem97b3pve297b5tze2+bc3pve29aa3tvWmt7b1pre29aa3tvWmt7b1pre297b3tve297b1pre29aa3tve297b1pre29aa3tvWmt7b1pre29aa1prWmt7b3tve29aa3tvWmt7b1pre29aa3tvWmt7b1pre29aa3tvWmt7b1pre29aa1prWmt7b1pre29aa3tvWmt7b1pre29aa3tvWmt7b1prWmtaa3tvWmt7b1pre29aa1prWmt7b1prWmtaa3tvWmt7b1prWms5Z1prWmtaa1prWmtaa3tvWmtaa1prWmtaa1prWmt7b1prWmtaa3tvWmtaa1pre29aa1prWmtaa1prWmtaa1prWmtaa1prWmtaa3tvWmt7b1prWmtaa3tvOWcYY1prWmtaa3tve297b1pre29aa1prWmtaa1pre29aa3tvWmt7b1pre29aa3tvWmtba1trXGtaa1prWWt5b1lrWmtaa1trOmtba1prem9Za1lrOWdaazlnWms5Z1prWmtaa1prWmtaa1prWmtaa1prWmtaa1prOWdaazlnWms5Z1prWmtaa1prWmtaa1prOWdaazlnWms5Z1prOWdaazlnWms5Z1prOWdaazlnWms5Z1prWmtaazlnWmtaa1prOWdaazlnAACbc3tve296b3tve297b3tve297b5tze2+cc3tve296b3tve297b3tve297b3tve2+cc3tve29aa3tve2+cc3tve29aa3tve297b3tve297b3tve297b3tve29aa3tvWmt7b3tvnHN7b3tvWmt7b1pre29aa3tve297b3tve297b3tvWmt7b1pre297b3tvWmt7b1pre29aa3tve297b1pre29aa3tvWmt7b1pre29aa3tve297b1pre29aa3tvWmt7b3tve29aa3tvWmt7b1prWmtaa1prWmt7b1prWmtaa3tvWmt7b1pre29aa1prOWd7b1pre29aa3tvWmt7b1pre29aa3tvWmt7b1prWmtaa3tvWmt7b1prWmtaa1prWmt7b1prWms5Z3tve29aaxhjWmtaa3tve2+cc3tve29aa3tvWmt7b1pre29aa3tvWmt7b3tve29aa3tvWmt7b1prW29ba3tvWmt6b1lrem9Za1prWmtba1tre296b3pvWWtaa1prWms5Z1prWmtaa1prWmtaa1prWmtaa1prWmtaa3tvWmtaa1prWmtaa1prWmtaa1prWmtaa3tvWmtaa1prWms5Z1prWmtaa1prWmtaa1prWmtaa1prWmtaa1prWmtaa1prWmtaa1prWmtaa1prWmsAAHtve297b3tvWmt7b3tve297b3tve297b3tve297b5xzWmt7b1pre29aa3tvWmt7b1pre297b3tve297b3tve29aa3tve297b3tve297b3tvWmt7b1pre29aa1prWmtaa1pre297b3tve297b1pre297b3tvWmt7b1pre297b3tvWmtaa3tve297b3tvWmtaa1prWmtaa3tvWmt7b1pre29aa1prWmtaa1prWmtaa1prWmtaa1pre29aa3tvWmt7b1prWmtaa3tvWmt7b1pre285Z1prWmt7b1prWmtaa1prWmtaa1pre29aa1prWmtaa1prWmtaa1prWmtaa1prWmtaa1prWmt7b1prWmtaa1prWmtaa1prWmtaa1prWmt7b1prWmtaa1prWmtaa1pre29aa3tvWmt7b1prWmtaa1prWmtaa1pre29aa3tvWmt7b1pre29aa3tvWmtaa1prWmtaa1trW2t7b1prem9aa1prWmtaazlnWmtaa3tvWmtaa1prWmtaa1prWmtaa1prWmtaa1prWmtaazlnWms5Z1prWmtaa1prWmtaa1prWmtaazlnWmtaa3tvOWdaazlnWms5Z1prOWdaazlnOWc5Z1prOWdaazlnWms5Z1prOWdaa1prWmtaa1prOWdaa1prWmtaawAAe297b3tve297b3tve297b3tve2+cc3tvnHN7b5xze297b1pre29aa3tvWmt7b3tve297b3tve297b3tve297b3tve297b3tve297b3tve297b3tve297b3tvWmt7b1pre297b3tve297b3tve29aa3tve297b3tve297b3tve29aa1pre297b3tve297b1pre29aa3tve297b3tve297b3tvWmt7b1pre29aa3tvWmt7b1pre29aa3tvWmt7b3tve29aa3tve297b1pre29aa1prWmt7b1prWmtaa3tvWmt7b1pre29aa3tvWmt7b1pre29aa3tvWmtaa1prWmtaa3tvWmt7b1pre29aa3tvWmt7b1pre29aa1prWmt7b1pre29aa3tvWmtaa1pre29aa3tve297b3tve29aa3tvWmtaa1pre29aa3tvWmt7b3tve29aa3tvWmt7b1pre29aa3tvWmt7b3tve29aa3tvWmtaa1prWmtaa3tvWmt7b1prWmtaa1prWmtaa1prWmtaa1prWmtaa1prWmtaa1prWmtaa1prWmtaa1prWmtaa1prWmtaa3tvWmtaazlnWmtaa1prWmtaazlnWms5Z1prOWdaa1prWmtaa1prWmtaa1prWmtaa1prWmtaa1prWmtaa1prAABaa3tvWmt7b3tve297b3tve297b3tve297b3tve297b3tve29aa3tvWmt7b1pre29aa3tvWmt7b1pre29aa3tve297b1pre297b3tvWmt7b1pre29aa3tve297b1pre29aa3tvWmt7b1pre29aa3tve297b1pre29aa3tvWmt7b1pre29aa3tve297b1prWmtaa3tvWmt7b1pre29aa3tvWmtaa1prWmtaa1prWmtaa1pre29aa3tvWmt7b1pre29aa3tvWmt7b1pre29aa1prWmtaa1prWmtaa1prWmtaa1prWmtaa1prWmt7b1prWmtaa3tvWmtaa1prWmtaa1prWmtaa1prWmtaa3tvWmt7b1prWmtaa1prWmtaa1prWmtaa1prWmtaa1prWmtaa1prWmt7b1pre29aa3tvWmt7b1prWmtaa1prWmt7b1pre29aa3tvWmtaa1prWmtaa1prWmt7b1pre29aa3tvWmtaa1prWms5Z1prWmt7b1prWmtaa1prWmtaa1prWmtaa1prWmtaazlnWms5Z1prOWdaa1prWmtaa1prWmtaa1prWms5Z1prWmtaa1prWms5Z1prWmtaazlnWms5Z1prOWdaazlnWms5Z1prOWdaazlnWmtaa1prOWdaa1prWmtaa1prWmsAAHtve297b3tve297b5xze297b3tve297b5xze2+cc3tve297b3tvWmt7b3tve297b3tvWmt7b1pre297b3tve297b3tve297b3tve297b3tve297b3tve2+cc3tve297b3tvWmt7b1pre297b3tvWmt7b3tve297b3tve297b3tve29aa3tve297b3tve29aa3tvWmt7b1pre297b3tvWmt7b1pre29aa3tvWmt7b1pre29aa3tvWmt7b1pre29aa3tvWmt7b1pre29aa3tvWmt7b1pre29aa3tvWmtaa1pre29aa3tvWmt7b1pre29aa3tvWmt7b1pre29aa1prWmtaa1prWmtaa3tvWmt7b1pre29aa1prWmt7b1pre29aa3tvWmtaa1pre29aa3tvWmt7b1pre29aa3tve297b3tve29aa3tvWmt7b1pre29aa3tvWmt7b1pre29aa3tvWmt7b1pre29aa3tvWmtaa1pre29aa3tvWmt7b1prWmtaa1prWmtaa1prWmtaa1prWmt7b1prWmtaa1prWmtaa1prWmtaa1prWmtaa1prWmtaa1prWmtaa1prWmtaa1prWmtaa1prWms5Z1prWmtaa1prWmtaa1prWmtaa1prWmtaa1prWmtaa1prWmtaa1prWmtaawAAWmt7b1pre297b3tve2+cc1pre297b3tve297b3tve297b3tve297b1pre29aa3tvWmt7b1pre29aa3tvWmt7b3tve297b3tvWmt7b1pre29aa3tvWmt7b3tvnHN7b3tvWmtaa1pre29aa3tvWmt7b1pre29aa3tvWmt7b1pre29aa3tvWmt7b1pre29aa3tvWmtaa1pre29aa3tvWmtaa1prWmtaa1prWmtaa1prWmtaa3tvWmt7b1pre29aa3tvWmtaa1pre29aa3tvWmt7b1pre29aa3tvWmtaa1pre29aa1prWmt7b1prWmtaa1prWmt7b1pre29aa1prWmtaa1prWmtaa1prWmtaa1pre29aa1prWmtaa1prWmtaa1prWmtaa1prWmtaa1prWmt7bzlnWmtaa1prWmt7b1pre29aa1prWmtaa1prWmtaa3tvWmtaa1prWmtaa1prWmt7b1prWmtaa3tvWmtaa1prWmtaa1prWmtaa1prWmtaa1prWmtaa1prWmtaa1prWmtaa1prWmtaa1prOWdaazlnWmtaa1prWmtaa1prWmtaa1prOWdaazlnWms5Z1prWmtaazlnWms5Z1prOWdaazlnWms5Z1prOWdaazlnWms5Z1prOWdaazlnWms5Z1prWmtaazlnAAB7b3tve297b3tve2+cc3tve297b3tve297b3tvnHN7b5xze297b3tve29aa3tve297b1pre297b3tve297b3tve297b3tve297b1pre29aa3tvWmt7b3tvnHN7b5xze297b1pre29aa3tvWmt7b3tve297b3tve297b3tve297b3tvWmt7b3tve29aa3tvWmt7b1pre29aa3tvWmt7b1prWmtaa3tvWmtaa1pre29aa3tvWmt7b1pre29aa3tvWmt7b1pre297b3tvWmt7b1pre297b3tvWmtaa1pre297b3tvWmt7b1pre29aa3tvWmt7b1pre29aa3tvWmt7b1pre29aa3tvWmt7b1pre29aa3tvWmtaa1prWmtaa3tvWmtaa1prWmtaa1prWmt7b1prWmtaa1prWmt7b1pre29aa3tvWmt7b1pre29aa3tvWmt7b1pre29aa3tvWmt7b1pre29aa3tvWmtaa1pre29aa3tvWmt7b1prWmtaa1prWmtaa1prWmtaa1prWmtaa1prWmtaa1prWmtaa1prWmtaa1prWmtaa1prWmtaa1prWmtaa1prWms5Z1prWmtaa1prWmtaa1prWmtaa1prWmtaa1prWmtaa1prWmtaa1prWmtaa1prWmtaa1prWmtaa1prWmsAAHtve29aa3tve297b3tve297b3tvWmt7b3tve297b3tve297b3tve29aa3tvWmt7b1pre29aa3tve297b3tve297b3tvWmt7b1pre29aa1prWmtaa1pre297b5xze297b3tve29aa3tvWmt7b1pre29aa3tvWmt7b3tve29aa3tvWmt7b1pre29aa3tvWmt7b1pre29aa3tvWmtaa1prWmtaa1prWmtaa1prWmtaa1prWmt7b1pre29aa3tvWmtaa1pre29aa3tvWmt7b1prWmt7b3tvWmtaa1prWmtaa3tvWmtaa1prWmtaa3tvWmtaa1pre29aa3tvWmt7b1prWmtaa3tvWmtaa1prWmtaa1prWmtaa1prWmtaa1prWmtaa1prWms5Z1prWmtaa1pre29aa1prWmtaa1pre29aa3tvWmtaa1prWmtaa1prWmtaa1prWmtaa1prWmt7b1pre29aa3tvWmtaa1prWmtaa1prWmtaa1prWmtaa1prWmtaa1prWmtaa1prWmtaa1prWmtaa1prOWdaazlnWms5Z1prWmtaa1prWmtaa1prWmtaa1prWms5ZzlnWmtaa1prWms5Z1prOWdaazlnWmtaa1prOWdaazlnWms5Z1prOWdaa1prWms5Z1prOWdaazlnWms5ZwAAe297b3tve297b3tve297b3tve297b3tve297b3tve2+cc3tve297b3tve297b3tve297b3tve297b3tve297b3tve297b3tve29aa3tvWmt7b1prWmtaa5xznHOcc3tvnHN7b3tvWmt7b3tve297b3tve297b3tve297b3tvWmt7b3tve29aa3tve297b1pre29aa3tvWmt7b1prWmtaa1prWmtaa1prWmtaa1prWmt7b3tve29aa3tvWmt7b1pre29aa3tvWmt7b1pre29aa3tve297b1prWmtaa3tvWmt7b1pre29aa3tvWmt7b1pre297b3tvWmt7b1pre29aa3tve297b1pre29aa1prWmt7b1prWmtaa1prWmtaa1prWmtaa1prWmtaa1pre29aa3tvWmt7b1pre29aa3tvWmt7b1pre29aa3tvWmtaa1pre29aa3tvWmt7b1pre29aa3tvWmt7b1prWmtaa1prWmtaa1pre29aa1prWmtaa1prWmtaa1prWmtaa1prWmtaa3tvWmtaa1prWmtaa1prWmtaa1prWmtaa1prWmtaa1pre29aa1prOWdaa1pre29aa1prWmtaazlnWmtaa1prWmtaa1prWmtaa1prWmtaa1prWmtaa1prOWdaazlnWms5Z1prAABaa3tve297b3tve297b3tvWmt7b1pre29aa3tve297b3tve297b3tve297b1pre297b3tve297b3tvnHN7b3tve297b3tve29aa3tvWmt7b3tve29aa3tve2+cc3tve297b3tve297b1pre29aa3tvWmt7b3tve297b3tve297b1pre29aa3tvWmt7b3tve29aa3tvWmt7b1prWmtaa3tvWmtaazlne29aa1prWmt7b1prWmtaa1prWmtaa1pre29aa3tve297b1pre29aa3tvWmt7b1pre29aa3tvWmt7b1pre29aa3tvWmtaa1pre29aa3tvWmt7b1prWmtaa3tvWmt7b1pre29aa1prWmt7b1prWmtaa1prWmtaa1prWmtaa1prWmtaa1prWmtaa3tvWmtaa1prWmtaa1prWmtaa1prWmtaa1prWmtaa1prWmtaa1prWmtaazlnWmtaa1prWmtaazlnWms5Z1prWmt7bzlnWmtaa1prWmtaa1prWmtaa1prWmtaa1prWmtaa1prWmtaazlnWms5Z1prWmtaa1prWms5Z1prOWdaazlnWms5Z1prOWdaazlnWmtaa1prOWdaa1prWms5Z1prWmtaazlnWms5Z1prOWdaazlnWms5Z1prOWdaazlnWms5Z1prOWcAAHtve2+cc3tvnHN7b5xze297b3tve297b3tve2+cc3tve297b5xze297b3tve29aa3tve297b3tvnHN7b5xze297b3tve297b3tvWmt7b3tve297b3tve2+cc3tvnHN7b5xze2+cc3tve297b3tve297b1pre297b3tve297b3tve297b3tve297b3tve297b3tvWmt7b1prWmtaa3tvWmt7b1prWmtaa3tvWmtaa3tvWmtaa3tvWmt7b1pre29aa3tvWmt7b3tve297b3tve297b1pre29aa3tvWmt7b1pre29aa3tvWmt7b1pre29aa3tvWmt7b1pre29aa3tvWmt7b1pre29aa3tvWmt7b1prWmtaa3tvWmtaa1pre29aa1prWmtaa1prWmtaa3tvWmtaa1pre29aa3tvWmt7b1prWmtaa3tvWmtaa1pre29aa1prWmtaa1prWmtaa3tvWmtaa1prWmtaa1prWmt7b1prWmtaa3tvWmt7b1pre29aa3tvWmt7b1prWmtaa3tvWmt7b1prWmtaa1prWmt7b1prWmtaa1prWmtaazlnWmtaa1prOWdaa1prWmtaa1prWmtaa1prWmtaa1prWmtaa1prWmtaa1prWmtaazlnWms5Z1prOWdaazlnWms5Z1prOWdaawAAe297b3tve297b5xze297b3tve297b3tve297b3tvnHN7b3tve297b3tve29aa3tve297b1pre297b3tve297b3tve29aa3tvWmt7b1pre297b3tvWmt7b3tve297b3tve297b3tve297b3tvWmt7b1pre29aa3tvWmt7b1pre29aa3tvWmt7b1pre29aa3tvWmt7b1prWmtaa1prWmtaa1prWms5Z1prWmtaa1pre29aa1prWmtaa1pre29aa1prWmt7b1pre29aa3tvWmt7b1pre29aa1prWmt7b1prWmtaa3tvWmtaa1pre29aa3tvWmt7b1prWmtaa3tvWmt7b1pre29aa1prWmtaa1prWmtaa1prWmtaa1prWmtaa1prWmtaa1prWmtaa1prWmtaa1prWmtaa1prWmtaa1prWmtaa1prWmtaa1prWmtaa1prWmtaa1prWmtaa1prWmtaa1prWms5Z1prWmtaa1prWmtaa1prWmtaa1prWmtaa1prWmtaa1prWmtaa1prWmtaa1prWmtaa1prOWdaa1prWmtaa1prOWdaazlnWms5Z1prOWdaazlnWms5Z1prOWdaa1prWms5Z1prWmtaazlnWmtaa1prOWdaazlnWms5Z1prOWdaazlnWms5Z1prOWc5ZzlnAAB7b3tve297b5xze297b3tvnHN7b3tve297b3tve297b3tve297b3tve297b3tvWmt7b3tve29aa3tve297b1pre297b3tve297b3tve297b3tve297b3tve297b3tve297b3tve297b3tve297b1pre29aa3tvWmt7b1pre29aa3tve297b1pre297b3tvWmt7b1pre29aa3tvWmtaa1pre29aa1prWmt7b1prWmtaa1prWmtaa1pre29aa3tvWmt7b1pre29aa3tve297b1pre29aa3tvWmt7b1pre29aa3tvWmt7b1pre29aa3tvWmt7b1pre29aa3tvWmt7b1pre297b3tvWmt7b1prWmtaa1prWmtaa1pre29aa3tvWmtaa1prWmtaa1prWmtaa1prWmtaa3tvWmt7b1prWmtaa1prWmtaa1pre29aa3tvWmtaa1prWmtaa3tvWmtaa1prWmtaa1prWmtaa1prWmtaa1prWmtaa1pre29aa3tvWmtaa1prWmtaa1prWmt7b1pre29aa1prWmtaa1pre29aa1prWmtaazlnWms5Z1prOWdaazlnWms5Z1prWmtaa1prWmtaa1prWmtaa1prWmtaa1prWmtaa1prWmtaa1prOWdaa1prWms5Z1prOWdaazlnWmsAAFpre29aa3tve297b3tve297b3tvWmt7b1pre29aa3tvWmt7b3tve297b3tvWmt7b3tve29aa3tvWmt7b1pre29aa3tvWmt7b1pre297b3tvWmt7b3tve29aa3tve297b1pre29aa3tvWmt7b1pre29aa3tvWmt7b1prWmtaa3tvWmt7b1pre29aa3tvWmt7b1pre29aa3tvWmt7b1prWmtaa1prWmtaa1prWmtaa1prWmtaa1prWmtaa1prWmtaa1prWmtaa3tvWmt7b1prWmtaa1prWmtaa1prWmtaa1prWmtaa1prWmtaa1prWmt7b1pre29aa3tvWmt7b1pre29aa3tvWmtaa1prWmtaa1prWmtaa1prWmtaa1prWmtaa1prWmtaa1prWmtaa1prWmtaa1prWmtaa1prWmtaa1prWmtaa1prWmtaa1prWmtaa1prWmtaa3tvWmtaa1prWms5Z1prWmtaa1prWmtaa1prOWdaa1prWmtaa1prWmtaazlnWmtaa1prOWdaa1pre29aa1prWmtaa1prWmtaa1prWmtaazlnWms5Z1prOWdaazlnWms5Z1prOWdaa1prWms5Z1prWmtaazlnWmtaa1prOWdaazlnWms5Z1prOWdaazlnWms5Z1prOWdaazlnWms5ZwAAe29aa3tve297b3tve297b3tve297b1pre29aa3tve297b3tve297b3tve297b3tve297b3tve297b3tve29aa3tvWmt7b3tve297b3tve297b3tvnHN7b3tvWmt7b3tve297b3tve297b1pre297b3tvWmt7b1pre29aa3tvWmt7b3tve297b3tvWmt7b1pre297b3tve297b3tve29aa1prWmt7b1prWmtaa3tvWmtaa1prWmtaa1prWmt7b1prWmtaa3tvWmt7b1pre29aa3tvWmt7b1pre29aa3tvWmtaa1prWmtaa1prWmt7b3tve29aa3tvWmt7b1pre297b3tvWmt7b1prWmtaa1prWmtaa1pre29aa1prWmt7b1prWmtaa1prWmtaa1prWmtaa1prWmt7b1pre29aa3tvWmtaa1pre29aa1prWmt7b1prWmtaa3tvWmt7b1pre29aa1prWmtaa1prWmtaa3tvWmtaa1pre29aa3tvWmt7b1prWmtaa3tvWmtaa1pre297b1prWmt7b1prWmtaa3tvWmtaa1prWmtaa1prOWdaa1prWms5Z1prWmtaa1prWmtaa1prWmtaa1prWmtaa1prWmtaa1prWmtaa1prOWdaazlnWms5Z1prOWdaazlnWms5Z1prAABaa3tvWmt7b3tve29aa3tve297b1pre29aa3tvWmt7b1pre297b3tve297b1pre297b3tvWmt7b3tve29aa3tvWmt7b1pre297b3tvWmt7b1pre297b3tvWmt7b1pre29aa3tvWmt7b1pre29aa3tvWmt7b1pre29aa3tvWmtaa3tve29aa3tvWmtaa1prWmtaa3tvWmt7b3tve29aa1prWmt7b1prWmtaa3tvWmtaa1prWmtaa1prWmtaa1prWmtaa1prWmtaa1prWmtaa1prWmtaa1prWmtaa1prWmtaa1prWmtaa1prWmt7b1pre29aa3tvWmtaa1pre29aa3tvWmt7b1prWmtaa1prOWdaa1prWmtaa1prWmtaa1prWmtaa1prWmtaa1prWms5Z1prWmtaa1prWmtaa1prWmtaa1prWmtaa1prWmtaa1prWmtaa1prWmt7b1pre29aa1prOWdaa1prWmtaa1prWmtaa1prWmtaa1prWmtaa1prWmtaa3tvWmtaazlnWmtaa3tvWmtaa1prWmtaa1prOWdaa1prWms5Z1prOWdaazlnWms5Z1prOWdaazlnWms5Z1prWmtaazlnWmtaa1prOWdaa1prWms5Z1prOWdaazlnWms5Z1prOWdaazlnWms5ZzlnOWcAAHtve297b3tvnHN7b3tve2+cc3tve297b3tve297b3tve297b3tve2+cc3tve297b5xze297b3tve297b3tvWmt7b3tve297b3tve297b3tve297b5xze297b1pre297b3tve297b1pre297b3tve297b3tve297b3tvWmt7b1pre297b3tvWmt7b1prWmtaa3tvWmt7b3tve29aa1prWmtaa3tve29aa1prWmt7bzlnWmtaa1prWmtaa1prWmtaa1prWmt7b1pre29aa1prWmt7b1prWmtaa3tvWmtaa1prWmtaa1prWmt7b1pre29aa3tvWmt7b1pre29aa3tve297b3tve29aa1prWmtaa1prWmtaa1prWmt7b1pre29aa1prWmtaa1prWmtaa1prOWdaa1pre29aa3tvWmtaa1prWmtaa1prWmt7b1pre29aa1prWmt7b1pre29aa1prWmtaa1prWmtaa3tvWmtaa1prWmtaa1prWmt7b1pre29aa1prWmt7b1prWms5Z1prWmtaa1prWmtaa1prWmtaazlnWmtaa1prOWdaazlnWms5Z1prOWdaazlnWmtaa1prWmtaa1prWmtaa1prWmtaa1prWmtaa1prWmtaa1prWms5Z1prWmtaazlnWms5Z1prOWdaawAARgAAABQAAAAIAAAAR0RJQwMAAAAiAAAADAAAAP////8iAAAADAAAAP////8lAAAADAAAAA0AAIAoAAAADAAAAAQAAAAiAAAADAAAAP////8iAAAADAAAAP7///8nAAAAGAAAAAQAAAAAAAAA////AAAAAAAlAAAADAAAAAQAAABMAAAAZAAAAAAAAAB8AAAAqAEAAMwAAAAAAAAAfAAAAKkBAABRAAAAIQDwAAAAAAAAAAAAAACAPwAAAAAAAAAAAACAPwAAAAAAAAAAAAAAAAAAAAAAAAAAAAAAAAAAAAAAAAAAJQAAAAwAAAAAAACAKAAAAAwAAAAEAAAAJwAAABgAAAAEAAAAAAAAAP///wAAAAAAJQAAAAwAAAAEAAAATAAAAGQAAAAOAAAAfAAAAD8BAACSAAAADgAAAHwAAAAyAQAAFwAAACEA8AAAAAAAAAAAAAAAgD8AAAAAAAAAAAAAgD8AAAAAAAAAAAAAAAAAAAAAAAAAAAAAAAAAAAAAAAAAACUAAAAMAAAAAAAAgCgAAAAMAAAABAAAACUAAAAMAAAAAQAAABgAAAAMAAAAAAAAABIAAAAMAAAAAQAAAB4AAAAYAAAADgAAAHwAAABAAQAAkwAAACUAAAAMAAAAAQAAAFQAAACoAAAADwAAAHwAAACcAAAAkgAAAAEAAABVVY9BJrSPQQ8AAAB8AAAADwAAAEwAAAAAAAAAAAAAAAAAAAD//////////2wAAABIAHUAbQBiAGUAcgB0AG8AIABDAG8AbABtAGEAbgAAAAwAAAAKAAAADwAAAAoAAAAJAAAABgAAAAYAAAAKAAAABQAAAAsAAAAKAAAABAAAAA8AAAAJAAAACgAAAEsAAABAAAAAMAAAAAUAAAAgAAAAAQAAAAEAAAAQAAAAAAAAAAAAAACpAQAA0QAAAAAAAAAAAAAAqQEAANEAAAAlAAAADAAAAAIAAAAnAAAAGAAAAAQAAAAAAAAA////AAAAAAAlAAAADAAAAAQAAABMAAAAZAAAAA4AAACZAAAAPwEAAK8AAAAOAAAAmQAAADIBAAAXAAAAIQDwAAAAAAAAAAAAAACAPwAAAAAAAAAAAACAPwAAAAAAAAAAAAAAAAAAAAAAAAAAAAAAAAAAAAAAAAAAJQAAAAwAAAAAAACAKAAAAAwAAAAEAAAAJQAAAAwAAAABAAAAGAAAAAwAAAAAAAAAEgAAAAwAAAABAAAAHgAAABgAAAAOAAAAmQAAAEABAACwAAAAJQAAAAwAAAABAAAAVAAAAKAAAAAPAAAAmQAAAH4AAACvAAAAAQAAAFVVj0EmtI9BDwAAAJkAAAAOAAAATAAAAAAAAAAAAAAAAAAAAP//////////aAAAAFYAaQBjAGUAcAByAGUAcwBpAGQAZQBuAHQAZQALAAAABAAAAAgAAAAJAAAACgAAAAYAAAAJAAAABwAAAAQAAAAKAAAACQAAAAoAAAAGAAAACQAAAEsAAABAAAAAMAAAAAUAAAAgAAAAAQAAAAEAAAAQAAAAAAAAAAAAAACpAQAA0QAAAAAAAAAAAAAAqQEAANEAAAAlAAAADAAAAAIAAAAnAAAAGAAAAAQAAAAAAAAA////AAAAAAAlAAAADAAAAAQAAABMAAAAZAAAAA4AAAC2AAAAmgEAAMwAAAAOAAAAtgAAAI0BAAAXAAAAIQDwAAAAAAAAAAAAAACAPwAAAAAAAAAAAACAPwAAAAAAAAAAAAAAAAAAAAAAAAAAAAAAAAAAAAAAAAAAJQAAAAwAAAAAAACAKAAAAAwAAAAEAAAAJQAAAAwAAAABAAAAGAAAAAwAAAAAAAAAEgAAAAwAAAABAAAAFgAAAAwAAAAAAAAAVAAAAFABAAAPAAAAtgAAAJkBAADMAAAAAQAAAFVVj0EmtI9BDwAAALYAAAArAAAATAAAAAQAAAAOAAAAtgAAAJsBAADNAAAApAAAAEYAaQByAG0AYQBkAG8AIABwAG8AcgA6ACAASABVAE0AQgBFAFIAVABPACAAQQBSAEkARQBMACAAQwBPAEwATQBBAE4AIABDAEEAUwBUAEkATABMAE8AAAAIAAAABAAAAAYAAAAPAAAACQAAAAoAAAAKAAAABQAAAAoAAAAKAAAABgAAAAQAAAAFAAAADAAAAAwAAAAPAAAACgAAAAkAAAAKAAAACQAAAA0AAAAFAAAACwAAAAoAAAAFAAAACQAAAAgAAAAFAAAACwAAAA0AAAAIAAAADwAAAAsAAAANAAAABQAAAAsAAAALAAAACQAAAAkAAAAFAAAACAAAAAgAAAANAAAAFgAAAAwAAAAAAAAAJQAAAAwAAAACAAAADgAAABQAAAAAAAAAEAAAABQAAAA=</Object>
</Signature>
</file>

<file path=_xmlsignatures/sig1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EreJZhbe5GAC7o+6R5REJDM1zdfFPqYM1GNrTpA/CYs=</DigestValue>
    </Reference>
    <Reference Type="http://www.w3.org/2000/09/xmldsig#Object" URI="#idOfficeObject">
      <DigestMethod Algorithm="http://www.w3.org/2001/04/xmlenc#sha256"/>
      <DigestValue>Rjpi3wGjsZQZupt8SAXZathPSWWfv/TG38d9g1+UIME=</DigestValue>
    </Reference>
    <Reference Type="http://uri.etsi.org/01903#SignedProperties" URI="#idSignedProperties">
      <Transforms>
        <Transform Algorithm="http://www.w3.org/TR/2001/REC-xml-c14n-20010315"/>
      </Transforms>
      <DigestMethod Algorithm="http://www.w3.org/2001/04/xmlenc#sha256"/>
      <DigestValue>jOluPRnGNCWzEhcwldgRpE7kyMM+15wBntiIrLjpYI0=</DigestValue>
    </Reference>
    <Reference Type="http://www.w3.org/2000/09/xmldsig#Object" URI="#idValidSigLnImg">
      <DigestMethod Algorithm="http://www.w3.org/2001/04/xmlenc#sha256"/>
      <DigestValue>Wvo8sa5rgeSZ0RYsH8Dyu5bkH4lknXhjf8ftriONvhw=</DigestValue>
    </Reference>
    <Reference Type="http://www.w3.org/2000/09/xmldsig#Object" URI="#idInvalidSigLnImg">
      <DigestMethod Algorithm="http://www.w3.org/2001/04/xmlenc#sha256"/>
      <DigestValue>A3TY9gmJPkr2cQTsyGN0NkQlg5dU2RKYrGByPS0CSEc=</DigestValue>
    </Reference>
  </SignedInfo>
  <SignatureValue>Vp0yu0G37cKYDoktFD5R4zhnpOYZkXZixMCHv0ZBLS/9sVY160FZfCE0H+55ww9EhEMxZIrrMWay
JRuYYPM575HyQS30k/EBhJdnJdcyzVvWlP6T8sXeFIbrm+9jT9IN1sN3Sf0wIPMgqEny0fyiOJo7
Arr/5xdl4CEk4M07OoCAPVEFISKOZRIgqTHQcCtWvfudExokL3dHwIgp6ccj4cfoDDnzQ+/Bu/wD
y2G8RQ2CXzRWC3j6YGzZvY4cBXsHXvhP74VccnMf5YUM1NV5X0cNBvDRuMTJ0Ak99GdkOTy9uZuX
fGwKpsxMuMjt6udERaMEyn+mxU+pjCyrNVltbQ==</SignatureValue>
  <KeyInfo>
    <X509Data>
      <X509Certificate>MIIKpjCCCI6gAwIBAgIIWArCh0TnJoIwDQYJKoZIhvcNAQELBQAwgYcxFjAUBgNVBAMMDUNPTkZJUk1BIFMuQS4xFzAVBgNVBAUTDlJVQyA4MDExMzgyMy0wMTgwNgYDVQQLDC9QcmVzdGFkb3IgQ3VhbGlmaWNhZG8gZGUgU2VydmljaW9zIGRlIENvbmZpYW56YTENMAsGA1UECgwESUNQUDELMAkGA1UEBhMCUFkwHhcNMjYwNDIxMTgwMjAwWhcNMjgwNDIwMTgwMjAwWjCBwTELMAkGA1UEBhMCUFkxNTAzBgNVBAoMLENFUlRJRklDQURPIENVQUxJRklDQURPIERFIEZJUk1BIEVMRUNUUk9OSUNBMQswCQYDVQQLDAJGMzEYMBYGA1UEBAwPQ09MTUFOIENBU1RJTExPMRcwFQYDVQQqDA5IVU1CRVJUTyBBUklFTDESMBAGA1UEBRMJQ0kyMzU3MDcxMScwJQYDVQQDDB5IVU1CRVJUTyBBUklFTCBDT0xNQU4gQ0FTVElMTE8wggEiMA0GCSqGSIb3DQEBAQUAA4IBDwAwggEKAoIBAQDJoouSV+NXB8EKsCdl/KAZqOr0ytK4GWXSJUVFS2tiHZziCA4LbnIOVf9DrhKraJXjlzEWmcWzvXM7Rsu/wchCw/MVAkAjNx1y7Kq9OGyXwgOEYp4joHKzeFo6mxPQ9lgZoSNVWw2DfmRQkw7Rtr4JbtN+S+S7BI2MKZMelxRwQaUUMiOgBh/EkEKqld+VTtHDcvGrNYu+B0luNoXIvN4ZCVKVGWIO/p9I1IBxtFL7h2aJSXUKESHuCpBeO+JrlXo0YTS+9Hcmino0owFqeqajfGcBcac/zGuj5a1NI3PAyZVsWwFbOP49rd6zXbHE2Nl+N3ooXQ3nYwJmsrwLVOQhAgMBAAGjggXYMIIF1DAMBgNVHRMBAf8EAjAAMB8GA1UdIwQYMBaAFDj6s5eLGoZm2MDIh5/0YA14tjhKMIG/BggrBgEFBQcBAQSBsjCBrzA9BggrBgEFBQcwAoYxaHR0cHM6Ly93d3cuY29uZmlybWEuY29tLnB5L3JlcG9zaXRvcmlvLWNvbmZpcm1hLzA2BggrBgEFBQcwAYYqaHR0cDovL29jc3AxLnVhbmF0YWNhLmNvbS9wdWJsaWMvcGtpL29jc3AvMDYGCCsGAQUFBzABhipodHRwOi8vb2NzcDIudWFuYXRhY2EuY29tL3B1YmxpYy9wa2kvb2NzcC8waAYDVR0RBGEwX4EQSFVNQ09MQEdNQUlMLkNPTaRLMEkxMzAxBgNVBA0MKkZJUk1BIEVMRUNUUk9OSUNBIENVQUxJRklDQURBIENFTlRSQUxJWkFEQTESMBAGA1UECgwJTk8gQVBMSUNBMIIDnAYDVR0gBIIDkzCCA48wggOLBgsrBgEEAYPIJAIBAjCCA3owfAYIKwYBBQUHAgEWcGh0dHBzOi8vd3d3LmNvbmZpcm1hLmNvbS5weS93cC1jb250ZW50L3VwbG9hZHMvMjAyMy8wMS9EZWNsYXJhY2lvbl9kZV9wcmFjdGljYXNfZGVfY2VydGlmaWNhY2lvbl9Db25maXJtYV9TQS5wZGYwggFoBggrBgEFBQcCAjCCAVoeggFWAEMAZQByAHQAaQBmAGkAYwBhAGQAbwAgAGMAdQBhAGwAaQBmAGkAYwBhAGQAbwAgAGQAZQAgAGYAaQByAG0AYQAgAGUAbABlAGMAdAByAPMAbgBpAGMAYQAgAHQAaQBwAG8AIABGADMAIAAoAGMAbABhAHYAZQBzACAAZQBuACAAZABpAHMAcABvAHMAaQB0AGkAdgBvACAAYwB1AGEAbABpAGYAaQBjAGEAZABvACAAYwBlAG4AdAByAGEAbABpAHoAYQBkAG8AKQAsACAAcwB1AGoAZQB0AGEAIABhACAAbABhAHMAIABjAG8AbgBkAGkAYwBpAG8AbgBlAHMAIABkAGUAIAB1AHMAbwAgAGUAeABwAHUAZQBzAHQAYQBzACAAZQBuACAAbABhACAARABQAEMAIABkAGUAIABDAE8ATgBGAEkAUgBNAEEAIABTAC4AQQAuMIIBjAYIKwYBBQUHAgIwggF+HoIBegBRAHUAYQBsAGkAZgBpAGUAZAAgAEMAZQByAHQAaQBmAGkAYwBhAHQAZQAgAGYAbwByACAARQBsAGUAYwB0AHIAbwBuAGkAYwAgAFMAaQBnAG4AYQB0AHUAcgBlACAAVAB5AHAAZQAgAEYAMwAgACgAawBlAHkAcwAgAGkAbgAgAGMAZQBuAHQAcgBhAGwAaQB6AGUAZAAgAHEAdQBhAGwAaQBmAGkAZQBkACAAZABlAHYAaQBjAGUAKQAsACAAcwB1AGIAagBlAGMAdAAgAHQAbwAgAHQAaABlACAAYwBvAG4AZABpAHQAaQBvAG4AcwAgAG8AZgAgAHUAcwBlACAAcwBlAHQAIABmAG8AcgB0AGgAIABpAG4AIABDAE8ATgBGAEkAUgBNAEEAIABTAC4AQQAuACcAcwAgAEMAZQByAHQAaQBmAGkAYwBhAHQAaQBvAG4AIABQAHIAYQBjAHQAaQBjAGUAIABTAHQAYQB0AGUAbQBlAG4AdDAdBgNVHSUEFjAUBggrBgEFBQcDAgYIKwYBBQUHAwQwgYgGA1UdHwSBgDB+MD2gO6A5hjdodHRwOi8vY3JsMS5jb25maXJtYS5jb20ucHkvcHVibGljL3BraS9jcmwvY29uZmlybWEuY3JsMD2gO6A5hjdodHRwOi8vY3JsMi5jb25maXJtYS5jb20ucHkvcHVibGljL3BraS9jcmwvY29uZmlybWEuY3JsMB0GA1UdDgQWBBQYFWyion+i/ZXcBrrccaa1MWRhlzAOBgNVHQ8BAf8EBAMCBeAwDQYJKoZIhvcNAQELBQADggIBAKbNtOa1SB03pUbQpImhk+wVOMDOePlcQCQxK5X2GlXT7+023fr/WqpXpbRvzUAebjqXCmdBLxAfDY2Md9XI0Oue9VhbGSI+dSZDnNT0dD5KQ0rPsk9Su40F10U9k6hpNIRNMByCIvXfsNNclzolpDzPR3L3Kjslxkym3vP7Yx6H7gFqa7ND2wnORvi4ODDcdf/avo9CqyWHuKVycINJFmxGnKB/GLqmFbCpPh9GJXs3XRpgM3xOyFyikqIi4sUKcQsJkudZ73ATezphOIplgYmTAP4JHXnyUxW1YZ0t1jHLySfKLvnayUI8JclK5DVrSTBly58bk1/gB1widjczuXsk2T43dTRn0IaLBL0heAmS4olk22fZPW5yEtwWJBpe99GOGFO3xYGGHqjx/fobvKYOzJuxN+IR50TP5p8WEMcuJUXU3cI7nxar1A+4tHf1dLXaJBfBDWJ6Ss9EAz3ziR05IgJj+I9jIg7Jc0Dy6yu6CMbH/iH66pa9ufTpglQoBE//hG6Bdsa1cKTp/9/MVPl37795AbYviMmFw/gmwl5d3qPQE9/sgE7ogq+VKt7a9yDVKkSV5WnWUUvDEfn9Y3mGx2519XWoXlOjaf/3bpcoZqAZvll2usWcWz7gYm6dIB3/iwuJYQUcTszJDXu9itW/WT1e5bc6jjua1fjLOYt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qJeneP81ymkWFi7XCvZbV7y4/mnaYeWhVQEIUQy5Ukg=</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Transform>
          <Transform Algorithm="http://www.w3.org/TR/2001/REC-xml-c14n-20010315"/>
        </Transforms>
        <DigestMethod Algorithm="http://www.w3.org/2001/04/xmlenc#sha256"/>
        <DigestValue>/Ck4NrQeZAHF831xLBB7K7yeBD4HVDqFdSeGjxFIugk=</DigestValue>
      </Reference>
      <Reference URI="/xl/calcChain.xml?ContentType=application/vnd.openxmlformats-officedocument.spreadsheetml.calcChain+xml">
        <DigestMethod Algorithm="http://www.w3.org/2001/04/xmlenc#sha256"/>
        <DigestValue>+NyeNyIHrQv7x/d7NUuWQqqgB6nR5SiUKZdjjhHZnLU=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ucrTLbStQr/H2WHX3yG6MmDb0NXX+PwHVU4uUbcl8jY=</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gJN++dn2wxx/Cd6pFFOPi1CJuYShB1qNyNFMqnAERYg=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ucrTLbStQr/H2WHX3yG6MmDb0NXX+PwHVU4uUbcl8jY=</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7YsyKqJFttyEEYgq8OCabNHbiPUxlADESpJUKW5fCBk=</DigestValue>
      </Reference>
      <Reference URI="/xl/drawings/drawing1.xml?ContentType=application/vnd.openxmlformats-officedocument.drawing+xml">
        <DigestMethod Algorithm="http://www.w3.org/2001/04/xmlenc#sha256"/>
        <DigestValue>ub074ZLH8w4xlalqairs0BhLike/ijp43YfbOrzi420=</DigestValue>
      </Reference>
      <Reference URI="/xl/drawings/drawing2.xml?ContentType=application/vnd.openxmlformats-officedocument.drawing+xml">
        <DigestMethod Algorithm="http://www.w3.org/2001/04/xmlenc#sha256"/>
        <DigestValue>jSEA7QF2epsqpRqyAn5pGlelL7JhshD38KzThNyanj4=</DigestValue>
      </Reference>
      <Reference URI="/xl/drawings/drawing3.xml?ContentType=application/vnd.openxmlformats-officedocument.drawing+xml">
        <DigestMethod Algorithm="http://www.w3.org/2001/04/xmlenc#sha256"/>
        <DigestValue>w1km3rn21G8nhqvfeQQCJPmdK8nSug1i56T6Su0Ay7A=</DigestValue>
      </Reference>
      <Reference URI="/xl/drawings/drawing4.xml?ContentType=application/vnd.openxmlformats-officedocument.drawing+xml">
        <DigestMethod Algorithm="http://www.w3.org/2001/04/xmlenc#sha256"/>
        <DigestValue>Inzha6baeAKE0WuKvq0NbHcSeKHit1HfjuHs2WT/AC8=</DigestValue>
      </Reference>
      <Reference URI="/xl/drawings/drawing5.xml?ContentType=application/vnd.openxmlformats-officedocument.drawing+xml">
        <DigestMethod Algorithm="http://www.w3.org/2001/04/xmlenc#sha256"/>
        <DigestValue>Tpe4YJTEcZHjnkuwCRyvhPu/MIzXAWLSeBBMA18aXRI=</DigestValue>
      </Reference>
      <Reference URI="/xl/drawings/drawing6.xml?ContentType=application/vnd.openxmlformats-officedocument.drawing+xml">
        <DigestMethod Algorithm="http://www.w3.org/2001/04/xmlenc#sha256"/>
        <DigestValue>t0IiKkrStl/PiA8NVpK6Yzzs0p7cTjDqmZEHG31Qyng=</DigestValue>
      </Reference>
      <Reference URI="/xl/drawings/drawing7.xml?ContentType=application/vnd.openxmlformats-officedocument.drawing+xml">
        <DigestMethod Algorithm="http://www.w3.org/2001/04/xmlenc#sha256"/>
        <DigestValue>virplHJot2IoRHIXdPVnprgNPvJSCFYXhwmEbMvdtaE=</DigestValue>
      </Reference>
      <Reference URI="/xl/drawings/drawing8.xml?ContentType=application/vnd.openxmlformats-officedocument.drawing+xml">
        <DigestMethod Algorithm="http://www.w3.org/2001/04/xmlenc#sha256"/>
        <DigestValue>1BVrvUMHBLQW/qes4fhJwFjL6MIO+dw9dzaEu6di9KE=</DigestValue>
      </Reference>
      <Reference URI="/xl/drawings/vmlDrawing1.vml?ContentType=application/vnd.openxmlformats-officedocument.vmlDrawing">
        <DigestMethod Algorithm="http://www.w3.org/2001/04/xmlenc#sha256"/>
        <DigestValue>ExUTJEbNBuk1CckpWwd+8plgcmJe8qoGbB2TUFKe+kA=</DigestValue>
      </Reference>
      <Reference URI="/xl/drawings/vmlDrawing2.vml?ContentType=application/vnd.openxmlformats-officedocument.vmlDrawing">
        <DigestMethod Algorithm="http://www.w3.org/2001/04/xmlenc#sha256"/>
        <DigestValue>h2FOx/Jlq4UYa4Cpos0p40QGXDtAcRKPPYKd8I7NjvY=</DigestValue>
      </Reference>
      <Reference URI="/xl/drawings/vmlDrawing3.vml?ContentType=application/vnd.openxmlformats-officedocument.vmlDrawing">
        <DigestMethod Algorithm="http://www.w3.org/2001/04/xmlenc#sha256"/>
        <DigestValue>AA278wmMGW/Y9QsgFZqd+7Z8mopkpG53UQ93BDbx4WE=</DigestValue>
      </Reference>
      <Reference URI="/xl/drawings/vmlDrawing4.vml?ContentType=application/vnd.openxmlformats-officedocument.vmlDrawing">
        <DigestMethod Algorithm="http://www.w3.org/2001/04/xmlenc#sha256"/>
        <DigestValue>ArJYfFm9RCQzoEjHp9F2NIgGy/rbhUv/OzAFzV+JEV4=</DigestValue>
      </Reference>
      <Reference URI="/xl/drawings/vmlDrawing5.vml?ContentType=application/vnd.openxmlformats-officedocument.vmlDrawing">
        <DigestMethod Algorithm="http://www.w3.org/2001/04/xmlenc#sha256"/>
        <DigestValue>6u8vsyy6r4PKsRHLrr6eKcYZlGcnaa5JNs92G7m0x50=</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77SVdrsY4G7JRFikg775s6ndkn/5KeYu/l1XKd699gw=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XmN+S1Rb9DQwXeJhiPMr1ywuylQu67StAn77KPQ/9M4=</DigestValue>
      </Reference>
      <Reference URI="/xl/externalLinks/externalLink1.xml?ContentType=application/vnd.openxmlformats-officedocument.spreadsheetml.externalLink+xml">
        <DigestMethod Algorithm="http://www.w3.org/2001/04/xmlenc#sha256"/>
        <DigestValue>Asaf0dJqvI2CGiR4mDOs5Bz0dA7uFptOxkq8VP6/Axg=</DigestValue>
      </Reference>
      <Reference URI="/xl/externalLinks/externalLink2.xml?ContentType=application/vnd.openxmlformats-officedocument.spreadsheetml.externalLink+xml">
        <DigestMethod Algorithm="http://www.w3.org/2001/04/xmlenc#sha256"/>
        <DigestValue>MAymwNHVD9MjrQzp8QSFTGHiEzTtpA6htR4Lpqs3neg=</DigestValue>
      </Reference>
      <Reference URI="/xl/media/image1.png?ContentType=image/png">
        <DigestMethod Algorithm="http://www.w3.org/2001/04/xmlenc#sha256"/>
        <DigestValue>xmrEYYIQdOTouWhj5FIxuh7c3ymywmWHXhR6+2DxmAA=</DigestValue>
      </Reference>
      <Reference URI="/xl/media/image2.emf?ContentType=image/x-emf">
        <DigestMethod Algorithm="http://www.w3.org/2001/04/xmlenc#sha256"/>
        <DigestValue>henAiMKyQumysm/rmsKObYIquv2sss0Xb+LHqi1agew=</DigestValue>
      </Reference>
      <Reference URI="/xl/media/image3.emf?ContentType=image/x-emf">
        <DigestMethod Algorithm="http://www.w3.org/2001/04/xmlenc#sha256"/>
        <DigestValue>YVtsuH8bDXjJV2Dy/6lemD+B/MEJUFMlT3OBultaYYw=</DigestValue>
      </Reference>
      <Reference URI="/xl/media/image4.emf?ContentType=image/x-emf">
        <DigestMethod Algorithm="http://www.w3.org/2001/04/xmlenc#sha256"/>
        <DigestValue>aFnNK946hBo3dFBQ1iTrTWLYet31AXs15w+XcScy08U=</DigestValue>
      </Reference>
      <Reference URI="/xl/media/image5.emf?ContentType=image/x-emf">
        <DigestMethod Algorithm="http://www.w3.org/2001/04/xmlenc#sha256"/>
        <DigestValue>SGUAmXtIKfISNtJWaJhypXvQVrvZhFb92d4E5f7ZI/o=</DigestValue>
      </Reference>
      <Reference URI="/xl/media/image6.emf?ContentType=image/x-emf">
        <DigestMethod Algorithm="http://www.w3.org/2001/04/xmlenc#sha256"/>
        <DigestValue>GRQ8cc4rAjEFr9roH+f7cutoGCMFBXoxc1fwnubaFII=</DigestValue>
      </Reference>
      <Reference URI="/xl/printerSettings/printerSettings1.bin?ContentType=application/vnd.openxmlformats-officedocument.spreadsheetml.printerSettings">
        <DigestMethod Algorithm="http://www.w3.org/2001/04/xmlenc#sha256"/>
        <DigestValue>OGD3iF2+l78gTInlDCWFPycZVuHBpUE02raJ/Wr5XCI=</DigestValue>
      </Reference>
      <Reference URI="/xl/printerSettings/printerSettings10.bin?ContentType=application/vnd.openxmlformats-officedocument.spreadsheetml.printerSettings">
        <DigestMethod Algorithm="http://www.w3.org/2001/04/xmlenc#sha256"/>
        <DigestValue>8ULINyTSns7e3+F/twyhXb2p4OEI5M6paxloUp/0tKM=</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aKO8XWThzgvGlTVSu23kX37OoqtKGS6PBUkmhsicI1Y=</DigestValue>
      </Reference>
      <Reference URI="/xl/printerSettings/printerSettings13.bin?ContentType=application/vnd.openxmlformats-officedocument.spreadsheetml.printerSettings">
        <DigestMethod Algorithm="http://www.w3.org/2001/04/xmlenc#sha256"/>
        <DigestValue>aKO8XWThzgvGlTVSu23kX37OoqtKGS6PBUkmhsicI1Y=</DigestValue>
      </Reference>
      <Reference URI="/xl/printerSettings/printerSettings14.bin?ContentType=application/vnd.openxmlformats-officedocument.spreadsheetml.printerSettings">
        <DigestMethod Algorithm="http://www.w3.org/2001/04/xmlenc#sha256"/>
        <DigestValue>aKO8XWThzgvGlTVSu23kX37OoqtKGS6PBUkmhsicI1Y=</DigestValue>
      </Reference>
      <Reference URI="/xl/printerSettings/printerSettings15.bin?ContentType=application/vnd.openxmlformats-officedocument.spreadsheetml.printerSettings">
        <DigestMethod Algorithm="http://www.w3.org/2001/04/xmlenc#sha256"/>
        <DigestValue>dw1o09s0o0lRppdgih3gsQGBOYtYP6TDvnCBQSPWvnk=</DigestValue>
      </Reference>
      <Reference URI="/xl/printerSettings/printerSettings16.bin?ContentType=application/vnd.openxmlformats-officedocument.spreadsheetml.printerSettings">
        <DigestMethod Algorithm="http://www.w3.org/2001/04/xmlenc#sha256"/>
        <DigestValue>+CD8yXTcV7R0UPktSQ1iysCJtCvCSVF2j80e6m46HpQ=</DigestValue>
      </Reference>
      <Reference URI="/xl/printerSettings/printerSettings17.bin?ContentType=application/vnd.openxmlformats-officedocument.spreadsheetml.printerSettings">
        <DigestMethod Algorithm="http://www.w3.org/2001/04/xmlenc#sha256"/>
        <DigestValue>hqnMLvZ6XBY2fH1KhK00vJXWuxlSZRWkoKrdKDrIF2Q=</DigestValue>
      </Reference>
      <Reference URI="/xl/printerSettings/printerSettings18.bin?ContentType=application/vnd.openxmlformats-officedocument.spreadsheetml.printerSettings">
        <DigestMethod Algorithm="http://www.w3.org/2001/04/xmlenc#sha256"/>
        <DigestValue>TRrCOIAvgyay9+dOHANtMRhI4Mlj24DaFIyKQoKcdPw=</DigestValue>
      </Reference>
      <Reference URI="/xl/printerSettings/printerSettings19.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tK77ymY2j+63o2PazHk01j2EtE8ZSKwdI1Ei+LUjmS0=</DigestValue>
      </Reference>
      <Reference URI="/xl/printerSettings/printerSettings20.bin?ContentType=application/vnd.openxmlformats-officedocument.spreadsheetml.printerSettings">
        <DigestMethod Algorithm="http://www.w3.org/2001/04/xmlenc#sha256"/>
        <DigestValue>TRrCOIAvgyay9+dOHANtMRhI4Mlj24DaFIyKQoKcdPw=</DigestValue>
      </Reference>
      <Reference URI="/xl/printerSettings/printerSettings21.bin?ContentType=application/vnd.openxmlformats-officedocument.spreadsheetml.printerSettings">
        <DigestMethod Algorithm="http://www.w3.org/2001/04/xmlenc#sha256"/>
        <DigestValue>OGD3iF2+l78gTInlDCWFPycZVuHBpUE02raJ/Wr5XCI=</DigestValue>
      </Reference>
      <Reference URI="/xl/printerSettings/printerSettings22.bin?ContentType=application/vnd.openxmlformats-officedocument.spreadsheetml.printerSettings">
        <DigestMethod Algorithm="http://www.w3.org/2001/04/xmlenc#sha256"/>
        <DigestValue>GyyR84UYFfbFvVrs+ip9vPggIMAXC0nxkmeUVNsGxCc=</DigestValue>
      </Reference>
      <Reference URI="/xl/printerSettings/printerSettings23.bin?ContentType=application/vnd.openxmlformats-officedocument.spreadsheetml.printerSettings">
        <DigestMethod Algorithm="http://www.w3.org/2001/04/xmlenc#sha256"/>
        <DigestValue>ZVxXhJn6XmjT/m1Dw2UhwYZPVXYMSYE+DUFTlsgHV4s=</DigestValue>
      </Reference>
      <Reference URI="/xl/printerSettings/printerSettings24.bin?ContentType=application/vnd.openxmlformats-officedocument.spreadsheetml.printerSettings">
        <DigestMethod Algorithm="http://www.w3.org/2001/04/xmlenc#sha256"/>
        <DigestValue>ZVxXhJn6XmjT/m1Dw2UhwYZPVXYMSYE+DUFTlsgHV4s=</DigestValue>
      </Reference>
      <Reference URI="/xl/printerSettings/printerSettings25.bin?ContentType=application/vnd.openxmlformats-officedocument.spreadsheetml.printerSettings">
        <DigestMethod Algorithm="http://www.w3.org/2001/04/xmlenc#sha256"/>
        <DigestValue>ZVxXhJn6XmjT/m1Dw2UhwYZPVXYMSYE+DUFTlsgHV4s=</DigestValue>
      </Reference>
      <Reference URI="/xl/printerSettings/printerSettings26.bin?ContentType=application/vnd.openxmlformats-officedocument.spreadsheetml.printerSettings">
        <DigestMethod Algorithm="http://www.w3.org/2001/04/xmlenc#sha256"/>
        <DigestValue>ZVxXhJn6XmjT/m1Dw2UhwYZPVXYMSYE+DUFTlsgHV4s=</DigestValue>
      </Reference>
      <Reference URI="/xl/printerSettings/printerSettings27.bin?ContentType=application/vnd.openxmlformats-officedocument.spreadsheetml.printerSettings">
        <DigestMethod Algorithm="http://www.w3.org/2001/04/xmlenc#sha256"/>
        <DigestValue>ZVxXhJn6XmjT/m1Dw2UhwYZPVXYMSYE+DUFTlsgHV4s=</DigestValue>
      </Reference>
      <Reference URI="/xl/printerSettings/printerSettings28.bin?ContentType=application/vnd.openxmlformats-officedocument.spreadsheetml.printerSettings">
        <DigestMethod Algorithm="http://www.w3.org/2001/04/xmlenc#sha256"/>
        <DigestValue>ZVxXhJn6XmjT/m1Dw2UhwYZPVXYMSYE+DUFTlsgHV4s=</DigestValue>
      </Reference>
      <Reference URI="/xl/printerSettings/printerSettings29.bin?ContentType=application/vnd.openxmlformats-officedocument.spreadsheetml.printerSettings">
        <DigestMethod Algorithm="http://www.w3.org/2001/04/xmlenc#sha256"/>
        <DigestValue>ZVxXhJn6XmjT/m1Dw2UhwYZPVXYMSYE+DUFTlsgHV4s=</DigestValue>
      </Reference>
      <Reference URI="/xl/printerSettings/printerSettings3.bin?ContentType=application/vnd.openxmlformats-officedocument.spreadsheetml.printerSettings">
        <DigestMethod Algorithm="http://www.w3.org/2001/04/xmlenc#sha256"/>
        <DigestValue>etcbSocZ+fnLsUbJz0LkI2IH94+TEQQYef5apUBQ778=</DigestValue>
      </Reference>
      <Reference URI="/xl/printerSettings/printerSettings30.bin?ContentType=application/vnd.openxmlformats-officedocument.spreadsheetml.printerSettings">
        <DigestMethod Algorithm="http://www.w3.org/2001/04/xmlenc#sha256"/>
        <DigestValue>QYEL4KgfVDON32G6gR2kYQY44f245JdSxX29nAOa8qU=</DigestValue>
      </Reference>
      <Reference URI="/xl/printerSettings/printerSettings4.bin?ContentType=application/vnd.openxmlformats-officedocument.spreadsheetml.printerSettings">
        <DigestMethod Algorithm="http://www.w3.org/2001/04/xmlenc#sha256"/>
        <DigestValue>8ULINyTSns7e3+F/twyhXb2p4OEI5M6paxloUp/0tKM=</DigestValue>
      </Reference>
      <Reference URI="/xl/printerSettings/printerSettings5.bin?ContentType=application/vnd.openxmlformats-officedocument.spreadsheetml.printerSettings">
        <DigestMethod Algorithm="http://www.w3.org/2001/04/xmlenc#sha256"/>
        <DigestValue>8ULINyTSns7e3+F/twyhXb2p4OEI5M6paxloUp/0tKM=</DigestValue>
      </Reference>
      <Reference URI="/xl/printerSettings/printerSettings6.bin?ContentType=application/vnd.openxmlformats-officedocument.spreadsheetml.printerSettings">
        <DigestMethod Algorithm="http://www.w3.org/2001/04/xmlenc#sha256"/>
        <DigestValue>8ULINyTSns7e3+F/twyhXb2p4OEI5M6paxloUp/0tKM=</DigestValue>
      </Reference>
      <Reference URI="/xl/printerSettings/printerSettings7.bin?ContentType=application/vnd.openxmlformats-officedocument.spreadsheetml.printerSettings">
        <DigestMethod Algorithm="http://www.w3.org/2001/04/xmlenc#sha256"/>
        <DigestValue>8ULINyTSns7e3+F/twyhXb2p4OEI5M6paxloUp/0tKM=</DigestValue>
      </Reference>
      <Reference URI="/xl/printerSettings/printerSettings8.bin?ContentType=application/vnd.openxmlformats-officedocument.spreadsheetml.printerSettings">
        <DigestMethod Algorithm="http://www.w3.org/2001/04/xmlenc#sha256"/>
        <DigestValue>8ULINyTSns7e3+F/twyhXb2p4OEI5M6paxloUp/0tKM=</DigestValue>
      </Reference>
      <Reference URI="/xl/printerSettings/printerSettings9.bin?ContentType=application/vnd.openxmlformats-officedocument.spreadsheetml.printerSettings">
        <DigestMethod Algorithm="http://www.w3.org/2001/04/xmlenc#sha256"/>
        <DigestValue>8ULINyTSns7e3+F/twyhXb2p4OEI5M6paxloUp/0tKM=</DigestValue>
      </Reference>
      <Reference URI="/xl/sharedStrings.xml?ContentType=application/vnd.openxmlformats-officedocument.spreadsheetml.sharedStrings+xml">
        <DigestMethod Algorithm="http://www.w3.org/2001/04/xmlenc#sha256"/>
        <DigestValue>V/w+UFDuoKCaMO9SSgiqgdegozZgbqeeTZ78vhxZs4Y=</DigestValue>
      </Reference>
      <Reference URI="/xl/styles.xml?ContentType=application/vnd.openxmlformats-officedocument.spreadsheetml.styles+xml">
        <DigestMethod Algorithm="http://www.w3.org/2001/04/xmlenc#sha256"/>
        <DigestValue>z/eeshVk+brcI+H+/v+xG/3T6WFPSRAeaKjEIgLbkPc=</DigestValue>
      </Reference>
      <Reference URI="/xl/tables/table1.xml?ContentType=application/vnd.openxmlformats-officedocument.spreadsheetml.table+xml">
        <DigestMethod Algorithm="http://www.w3.org/2001/04/xmlenc#sha256"/>
        <DigestValue>QTRSFVlS4HnbP6Y2+j++lvSrT1G6wMfxJrt66Q3MxtU=</DigestValue>
      </Reference>
      <Reference URI="/xl/tables/table2.xml?ContentType=application/vnd.openxmlformats-officedocument.spreadsheetml.table+xml">
        <DigestMethod Algorithm="http://www.w3.org/2001/04/xmlenc#sha256"/>
        <DigestValue>IKN1IhsRr9HunQR58XkrS2sj34eYQN7uwQ3Oy8wQ0eI=</DigestValue>
      </Reference>
      <Reference URI="/xl/theme/theme1.xml?ContentType=application/vnd.openxmlformats-officedocument.theme+xml">
        <DigestMethod Algorithm="http://www.w3.org/2001/04/xmlenc#sha256"/>
        <DigestValue>JNGnPKHKsPy6kmCp11/sNt3bmMqQkZWAeEqk2KQCTYU=</DigestValue>
      </Reference>
      <Reference URI="/xl/workbook.xml?ContentType=application/vnd.openxmlformats-officedocument.spreadsheetml.sheet.main+xml">
        <DigestMethod Algorithm="http://www.w3.org/2001/04/xmlenc#sha256"/>
        <DigestValue>Iod+Xl9RCPODBPIpko8c6sQtIg/QuqibY8/4p+Z/JNc=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jDc0sWYJkR/CBrRak8ingqluwJ7oQsCcOInX+LVxKvE=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pZw3bSadmKfHZZmptVaCzS0QUOVcJ//YwG7scJq0pf8=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Mnq392zy7n/68NDdV/yytQb7iuJvY10PdgkI8Mb+g6k=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ucQ64hiB/nP1Fi8WKz3Th1kdZisK8aGhJEPJfohLxM8=</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Tli28rN8igOjzPasqezpYxpfwxhNMdfjzhfnghEdtVc=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iCVOH+dXPW5Yow03OFzE3KFxd7gLMdb90NF1eBlmABk=</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zgur8m8h3dHGUIjwiYWUwhCf0M5q1vRr8/fpz0BeqjQ=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7K0RfRaSjDP6tX2AJJpMSRjcmHBmC4suCih810VKQKE=</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YJfbdRjw9jzDIHxg9lF8IV5su7pXZUZ3BubXlm6sSbI=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N8qijj8WXJ10YGO5eKPxvirB/H7N/Cb0D2n1Mzyaryo=</DigestValue>
      </Reference>
      <Reference URI="/xl/worksheets/sheet1.xml?ContentType=application/vnd.openxmlformats-officedocument.spreadsheetml.worksheet+xml">
        <DigestMethod Algorithm="http://www.w3.org/2001/04/xmlenc#sha256"/>
        <DigestValue>RQrBSlri31PMwZlIl5U8oN6J/gyebqTN0C1tnBaPr1M=</DigestValue>
      </Reference>
      <Reference URI="/xl/worksheets/sheet10.xml?ContentType=application/vnd.openxmlformats-officedocument.spreadsheetml.worksheet+xml">
        <DigestMethod Algorithm="http://www.w3.org/2001/04/xmlenc#sha256"/>
        <DigestValue>VdSSMhq7PPyGTGDw8th3UTvOa3U89Ih1rcKsbGp6WEc=</DigestValue>
      </Reference>
      <Reference URI="/xl/worksheets/sheet11.xml?ContentType=application/vnd.openxmlformats-officedocument.spreadsheetml.worksheet+xml">
        <DigestMethod Algorithm="http://www.w3.org/2001/04/xmlenc#sha256"/>
        <DigestValue>tvzKKq8EPOADTa94CUdCYmoZ4T6lnIZpEmf/8HsdSIo=</DigestValue>
      </Reference>
      <Reference URI="/xl/worksheets/sheet2.xml?ContentType=application/vnd.openxmlformats-officedocument.spreadsheetml.worksheet+xml">
        <DigestMethod Algorithm="http://www.w3.org/2001/04/xmlenc#sha256"/>
        <DigestValue>R7gGbROsq8wtNMf9wb9NhnoX7CbE0LKzExehQybw3Z8=</DigestValue>
      </Reference>
      <Reference URI="/xl/worksheets/sheet3.xml?ContentType=application/vnd.openxmlformats-officedocument.spreadsheetml.worksheet+xml">
        <DigestMethod Algorithm="http://www.w3.org/2001/04/xmlenc#sha256"/>
        <DigestValue>t7XEAo8Uy0vjd/DJ2C4BITc81JYXlBr/JkVguL11LaQ=</DigestValue>
      </Reference>
      <Reference URI="/xl/worksheets/sheet4.xml?ContentType=application/vnd.openxmlformats-officedocument.spreadsheetml.worksheet+xml">
        <DigestMethod Algorithm="http://www.w3.org/2001/04/xmlenc#sha256"/>
        <DigestValue>cEnOJfsnp/NBRY+3I/VQDmCO7RMEqgGuf8UEqrDuCIU=</DigestValue>
      </Reference>
      <Reference URI="/xl/worksheets/sheet5.xml?ContentType=application/vnd.openxmlformats-officedocument.spreadsheetml.worksheet+xml">
        <DigestMethod Algorithm="http://www.w3.org/2001/04/xmlenc#sha256"/>
        <DigestValue>EswEMBCM4zdmW1cMOh7rkhk8swYW2MNO2WQBh8M1rRc=</DigestValue>
      </Reference>
      <Reference URI="/xl/worksheets/sheet6.xml?ContentType=application/vnd.openxmlformats-officedocument.spreadsheetml.worksheet+xml">
        <DigestMethod Algorithm="http://www.w3.org/2001/04/xmlenc#sha256"/>
        <DigestValue>D58Ad9xw9rLp8vtfuoXZKREoJCKBX5r+HJLMNlecAok=</DigestValue>
      </Reference>
      <Reference URI="/xl/worksheets/sheet7.xml?ContentType=application/vnd.openxmlformats-officedocument.spreadsheetml.worksheet+xml">
        <DigestMethod Algorithm="http://www.w3.org/2001/04/xmlenc#sha256"/>
        <DigestValue>gSn74GrP21z2K652QtORivHMqG62kbL+N6pM0KMuNoM=</DigestValue>
      </Reference>
      <Reference URI="/xl/worksheets/sheet8.xml?ContentType=application/vnd.openxmlformats-officedocument.spreadsheetml.worksheet+xml">
        <DigestMethod Algorithm="http://www.w3.org/2001/04/xmlenc#sha256"/>
        <DigestValue>RHD7ig3kB2XIS94P7M7laThHUC2ZEnlItLh4CQ8e2cA=</DigestValue>
      </Reference>
      <Reference URI="/xl/worksheets/sheet9.xml?ContentType=application/vnd.openxmlformats-officedocument.spreadsheetml.worksheet+xml">
        <DigestMethod Algorithm="http://www.w3.org/2001/04/xmlenc#sha256"/>
        <DigestValue>NbdLLWXsZdwhOiIfvFm/hDyLJl0+E1xl/cjBrRt6I8I=</DigestValue>
      </Reference>
    </Manifest>
    <SignatureProperties>
      <SignatureProperty Id="idSignatureTime" Target="#idPackageSignature">
        <mdssi:SignatureTime xmlns:mdssi="http://schemas.openxmlformats.org/package/2006/digital-signature">
          <mdssi:Format>YYYY-MM-DDThh:mm:ssTZD</mdssi:Format>
          <mdssi:Value>2026-08-13T20:36:49Z</mdssi:Value>
        </mdssi:SignatureTime>
      </SignatureProperty>
    </SignatureProperties>
  </Object>
  <Object Id="idOfficeObject">
    <SignatureProperties>
      <SignatureProperty Id="idOfficeV1Details" Target="#idPackageSignature">
        <SignatureInfoV1 xmlns="http://schemas.microsoft.com/office/2006/digsig">
          <SetupID>{C403A7DB-2168-4FAD-87F0-0B1E1AE6FE05}</SetupID>
          <SignatureText/>
          <SignatureImage>AQAAAGwAAAAAAAAAAAAAAJQAAABMAAAAAAAAAAAAAABtCgAAZgUAACBFTUYAAAEAtAsBAAwAAAABAAAAAAAAAAAAAAAAAAAAgAcAADgEAABYAQAAwgAAAAAAAAAAAAAAAAAAAMA/BQDQ9QIARgAAACwAAAAgAAAARU1GKwFAAQAcAAAAEAAAAAIQwNsBAAAAeAAAAHgAAABGAAAA2A8AAMwPAABFTUYrIkAEAAwAAAAAAAAAHkAJAAwAAAAAAAAAJEABAAwAAAAAAAAAMEACABAAAAAEAAAAAACAPyFABwAMAAAAAAAAAAhAAAUkDwAAGA8AAAIQwNsBAAAAAAAAAAAAAAAAAAAAAAAAAAEAAAD/2P/gABBKRklGAAEBAQDIAMgAAP/bAEMACgcHCQcGCgkICQsLCgwPGRAPDg4PHhYXEhkkICYlIyAjIigtOTAoKjYrIiMyRDI2Oz1AQEAmMEZLRT5KOT9APf/bAEMBCwsLDw0PHRAQHT0pIyk9PT09PT09PT09PT09PT09PT09PT09PT09PT09PT09PT09PT09PT09PT09PT09PT09Pf/AABEIAI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gOOtGMnrQPelAoAQ8CjBOaQnJoGaADpS4z+FIRmgEKD70ABGKTBNHPU0vtQAhGaQnjGKX+HNJjIoAb1/lQBRindaADbxSYpe1ITkg0AAGDS9DSdqCaABhk0gpevWkxzQAmM0vagDBpwGOpoAaKM8YpQM0dKAGj0pR0pSOM0nXp2oAO4z2pOM4opD1oAQ9aBTqTpz60AFIaM4NFACGinY55oxQBYA55pe2KQUEcDmkA2lyAD1z60negCmAdBQcYpQM9aaTnA4wKADOePSlxgUMOeKU4KA9D6UANI44oA4ozyKgmv7e2nihnlVGmO1AxxuPoKAJ8DFJ1p2MA0lACd+aRgATjpQ3HNH3u/bNAAR0z3o5oz09qU+woATrSDqM0obceOg61FcXUNq0YndU8xgi7j1J6CgCV14Yeo60AkDFLnn2pOozQAdKCaOooPQcUAJnij1AprOEQsTgDmsbRtWn1jUp5IAv9nxjaHI5Zvb/AD0+tNRbTYG1jH1pcClxikpANPWgHIpTzTQKAAdcUuKAOaMnpQAUlLSYHrQBY6Hg0Z4ozSZpAGO9B5NAY4IIpMcc0AGfxFA60nQ0pPegAbj2qtd3kNlC01w6pEvLMxwBVgjdmud8aTImgyJIMrK6Jj6sKpK7sB0EM0dxCksLrJE4yrKcgiub8QHd4m0aPus2f1WtnRYBb6LaIqhcRjIHr3/WsKRmvfiHCi8paxZb2zn/AOtVQ0bEzriM1GRgkCnk0h6E9agZGc9Kytf1VtIslmjQO5kVFUnjk1qk5rlfFHm3us6TYIhKvL5khHYDj+pP4U42vqBuvq1vFqNrZyttmuV3IME9vWr7g1wdzc/b/idBEpJSFQnHrgsf6V3V1IIYXdjgAE1Uo2sBh6Vcz3XijUvnY20CLGF/h3dfz61BrMhuvFOl2ajcA4kbnsDk/wAqt+GIvL0qW6b791K0uT6ZwP8APvVLw6v9qa5faueUQmCH6Dqf8+tX8Mm+wjpzSYOKARuIo3KM5rEYnpQTgfSqd5qtpYIWuZ0T0BPP5d65+88YxXhNppUcst1J8qHbgA+tUotgWdRmm1u/OlWbFIV5uZh/CP7v1/z61v2tpDZWyQW6BI0GAB/P61DpGmJpOnrCDukPzSOerN3q0zgHk4pya2WwhzHA+tISAOTisjU/E9hpwKNJ5s2cCKP5mz/SqCLreuBWcjTbU8nvKw/p+lJRe4zogysTtOfWlAwao6Zo9rpW4weY0kgw8kjli1Xs5JFJ+QAT2pOKOtIeKQCk0bhR2zSYoAsUdaFwaCMdKADjHpSZ4xRmkpABNA5B9aCw9OaQHHrzQAFsDrg1yfjLNzcadYqeZ58n6Af4kV1Zwa5XUf8AS/Hemwg8QL5h/E5/9lq4b3A6wqIoQAMBRiuX8KIbnXNYvm5/eeWp9gcf+yj866DVboWunzynoiE/pWf4PtDbeH4S4+eYmRvqTj+lC0i2Btk5FNIx0NKfl60x3C9akBG6EmuVjvo317UtRdv3NhD5YPv1P9R+FXta8RQ2UbxW6tcXO04jj5I47+lcLJfMvhryF5admmlOeeSFGfoTn64rejSchNljwo8kvjC0nkGGnaRz9SpJ/LIFdt4yumt9BlCk75iIxj3OD+ma5Hw1bGLXtBZgQ00c0p59cgfoorpfFeLi+0qz6+Zchz9FHP8AOrqtOorAP1u7Gh+GVhjIEwhESY7HGCf61f8AD9gNL0O2t9u1tm5/948//W/CuW165F5DJqJYm3jvI4sdQEByT+f6EVPqHjkTy+TpcasOhnlOxB+dQ6baSXzBM6i+1G3sYGlnkVFXqSev09a51tY1TW5DFpFsY4c4NzLwP8/nWbDi8u/tM0Nxq8+ekaFYV/E9f5VuhPEV2oVFtLGPGAPvED2xxS5VECKPw5YaZDJe6tObyUDcxk+6Pw7/AI1m6dq9jp8k+q35jjlcbLeBBzGg+nc/561oz+GS8Ql1DWLlmRg5YYVRj2ORXPTxw6nL/Z/hmzDDkS3b8k+4Y9B79+2auDT0bAvL4+uJp5TFaqIRwNzck47noO3FTxWuveI0DTTmxtG9AQ7D2HX88VpaD4StNIAllxPddS7DIU+w/rW/15rOcoJ+4hmVpfhyw0ra0UW+Yf8ALWTk/h2H4Vq98UCis229wEpDxTj/AJxTCOaQCngcU0k9aXHSkx81ADh09KbTuQOfSmUAWcYNHXrRmigA70e1JnB4ox3zSAMHHNNOMYp3XJ9Ka3WgBDjbXK6b/pXxEu5O1vEFH5f/AGddNK22Mn/Irm/BKm5u9Vvyf9bMVU+2T/QCrjs2Bb8YysbCK1j5e5lWMD1reiWO0gigUgKihR+FcjreoRp4ws0nbENrGZmPvzj9QPzqBV1bxLqKTKjwwRnMeThFPZj/AHj9OKvlvFAb+q+IIbJxBGGnuX+5EgySf6VRfTdd1Vv9KuUsoD1SPl/z/wDr1qaXotro0bOW824fl5pPvH/Cm3viKxsvlaUNJ2RPmY/lUrtFCH2mhWdjZSQQJgyIVeVuWOfeuB8RaSugaTa2Ly+bNPKWZxn7qjAH/j2a63+0dY1Dizsfs8Z/5aXDYP8A3z1rlL+wvb7xra6feXfnkgMxVdoQckgfgK1pNxd2wL811bab4v0gGRTHa2exyDnDbW/rTtaudQ1jVrOXT7O4j+R44pJEIALdW/AUana2nh/xxpUscSx28kbBs8/MMjJJ/wB4V28TrNCki4KuoYY9DzScrWaA5mx8LXiaetrdagUg53R2643k9csev5VqWfh7TbLBS2WRx/HL87fr0/CtM9KSs3OTHYAABhRimTTpbxtI7BVUZJPanMwVGY8ADJrjJXu/F2otHbO0OmR8NLjG71x6n+VEIc2+wnoQ3Ml54z1R7S2cxaZC371x/F7e/wBPz9uy0/T7bTLRbe0jCRj8yfUnvRYWMGm2kdraxhIkGAPX3PvVmicr6LYEB6UDPFFBNQMccUnag80n8qACk780HrQaAEOc0dKUHJwe1JQAMaSjIpcCgCcdaUikzSZzSAUjqfSm5pfakPWgAPB5pD0oPvVa6voLOPfPKkajuzAUwItVm8jTriU/wRs36Vg+D7u30nwrE1xKqtK7MMnHTA/pUHibxTbTaXPbWiyTmRCu9F+UZ9TUFr4Ym1PTrWaeQwW9vGRGCMswPzZI6D9a2jFcvvaCKmlXdnrHiC81TUnWO2QgKjfxjsPfpkiupOsX16u3TLB9nQSy/IuPUDqazfA2m28mnvfyR+ZM8rbXcZIHH68muu20ptJ2QGENDvL/AAdVvnZf+eUHyr+fetCz0my04AW1uiH+9jJ/PrV7jFIfWocmxjc4FcfpMRuviJqNweRbpgH3IAx/OuukOEY+grmfBKmYalftndPcbPwUf/Xpx0i2BZ8X6DNrdtbG0K/aLeXcu44BBHPP5H8K3YIhBbxRDGEQKMewxUmCRxSHipbbVgCk9qWkpAIVycGmxxJEoSNFRB0CjAFPyaO1ACYzS9KUYA96Q0AJS96SloAMc8UZo6UhGDQAh5NBNB60EUAAOKDx3paYQaAF980fiKTqfrT8f7NAEuKOgpQc0h4pAJ1xVe8vYbGFpbiRUQdyasdKzm0hJr2Wa6czxNjZE44SqSXUDK/tjUNYOzSbYpF3uJhgfgP8/SrFt4VhZhNqc0l5MOcscKPoP8/St1FVECqAqqMADoBQTjpT5rbAYfiDQ2vtLS1sBFDiRSRjaMd+lXNXkFl4fuTGceVbtj8Fq8eKzvEEUk/h+/iiRnd4HCqo5JIPShNuyAr+DIfK8K2fqwYn/vo1u5OCO2c1j+E45I/DNmkyMjANwwwcbjjj6Vr4ol8TAB05pD6ClI/Ok7VIDCAylTyD1qtpWmQaTYi1ttxQMWyxySTVoDtSii+lgD6cUnv3px6cU2gBc96TGeTS4o6UAITSe4p1JyKADtxS9evWmg80vY0ABwR1oHAz2oxkUnagB3akODQDgHBpMcZoAKQnpzmlB496aRxQA5iCOBTTSjpxSE5IoABwaN9FGF9KAJ+1HbmlJyB0pO1ACH1o60cjg0dKAEoFGCaToaAA9OlAFPHcUmcGgApeO1NyM0c9jxQAvbrSUNxgUEk896AG5PenHGAMYIpMg0AECgA60Ypevem9hg0ALnikzk0dD1o6jrQAo5FJgfWgEg+1JnOaAA89KXqpFGKSgAHSg8DmijH40ACnPWlbhsCk+tDc4/KgA4PXqKbnBNLwTil2nbu/A0AJ1/CkbGTikzzSlcke9ACUbvelPWj5fagD/9kAAAhAAQgkAAAAGAAAAAIQwNsBAAAAAwAAAAAAAAAAAAAAAAAAABtAAABAAAAANAAAAAEAAAACAAAAAAAAgAAAAIAAAHlDAAAAQwMAAAAAAACzAAAAs/3/FEMAAACzAAAAs/7/mUIhAAAACAAAAGIAAAAMAAAAAQAAABUAAAAMAAAABAAAABUAAAAMAAAABAAAAFEAAAB4+gAAAAAAAAAAAACUAAAATAAAAAAAAAAAAAAAAAAAAAAAAAD5AAAAgAAAAFAAAAAoAAAAeAAAAAD6AAAAAAAAIADMAJUAAABNAAAAKAAAAPkAAACAAAAAAQAQAAAAAAAAAAAAAAAAAAAAAAAAAAAAAAAAADlnWmtaa3tvWmtaa1pre29aa1prWmt7b1pre29aa3tve297b1pre29aa1prWmtaa1pre29aa3tvWmtaa1prWmtaa1prWmt7b1pre29aa3tvWmtaa1prWms5Z1prWmtaa1prWmtaa1prWmt7b1pre29aa1prWmtaa1prWmtaa1prWmtaazlnWms5Z1prWmtaazlnWmtaa3tvWmtaa1prWmtaa3tvWmtaazlnWms5Z1prWmtaa1prWmtaa1prWmtaazlnWms5Z1prOWdaa1prWmtaa1prWmt7b1prWmtaa1prOWdaa1prWmtaa1prWmtaazlnWmtaa1prOWdaazlnWmtaa1prOWdaazlnWms5Z1prOWdaazlnWms5Z1prOWdaazlnWmtaa1prWmtaazlnWms5ZzlnOWdaazlnWms5Z1prWmtaa1prWmtaa1prWmtaazlnWms5Z1prOWdaazlnWms5Z1prOWdaazlnWms5Z1prOWdaazlnWms5Z1prWmtaazlnWmtaa1prOWdaazlnWmtaa1prOWdaazlnOWc5Z1prOWc5ZzlnOWc5ZzlnOWdaa1prOWc5Z3tve297bzlnWms5ZzlnOWc5ZzlnOWc5ZzlnOWdaa1prWms5ZzlnOWd7bzlnWms5ZzlnOWc5ZzlnWmsYYwAAe29aa3tve297b1pre297b3tvWmt7b3tve29aa3tvWmt7b3tve29aa1prWmt7b1pre29aa3tvWmt7b1pre29aa1prWmt7b1pre29aa3tvWmt7b1prWmtaa1prWmtaa1pre29aa3tvWmt7b1pre297b3tvWmt7b1prWmtaa3tvWmtaa1prWmtaa1prWmtaa1prWmtaa3tvWmt7b1pre29aa3tve297b1prWms5Z1prWmtaa1pre29aa3tvWmt7b1prWms5Z1prWmtaa1prWmtaa1prWmt7b1pre29aa3tvWmtaa1pre29aa3tvWmt7b1prWmtaa3tvWmtaa1prWmtaa1prWmtaa1prWmtaa1prWmtaazlnWmtaa1prWmtaa1prWmtaa1prWmtaa1prWmtaa1prOWdaazlnWmtaa1prOWdaa1prWmtaa1prWmtaa1prWmtaa1prWmtaa1prWmtaa1prWmtaa1prWmtaa1prWmtaa1prWmtaa1prWmtaa1prWmtaa1prWmtaazlnWmtaa1prOWdaa1prWms5Z1prWmtaazlnWms5ZzlnOWdaa1prWms5Z1pre297b1prWms5Z1prOWc5ZzlnOWc5Z1prOWdaa1pre29aa1prOWdaa1prWms5Z1prOWdaazlnWms5Z1prAABaa3tve297b1pre29aa3tvWmt7b1pre29aa3tvWmtaa1pre29aa1prWmtaa1prWmtaa3tvWmtaa1prWmtaa1prWmtaa1prWmtaa1prWmtaa1prWmtaa1prWmtaa1prWmtaa3tvWmtaa1pre29aa3tvWmt7b1prWmtaa1prWmtaa1prWmtaa1prWmtaa1prWmtaa3tvWmtaa1prWmtaa1prWmt7b1prWms5Z1prOWdaazlnWmtaa1prWmtaazlnWmtaa1prOWdaa1prWmtaa1prWmtaa1prWmtaa1prWmtaa1prWmtaa1prWmt7b1pre29aa1prWmtaa1prWms5Z1prWmtaa1prWmtaa1prWmtaazlnWmtaa1prWmtaa1prWmtaa1prOWdaazlnWms5Z1prOWdaazlnWms5Z1prOWdaa1prWms5Z1prWmtaazlnWms5Z1prOWdaazlnWms5Z1prOWdaazlnWms5Z1prOWdaa1prWmtaa1prOWdaazlnWms5Z1prOWdaazlnWms5Z1prWmtaazlnWms5ZzlnOWdaazlnWms5ZzlnOWdaazlnWms5Z1prWmt7b1prWms5Z1prOWc5ZzlnOWc5ZzlnOWc5ZzlnWms5Z1prOWc5ZzlnWms5Z1prOWc5ZzlnOWc5ZzlnOWcAAHtvWmt7b3tve29aa3tvWmt7b1pre29aa3tvWmt7b1prWmtaa1prWmt7b1pre29aa3tvWmt7b1pre29aa3tvWmtaa1prWmtaa1prWmtaa1pre29aa1prWmtaa1prWmtaa3tvWmtaa1pre297b3tvWmt7b1pre29aa3tvWmt7b1pre29aa3tvWmt7b1pre29aa3tvWmtaa1prWmtaa1prWmt7b1pre29aa1prWmtaa1prWmtaa1prWmt7b1prWms5Z3tvWmtaa1pre29aa3tvWmtaa1prWmtaa1prWmtaa1pre29aa3tvWmt7b1pre29aa1prWmt7b1prWmtaa1prWmt7b1prWmtaa1prWmtaa1prWmtaa1prWmt7b1prWmtaa1prWmtaazlnWms5Z1prWmtaa1prWms5Z1prWmtaazlnWmtaa1prWmtaa1prWmtaa1prWmtaa1prWmtaa1prWmtaa1prWmtaa1prWmtaa1prWmtaa1prWmtaa1prWms5Z1prOWdaazlnWmtaa1prWmtaa1prWmtaa1prOWdaazlnWmtaa1prOWdaa1prWmtaazlnOWdaa1prWms5Z1prOWdaazlnOWc5Z1prOWdaazlnWmtaa1prOWdaazlnWmtaa1prOWdaazlnWms5Z1prOWdaawAAWmt7b3tve29aa1prWmt7b1prWmtaa3tvWmt7b1pre285Z1prWmtaa1prWmtaa3tvWmtaa1prWmtaa1prWmt7b1prWmtaa1prOWdaa1prWmtaa1prWmtaazlnWmtaa1prWmtaa1pre29aa3tvWmt7b1prWmtaa1prWmtaa1pre29aa1prWmtaa1prWmtaa3tvWmtaa1prWms5Z1prOWdaa1prWmtaa3tvWmtaa1prWmtaa1prWmtaa1prWms5Z1prWmtaa1prWmtaa1prWmtaazlnWms5Z1prWmtaa1prWmtaa1prWmtaa1prWmtaa1prOWdaa1prWms5Z1prOWdaazlnWms5Z1prOWdaa1prWms5Z1prOWdaazlnWms5Z1prOWdaazlnOWc5Z1prWmtaa1prWms5Z1prOWdaazlnWms5Z1prWmtaazlnWmtaa1prOWdaazlnWms5Z1prOWdaazlnWms5Z1prOWdaazlnWms5Z1prOWdaazlnWmtaa1prOWdaazlnWms5Z1prWmtaazlnWmtaa1prOWc5ZzlnWms5Z1prOWdaazlnWms5Z1prGGNaa1prWms5ZzlnOWdaazlnOWc5ZzlnOWc5ZzlnWms5Z1prOWdaazlnOWc5Z1prOWdaazlnOWc5ZzlnOWdaazlnAAB7b3tvnHN7b3tvWmt7b3tve29aa3tve297b1pre29aa1prWmt7b1pre29aa3tvWmt7b1pre29aa3tvWmt7b1prWmtaa3tvWmtaa1prWmtaa1prWmtaa1prWmtaa3tvWmt7b1pre29aa3tve297b1pre29aa3tvWmt7b1pre297b3tvWmt7b1pre29aa3tvWmtaa1prWmtaa1prWmtaa1prWmtaa3tvWmtaa1prWmtaa3tvWmt7b1prWmtaa1prWmt7b1pre29aa1prWmtaa1prWms5Z1prWmtaa1prWmtaa1prWmtaa1prWmtaa1prWmtaa1prWmtaa1prOWdaa1prWms5Z1prOWdaazlnWmtaa1prWmtaa1prWms5Z1prOWdaa1prWmtaa1prWmt7b1prWmtaa1prWmtaa1prWms5Z1prWmtaa1prWmtaa1prWmtaa1prWmtaa1prWmtaa1prWmtaa1prWmtaa1prWmtaa1prOWdaazlnWmtaa1prWmtaazlnWmtaa1prWmtaa1prWmtaa3tvWmtaazlnWms5Z1prWmtaa1prWms5Z1prOWc5Z1prWms5ZzlnOWdaazlnWms5Z1prOWc5ZzlnWms5Z1prOWdaazlnOWc5ZzlnOWdaazlnWms5Z1prOWdaazlnWmsAAHtve297b3tve297b1pre29aa3tvWmt7b1pre29aa1prWmtaa1pre29aa3tvWmtaa1prWmtaa1prWmt7b1pre29aa1prWmtaa1prWmtaa1prWmtaazlnWmtaa1prWmtaa1prWmtaa3tve297b1prWmtaa3tvWmtaa1pre29aa3tvWmtaa1prWmtaa1prWmtaa1prWmtaa1prWmtaa1prWmtaa1prWmt7b1prWms5Z1pre297b1prWmtaa1prWmtaa1prWmtaa1prWmtaazlnWms5Z1prOWdaa1prWmtaa1prWmtaa1prWmtaa1prWmtaazlnWmtaa1prWmtaazlnWms5Z1prOWdaazlnWmtaa1prWmtaa1prWmtaa1prOWdaazlnWms5Z1prWmtaa1prWmtaa1prOWdaa1prWms5Z1prOWdaazlnWms5Z1prOWdaazlnWms5Z1prOWdaazlnWms5Z1prOWdaazlnWms5Z1prOWdaazlnWms5Z1prOWdaazlnWms5Z1prOWdaazlnWms5Z3tvWmtaazlnWms5ZzlnOWdaazlnWms5Z1prOWc5ZzlnWms5ZzlnOWdaazlnOWc5Z1prOWc5ZzlnOWc5Z1prOWdaazlnOWc5ZzlnGGM5ZzlnWms5ZzlnOWc5ZzlnOWc5ZwAAe297b3tve297b1pre29aa3tvWmt7b1pre29aa3tvWmt7b1pre297b3tve297b1pre29aa3tvWmt7b1pre29aa3tvWmt7b1pre29aa1prWmtaa1prWmtaa1prWmt7b1pre29aa3tvWmt7b3tve29aa3tvWmt7b1pre29aa3tve297b1prWmtaa1prWmtaa1prWmtaa3tve297b3tve29aa1prWmt7b1pre29aa1prWmucc3tve29aa1prWmt7b1pre29aa1prWmtaa1prWmtaa1prWmtaa1pre29aa3tvWmt7b1pre29aa3tvWmtaa1prWmtaa1prWmtaa1prWmtaa1prWmtaa1prWmtaa3tvWmt7b1prWmtaa3tvWmtaazlnWmtaa1prWmt7b1pre29aa3tvWmtaa1prWmtaa1prOWdaa1prWmtaa1prWmtaa1prWmtaa1prWmtaa1prWmtaa1prWmtaa1prWmtaa1prWmtaa1prWms5Z1prOWdaazlnWmtaa1prWmtaazlnWms5Z1prWmt7bzlnWms5Z1prOWdaazlnWms5Z1prOWc5ZzlnWmtaa1prOWdaa1prWms5Z1prOWdaazlnWms5Z1prOWdaazlnOWc5ZzlnOWc5ZzlnWms5Z1prOWdaazlnWms5ZzlnAABaa1prWmt7b1pre29aa3tvWmt7b1pre29aa1prWmtaa1prWmtaa3tvWmtaa1prWmtaa1prWmtaa1prWmtaa3tvWmtaa1prWmtaa1prWmtaa1prWmtaa1prWmtaa1prWmtaa1prWmt7b1prWmtaa1prWmtaa1prWmtaa1prWmtaa1prWmtaa3tvWmtaa1pre29aa1prWmtaa1prWmtaa3tvWmtaa1prWmtaa1prWmtaa1prWmtaa1prWmtaa1prWmtaa1prWmtaazlnWms5Z1pre297b1prWms5Z1prWmtaazlnWmtaa1prWmtaa1prWmtaa1prWmtaa1prWmtaa1prOWdaa1prWmtaa1prOWdaazlnWms5Z1prOWdaa1prWms5Z1prWmtaa1prWmtaa1prOWdaazlnWms5Z1prWmtaazlnWms5Z1prOWdaa1prWms5Z1prOWdaa1prWmtaa1prOWdaazlnWms5Z1prOWdaa1prWmtaa1prOWc5ZzlnOWc5ZzlnOWdaazlnWms5Z1prWmtaazlnWms5Z1prOWdaa1prWms5ZzlnOWdaazlnWms5ZzlnOWc5ZzlnOWc5ZzlnOWc5ZzlnOWc5Z1prOWdaazlnOWc5ZzlnOWc5ZzlnOWc5ZzlnOWc5ZzlnOWc5ZzlnGGMAAHtvWmt7b3tve29aa3tvWmt7b1pre297b3tvWmt7b1pre29aa3tvWmt7b1pre29aa1prWmt7b1pre29aa3tvWmtaa1pre29aa1prWmt7b1prWmtaa3tvWmtaa1pre29aa1prWmt7b1prWmtaa1prWmtaa1prWmtaa1prWmt7b1pre29aa3tvWmt7b1pre29aa3tvWmt7b1pre29aa3tvWmt7b1pre29aa3tvWmt7b1prWmtaa3tvWmtaa1pre29aa1prWmtaa1prWmtaa1prWmt7b1prWmtaa1prWmt7b1prWmtaa1prWmtaa1pre29aa1prWmt7b1prWmtaa3tvWmtaa1prWmtaa1prWmtaa1prWms5Z1prOWdaa1prWmtaa1prOWdaa1pre29aa3tvWmtaa1prWmtaa1prWmtaa1prWms5Z1prWmtaa1prWmtaa1prOWdaa1prWmtaa1prWmtaazlnWmtaa1prWmtaa1prWmtaa1prWmtaazlnWms5ZzlnOWdaazlnWmtaa1prWmt7b1prWms5Z1prOWdaa1prWms5Z1prOWdaa1prWms5Z1prOWdaazlnWms5Z1prOWdaazlnWms5Z1prWmtaazlnWms5Z1prOWdaazlnWms5Z1prOWdaazlnWms5Z1prOWc5ZwAAWmt7b1pre29aa3tvWmtaa1pre29aa3tvWmt7b1pre29aa3tvWmt7b1prWmtaa1prWmtaa1prWmtaa3tvWmtaa1prWmtaa1prWmtaa1prWmtaa1prWmtaa1prWmtaa1prWmtaa1prWmtaa1prOWdaa1prWmtaa1prWmtaa1prWmtaa3tvWmtaa1pre29aa1prWmt7b1pre29aa3tvWmt7b1pre29aa3tvWmt7b1prWmtaa1prWmtaa1prWmtaa1prOWdaazlnWms5Z1prOWdaazlnWmtaa1prWmtaa1prWmtaa1prOWdaa1prWmtaa1prWmtaa1prWmtaa1prWmtaazlnWmtaa1prWmtaazlnWms5Z1prOWdaazlnWms5Z1prOWdaazlnWmtaa1prWmtaa1prWmtaa1prWmtaazlnWms5Z1prOWdaazlnWms5Z1prOWdaazlnWmtaa1prWmtaazlnWms5Z1prWmtaazlnWms5Z1prOWdaazlnWms5ZzlnOWc5ZzlnWms5Z1prWmtaa1pre29aa1prOWdaazlnWms5Z1prOWdaa1prWms5Z1prOWdaazlnOWc5Z1prOWc5ZzlnWms5ZzlnOWdaazlnWmtaa1prOWc5ZzlnWms5ZzlnOWc5ZzlnOWc5ZzlnOWc5ZzlnAAB7b1pre29aa3tvWmt7b1pre29aa3tvWmt7b3tve29aa3tvWmt7b1pre29aa1prWmt7b1pre29aa3tvWmt7b1pre29aa1prWmt7b1prWmtaa1prWmtaa1pre29aa3tvWmtaa1prWmtaa1prWmtaazlnWmtaa1prWmtaa1prWmtaa3tvWmt7b1pre29aa3tvWmt7b3tve297b3tvWmt7b1pre29aa3tvWmt7b1pre29aa3tvWmtaa1pre29aa1prWmtaazlnWms5Z1prWmtaa1prWmtaa3tvWmt7b1prWmtaa1prWmtaa1prWmtaa1prWmtaa1prWmtaa1prWmtaa1prWmtaa1prWmt7b1prWmtaa1prWmtaazlnWmtaa1prWmtaa1prWmtaa3tvWmtaa1pre29aa1prWmtaa1prWmtaa1prWmtaa1prWms5Z1prOWdaa1prWmtaa3tvWmtaazlnWms5Z1prWmtaa1prWmtaa1prWmtaa1prWmtaa1prOWdaazlnWms5Z1prWmtaa1pre29aa1prOWdaazlnWms5Z1prOWdaa1pre29aa1prWmtaazlnOWc5Z1prOWdaazlnWms5Z1prOWdaa1prWms5Z3tvWmtaazlnWms5Z1prOWdaazlnWms5Z1prOWdaazlnWmsAAFprWmtaa3tvWmt7b1pre29aa1prWmt7b1pre29aa3tvWmt7b1prWmtaa1prWmtaa1prWmtaa3tvWmtaa1prWmtaa1prWmtaa1prWmtaa1prWmtaa1prWmtaa1prWmtaa1prWmtaa1prWmtaa1prWms5Z1prWmtaa1prWmtaa1prWmtaa1pre29aa1prWmt7b1pre29aa3tvWmt7b1pre29aa1prWmt7b1prWmtaa1prWmtaa1prWmtaa1prWmtaazlnWms5Z1prOWdaa1prWmtaa3tve297b1prWmtaa1prWmtaa1prWmtaa1prWmtaa1prWmtaa1prWmtaa1prWms5Z1prWmtaa1prWmtaa1prWmtaa1prWms5Z1prWmtaazlnWmtaa1prWmtaa1prWms5Z1prWmtaa1prWmtaa1prWmtaa1prWms5Z1prOWc5ZzlnWms5Z1prWmtaazlnWms5Z1prOWdaazlnWms5Z1prOWdaazlnWms5Z1prOWdaazlnOWc5Z1prOWdaa1prWmtaa1prWmtaazlnWms5Z1prOWdaa1prWmtaa1prWmtaazlnOWc5ZzlnOWdaazlnWms5Z1prOWdaazlnOWc5Z1prWmtaazlnWms5ZzlnOWc5ZzlnOWc5ZzlnOWc5ZzlnOWc5ZwAAe29aa3tve297b1pre29aa3tvWmt7b3tve29aa3tvWmt7b1pre29aa1prWmt7b1pre29aa3tvWmt7b1pre29aa1prWmt7b1prWmtaa3tvWmtaa1pre29aa1prWmt7b1pre29aa3tvWmt7b1prWmtaa1prWmtaa1prWmtaa1prWmt7b1pre29aa3tvWmt7b1pre29aa3tvWmt7b1pre29aa1prWmt7b1pre29aa3tvWmtaa1pre29aa1prWmt7b1prWmtaa1prWmtaa1prWmtaa1pre2+cc3tve29aa1prWmtaa1pre29aa1prWmtaa1prWmtaa1prWmtaa1prWmtaa1prWmt7b1pre29aa1prWmtaa1prWmtaa1prWmtaa1prWmtaa1prWmtaa1prWmtaa1prOWdaa1prWmtaa3tvWmtaa1prWmtaa1prOWdaazlnWmtaa1prWmt7b1prWms5Z1prOWdaa1prWmtaa1prWmtaazlnWmtaa1prWmtaa1prWms5Z1prWmtaa1prWmtaa3tvWmtaa1prWms5Z1prWmtaa1prWmtaa1prOWdaa1prWms5Z1prOWdaa1prWms5Z1prOWdaa1prWms5Z1prWmtaa1prWms5Z1prOWdaazlnWms5Z1prOWdaazlnWms5Z1prAABaa3tvWmt7b1pre29aa1prWmt7b1pre29aa3tvWmtaa1pre29aa1prWmtaa1prWmtaa3tvWmtaa1prWmtaa1prWmtaa1prWmtaa1prWmtaa1prWmtaa1prWmtaa1prWmtaa1prWmtaa1prWms5Z1prOWdaazlnWmtaa1prWmtaa1pre29aa1prWmt7b1prWmtaa3tvWmtaa1pre29aa3tvWmtaa1prWmtaa3tvWmtaa1prWmtaa1prWmtaa1prWmtaa1prWmtaa1prWmtaa1prOWdaa1pre29aa1prOWdaa1prWmtaa1prWmtaazlnWmtaa1prOWdaa1prWms5Z1prWmtaa1prWmtaa1prWmtaa1prWmtaa1prWmtaazlnWmtaa1prWmtaa1prWms5Z1prOWdaazlnWms5Z1prOWdaa1prWms5Z1prOWdaazlnWms5Z1prOWdaa1prWms5ZzlnOWdaazlnWmtaa1prOWdaazlnWms5Z1prOWdaazlnWms5Z1prOWdaa1prWms5Z1prWmtaazlnWms5Z1prOWdaazlnWmtaa1prOWc5ZzlnWms5Z1prOWc5ZzlnWms5Z1prOWdaazlnWms5ZzlnOWdaa1prWms5ZzlnOWdaazlnOWc5ZzlnOWc5ZzlnOWc5ZzlnOWcAAHtvWmt7b1pre29aa3tvWmt7b3tve29aa3tvWmt7b1pre29ba3tvWmtba1pre29aa3tvWmt7b1pre29aa1prWmt7b1prWmtaa3tvWmtaa1prWmtaa1prWmt7b1pre29aa1prWmtaa1prW2taa1prOWdaa1prWmtaa1trWmtba1trfG9ba3tvWmt7b1prem9aa1prWmtba1pre29ba3tvWmt7b1pre29aa3tvWmt7b1pre29aa1prWmt7b1prWmtaa3tvWmt7b1pre29aa1prWmtZa1lrem9aa1prOWdaa1pre29aa1prWmtaa1prWmtaa1prWmtaa1prWmtaa1prWmtaa1pre29aa3tvWmtaa1pre29aa1prWmtaa1prWmtaa1prWmtaa1pre29aa1prWmtaa1prWms5Z1prOWdaazlnWmtaa1prWmtaa1prWms5Z1prWmtaa1pre29aa1prOWdaazlnWmtaa1prWmtaa1prWmtaa1prWmtaa1prWms5Z1prWmtaa1prWmtaa1prWmtaa1prWmtaa1prWmtaa1prWmtaa1prOWc5ZzlnOWc5Z1prOWc5ZzlnWmtaa1prOWdaa1prWmtaa1prOWdaazlnWms5ZzlnOWdaazlnWms5Z1prOWdaazlnWms5Z1prOWdaawAAWWtaa1prem9aa3pvWmt7b1pre29aa3pvWmtaa1prWmtba1tvW2t7b1prW2taa1trWmt7b1prWmt6b3tvOWdaazlnWmtaa1prWmt7b1prOWdZa1prWmtaa1lrWmtZa1prWmtaa1prW2s6Z1prOWdaazlnem97b1prO2s7Z11v2V40StlenXNba1prWWd6b3pvWmt7b1tre29ba1tvWmt7b1pre29aa1prWmtaa1pre29aa1prWmtaa1prWmtaa1prWWtaazlnWms5Z1prWWt6b1lnWWtZa1prWWtaa1prWmtaa1prWmtaa1prWmtaa1prOWdaa1prWms5Z1prWmtaa1prWmtaa1prWmtaa1prWmtaa1prWmtaa1prWmtaa1prWmtaa1prWmtaa1prWmtaa1prWmtaa1prWmtaa1prWms5Z1prOWdaazlnWms5Z1prOWdaazlnWmtaa1prWmtaazlnWmtaa1prWmtaa1prWms5Z1prOWdaazlnWms5Z1prOWc5ZzlnWms5Z1prOWdaazlnWmtaa1prWmtaazlnWms5Z1prOWdaazlnWms5Z1prOWdaazlnWms5Z1prOWc5ZzlnOWc5Z1prOWdaazlnWms5ZzlnOWc5ZzlnOWc5Z1prOWc5ZzlnWms5ZzlnOWdaazlnAABaa1prem9aa3tvWmt7b3tve296b3tvWmt6b1prem9aa3tvW2t7b1trW29ba3tvWms5Z1pre29aa3tvWmtaa3pve29aa3tvWmtaa1pre29aa3pvWmt6b1prWmtZa1prWWt6a1prW2taa1trOmdbazlnWms5Z1prOWd8bxtn2l5vMS0lsTVca3xvnHN6b3pvWWt7b1trfG9ba3tvW2t7b1pre29aa3tvWmt7b1pre29aa1prWmt7b1pre29aa3tvWmtaa1lrWmtZa1prWWt6b1prWmtZa1prWWtaa1prem9aa1prWmt7b1pre29aa1prWmtaa1prWmtaa1prWmtaa1prWmtaa3tvWmtaa1pre29aa1prWmt7b1prWmtaa1prWmtaa1prWmtaa1prWmtaa1prWmtaa1prWmtaa1prWmtaa1prOWdaazlnWms5Z1prWmtaa1prWmtaa1prWmtaazlnWmtaa1prWmtaa1pre29aa1prOWdaa1prWmtaa1prWmtaazlnWmtaa1prWmtaazlnWms5Z1prWmtaa1prWms5Z1prOWdaazlnWms5Z1prWmtaazlnWmtaa1prOWdaazlnOWc5Z1prWmtaa1prWmtaazlnOWdaazlnOWc5Z1prWmtaazlnWms5Z1prOWdaazlnWmsAAFprWmtaa3pvWmt7b1pre29aa3tvWmt6b1prem9aa1prWmtbb1prW2taa1trWmtbazpne29ba1trW2tbazlne29aa1prWmt7b1prWmtaa3tvWmt6b1prWmtZa1prOWdZa1lrWmtaa1prOmdbazpnWmtZa1lrOWc5Z1xvO2t2UqkU6yAtKRpjXGtaa3tvWWt6b1pre29ba1trW2tbb1prWmtaa3tvWmt7b1pre29aa1prWmtaa1prWmtaa1prWmtaa1lrWms5Z1prWWtaa1lrWmtZa1prWWdaa1lrWmtZa1prWmtaa1prWmtaa1prOWdaa1prWms5Z1prWmtaazlnWmtaa1prWmtaa1prWmtaa1prWmtaa1prWmtaa1prOWdaa1prWmtaa1prWmtaa1prWmtaa1prOWdaazlnWms5Z1prOWdaazlnWms5Z1prOWdaa1prWms5Z1prWmtaazlnWms5Z1prOWdaa1prWmtaa1prOWdaazlnWms5Z1prOWdaa1prWms5Z1prWmtaazlnWms5Z1prOWdaa1prWms5Z1prOWdaazlnWmtaa1prOWdaazlnWms5Z1prOWdaazlnOWc5Z1prOWdaazlnWms5Z1prOWdaazlnOWc5ZzlnOWdaazlnWms5ZzlnOWdaazlnOWc5ZwAAe29aa3tvWmt7b3pve296b3tvem97b1pre29aa3pvWmt7b1tre29ba3tvW2tbb1trnHNbaxlj+F5ba1tvW2taa1trOmdba3tvnHNaa3tve297b1prem9aa1prWWtaa1lremtZa1prWmtba1prWms5Z1prWWt7bzlnW2s7Z7hayhhvMS0pXGtbazlnem96b5tze29ba3tvW2t7b1tre29aa3tvWmt7b1pre29aa1prWmtaa1pre29aa3tvWmtaa1prWmtZa1prWWtaa1lrWmtZa1prWWtaa1lrWmtaa1prWmt7b1pre29aa3tvWmtaazlnWmtaa1prWmtaa1prWmtaa1prWmtaa1prWmtaa1prWmtaa1prWmtaa1prWmtaa1prWmtaa1prWmtaa1prWmtaa1prWmtaazlnWmtaa1prOWdaa1prWms5Z1prWmtaa1prWmtaa1prWmt7b1prWms5Z1prWmtaa1prWmtaa1prWmtaa1prWmtaa1prWmtaazlne29aa1prWmt7b1prWms5Z1prWmtaa1prWmtaa1prOWdaazlnWmtaa3tvWmtaazlnWms5Z1prOWdaazlnWms5Z1prOWdaazlnWms5Z1prOWdaazlnWms5Z1prOWdaazlnWms5Z1prOWdaazlnWms5Z1prAABaa3pvWmt7b1pre29aa3tvWmt6b1prem9aa1prWmt6b1prW2taa1trWmtba1trW298b/heEUIRRrdaW2tca1xvW2tbazpre29bb3tvWmtaa1pre29aa1prWWtaa1lrWWtZa1lrWWtaazpnWms6Z1prOGc4Z1prOWcZYztn2FrqHC0lDCU8a51zWmt7b1lnem9aa1trW2tba1prW2taa1prWmtaa1pre29aa1prWmtaa1prWmtaa1prWmtaa1prWms5Z1lrOWdaazlnWmtZa1prOWdaa1lrWmtZa1prWWtaa1prWmtaa3tvWmtaazlnWms5Z1prWmtaazlnWmtaa1prWmtaa1prWmtaa1prWmtaa1prWmtaa1prWmtaa1prWmtaa1prWmtaa1prWmtaa1prOWdaazlnWms5Z1prOWdaazlnWms5Z1prOWdaa1prWms5Z1prOWdaa1prWmtaa1prOWdaa1prWms5Z1prOWdaazlnWms5Z1prOWdaazlnWms5Z1prOWdaa1prWms5Z1prOWdaazlnWms5Z1prOWdaazlnOWc5Z1prWmtaazlnWms5ZzlnOWdaazlnOWc5ZzlnOWdaazlnWms5Z1prOWdaazlnWms5Z1prOWc5ZzlnWms5ZzlnOWdaazlnOWc5Z1prOWcAAHtvWmt7b3pve296b3tvem97b1pre29aa3tvWmt7b1pre29aa3tvWmt7b1tre29ba1trlVKvOY4xdE4aY1xvfG99b3xvfG9aa1trW2t8b1pre29aa3tvWmt6b1lrem9Za1lrWWtaa1prW2taa1trWmt6bzhnWms5Z1trW2vYXocUDCVNKVxrfXN7b3pvWmtaa3pvWmt7b1trW29ba3tvWmt7b1pre29aa3tvWmtaa1prWmtaa3tvWmt7b1pre29aa1prWWdaa1prWmtZa1prWWtaa1lrWmtaa1prWmt6b1pre29aa3tvWmt7b1prWmtaa1prWmtaa1prWmtaa1prWmtaa1prWmtaa1prWmtaa1prWmtaa1prWmtaa1pre29aa1prWmtaa1prWmtaa1prWmtaazlnWmtaa1prWmtaa1prWmtaa1prWmtaa1prWmtaa1prWmtaa1prWmtaa1prOWdaa1prWmtaa1prWmtaazlnWms5Z1prWmtaa1prWmtaa1prOWdaa1prWmtaa1prWmtaazlnWmtaa1prOWdaa1prWms5Z1prWmtaa1prWmtaa1prOWdaazlnWms5Z1prOWdaazlnWmtaa1prOWdaazlnWmtaa1prOWc5ZzlnWms5Z1prOWdaazlnWms5Z1prOWdaawAAWmt7b1pre29aa3tvWmt7b1prem9aa3pvWmt6b1prem9aa1prWmtaa1prW29ba1tvOmf4XjNKEkJUSpZSllK4WvheW2t8b1trOmdbb1tvW2taa1prWmtaa1lrem9Za3prWGtZa1lnWms6a1trOmdaa3tvOGdZa3pvWmtba7dahxQsJdI5O2dca1prWWtZa3pvWmtba1prW2taa1trWmtaa1pre29aa1prWmtaa1prWmtaa1prWmtaa1prWmtaa1prOWdZazlnWmtaa1prOWdaa1prWms5Z1prWWtaa1lrWmtaa1prWmtaa1prWmtaa1prWmtaazlnWmtaa1prOWdaa1prWms5Z1prWmtaazlnWmtaa1prOWdaa1prWmtaa1prWmtaa1prWmtaa1prWmtaazlnWms5Z1prWmtaa1prWms5Z1prOWdaazlnWmtaa1prWmtaazlnWmtaa1prOWdaazlnWms5Z1prOWdaazlnOWc5Z1prOWdaazlnWms5Z1prOWdaazlnWmtaa3tvWmtaazlnWms5Z1prOWdaazlnWms5Z1prOWdaa1prWmtaa1prOWdaazlnOWc5ZzlnOWc5ZzlnOWc5Z1prOWdaazlnWms5Z1prOWdaazlnOWc5Z1prOWdaazlnOWc5Z1prOWc5ZzlnAAB7b3tve296b3tvem97b3pve29aa3pvWmt7b1pre29aa3pvWmt7b1pre29ba3tvW2tba1trO2e3WnVS8kGwObA5VEr5Yp1zXG9ba3xvfG86a1trWmtba1pre29aa3tvemtZa1lrWmtaa1trWmtba1prem8XY3pvem9aaxlj2F7IGOsg8j08a1xrnHNZa3pvWWd6b1prW2tba1tvW2tba1pre29aa1prWmtaa1prWmtaa1prWmt7b1pre29aa1prWmtZa1lnWmtZa1prWmtaazpnW2taa1prWmtaa1premtZa1prWmtaa1pre29aa1prWmtaa1prWmtaa1prWmtaa1prWmtaa1prWmtaa1prWmtaa1prWmtaa1prWmtaa1prWmtaa1prWmtaa1prWmtaa1prWmtaa1prWmt7b1pre29aa1prWmtaazlnWmtaa1prWmtaa1prWmtaa3tvWmtaazlnWmtaa1prWmtaa1prWms5Z1prWmtaa1prWmtaa1prOWdaa1prWmtaa3tve297b1prWmtaa1prOWdaazlnWms5Z1prWmtaazlnWmtaa1prWmtaazlnWms5Z1prOWc5ZzlnOWc5Z1prOWdaa1prWmtaa1prWmtaazlnWms5Z1prOWdaazlnWms5Z1prOWdaazlnOWcAAFprem9aa3tvWmt6b1pre29aa3pvWmt7b1prWmtaa1prWWdaa1prem9aa1trW2t8bzprW2s7Zztn2FpUTo81KyVtLdA5VE4ZYztrW2s6a1trOmtba1tve29aa1prWmtaa1lreWtZa1prWmtbazpnOms5Z1prOGd6bxhjOWfXWskcDCWxOVxrfG9aa3pvemt6a1pre29ba1tvW2t7b1trWmtaa1prWmt7b1prWmtaa1prWmtaa1prWms5Z1prWmt6bzlnWWc5Z1prOmdba1prW2s5Z1trOmdaa1prWmtZZ5tzWWtaa1prWmtaa1prWmtaazlnWmtaa1prOWdaa1prWms5Z1prWmtaa1prWms5Z1prOWdaa1prWmtaa1prWmtaazlnWms5Z1prOWdaazlnWms5ZzlnOWdaa1prWms5Z1prOWdaazlnWmtaa1prWmtaa1prWmtaa1prOWdaa1prWms5ZzlnOWdaazlnWms5Z1prOWdaa1pre29aa1prOWc5ZzlnWmtaa1prWmtaa1prWms5Z1prOWdaazlnWms5Z1prOWdaazlnWms5Z1prOWdaaxhjOWc5ZzlnOWc5ZzlnWms5ZzlnOWdaazlnWms5Z1prOWdaazlnWms5ZzlnOWc5ZzlnWms5ZzlnOWc5ZzlnWmsYYwAAe29aa3tvem97b1pre296b3tvWmt7b3pve29aa3pvWmtaa1pre29aa3tvWmt7b1tvfG9ca3xvXGs7a9hedVISQislTC2uNc85dE4ZY3xvOmc6Z3tvfG86Z1trnXedczlnem96a1prWmt8bztnOmd8b1prWmtZa3pvOWc6Z/he6RwsJZA1fW98b3tvWmt6b1pre29aa3tvW2t7b1tve29aa1prWmt7b1pre29aa3tvWmt7b1pre29aa1prWmt7b1prWmtZa1prWmtaa1prW2tba1trW2tba1pre29aa1prWWtaa1prWmtaa1prWmt7b1prWmtaa1prWmtaa1prWmtaa1prWmtaa1prWmtaa1prWmtaa1prWmtaa3tvWmtaa1prWmtaa1prWmtaazlnWmtaa1prOWdaa1prWmtaa1prWmtaa1prWmtaa1prWmtaa1prWmtaa1prWmtaa1pre29aa1prWmtaa1prWmtaa1prWmtaazlnWmtaa3tvWmtaazlnWmtaa1prWmtaa1prWmtaa1prWmtaa1prWmtaa1prWmtaa1prWmtaa1prWmtaa1prWms5Z1prWmtaazlnWms5Z1prOWdaa1prWms5Z1prOWdaazlnWms5Z1prOWdaazlnWms5Z1prOWdaazlnWms5ZzlnAABaa3pvWmt6b1prem9aa3pvWmt6b1prem9aa3pvWmtaa1lremtaa3prWmtaa1pre29ba1trOmtba1trW2v5YvheU0quNSolTC2NMdA9VE4aY31vOmcZY3xvfG86ZzpnfG84Z3pvOWdba3xv+V6VUhpjOmt8bzlne285Z1pr+F4KIesgkDVca3xvWmt6b1lremtaa1trOmtba1trW29aa1prWmtaa1prWmtaa3tvWmtaa1pre29aa1prWmtaa1prWmtZa1prWWtaazpnWms6Z1trW2tbazpnOmtaa3pvWWtZazlnWms5Z1prWmtaa1prWms5Z1prWmtaa1prWms5Z1prOWdaa1prWmtaa1prOWdaazlnWms5Z1prWmtaa1prWmtaa1prOWdaazlnWms5Z1prOWdaazlnWms5Z1prOWdaa1prWmtaa1prWmtaazlnWms5Z1prOWdaa1prWmtaa1prWmtaa1prWmtaa1prWmtaazlnWms5Z1prWmtaazlnWmtaa1prWmtaa1prWmtaa1prWmtaazlnWmtaa1prOWdaazlnWms5Z1prOWdaazlnWmtaa1prWmtaazlnOWc5ZzlnOWdaazlnWms5Z1prOWc5ZzlnWms5ZzlnOWc5ZzlnOWc5Z1prOWc5ZzlnWms5Z1prOWcAAHtvWmt7b1pre29aa3tvWmt7b1pre29aa3tvWmt6b1prem9aa3pvWmt6b1pre29ba3tvWms6azpnW2taa1prOmcZYxljtlaNNSspbTHQOa81dE4aY31vOmc7Z31vnXM6Z3tvnHN7b1trO2sSQkwp0Dlba3xve297b1trWmv4Xisl6yBvMVxrfG97b1lremtaa3tvWmtba1tre29ba3tvWmtaa1prWmtaa3tve297b1pre29aa3tvWmtaa1prWmtZa1prWWt6a1prW2s6Z1xrW2t8b1trW2taa1prWmt7b1lrWmtaa1prWmtaa1prWmtaa1prWmtaa1pre29aa1prOWdaa1prWmtaa1prWmtaa1prWmtaa1prWmtaa1prWmtaa1prWmtaa1prWmtaa1prOWdaa1prWmtaa1prWmtaazlnWmtaa1prWmtaa1prWms5Z1prWmtaa1pre29aa1prWmt7b1pre29aa3tvWmtaa1prWmtaa1prWmtaa1prWmtaa1prWmtaa1pre29aa1prWmt7b1prWmtaa1prWmtaa1prWmtaa1prWmtaa1prWmtaa1prWmtaa1prWms5Z1prOWd7b1prWmtaa1prOWdaazlnWms5Z1prOWdaazlnWms5Z1prOWdaazlnWms5Z1prOWdaawAAWmt6b1prem9aa3pvWmt6b1prWmtaa3tvWmt6b1prem9Za3prWmt6b1lrWmtaa3tvWmtaazlnWmtaa1prWmtaazpnGGP4YjlnlVKuNSspjTFtLY41M0Y7Z31vO2c7Z753OWd7bzpnO2f5XrA1yRhtLflenHNaa3tvWmtaa/hebTHKHE4tGmN8b1prWmtZa3pvWmtaazpnW29ba1trWmt7bzlnWmtaa3tvWmt7b1pre29aa3tvWmtaa1prWmtaa1prOGdZa1lrWms6Z1trO2tca/he+WJba5xzWmtZa1prWWtaa1prWmtaazlnWms5Z1prOWdaa1prWmtaa1prOWdaa1prWmtaa1prWmtaa1prWms5Z1prOWdaazlnWmtaa1prWmtaa1prWms5Z1prOWdaa1prWms5Z1prOWdaazlnWmtaa1prWmtaazlnWms5Z1prOWdaa1prWmtaa1prWmtaa1prWmtaa1prWmtaazlnWms5Z1prOWdaazlnWmtaa1prOWdaa1prWmtaa1prWmtaa1prWmtaa1prWmtaa1prWms5Z1prOWdaazlnWms5Z1prOWdaazlnWms5ZzlnOWdaa1pre29aa1prWmtaazlnWms5Z1prOWdaazlnOWc5ZzlnOWc5ZzlnOWc5ZzlnOWdaazlnAAB6b1pre29aa3pvWmt7b1prem9aa3tvem97b1pre29aa3pvWmt7b3prWmtaa3pvWmt7b1prem9aa3pvWmt6b1prGGNaa3xvGWcZY/helVLQOUspbS2ONY81M0bZWjxn+V5aa1trW2s7a/pi0TksJW4x11p8b3xvW29bazpnGmOwOescLSkaY1tre29aa3pvWmt7b1prW2t8b3xzW2tba3tvWmtaa3tvWmt7b1pre29aa3tvWmt7b1pre29aa1prWWtZazlnWmtaa1tvW2tbaztn0DnQPddafHN7b1lrem9Za3pvWmt7b1prWmtaa1prWmtaa1prWmtaa1prWmtaa1pre29aa1prWmtaa1pre29aa1prWmtaa1prWms5Z1prWmtaa1prWmtaa1prWmtaa1prWmtaa1prWmtaazlnWmtaa1prWmtaa1prWmtaa1prWmtaa1prWmtaa1prWmtaa1prWmtaa1prWmtaazlnWms5Z1prOWdaa1prWmtaa3tvWmtaa1prWmtaa1prWmtaa1pre29aa3tvWmtaa1prWmtaa1prWmtaa1prWmtaa1prWms5ZzlnWms5Z1prOWdaa1pre29aa3tvWmtaa1prWms5Z1prOWdaazlnWms5Z1prOWdaazlnWms5Z1prOWdaa1prWmsAAFprem9aa1prWmt6b1prWmtaa1prWmt6b1pre29aa3pvWmt6b1prem9Za1prWWt6a1lrWmtZa1prWWt6b1lrWWt7bzpnGGNba1trOmf4XhljdVLxPW0tbjFuMY8x0T11ThljOmc7Z1xr2V7SPQshCyVVTlxrW2t7b1trW2s6ZxNGyhwtJdhaOmdaa3pvWWtaa3pvWmtaa3xzfG97b1pre29aa1prWmtaa1pre29aa1prWmtaa1prWmtaa1prWmtaa1lrWWs4Z1prW2tcaxpj+WLqIAohEkZba3tvWWtaa1prWWtaa1prWmtaa1prWmtaa1prWms5Z1prOWdaa1prWmtaa1prWmtaa1prWmtaa1prWmtaazlnWms5Z1prOWdaa1prWmtaa1prWmtaazlnWms5Z1prOWdaazlnWms5Z1prOWdaazlnWmtaa1prOWdaa1prWmtaa1prWmtaazlnWmtaa1prWmtaazlnWms5ZzlnOWdaazlnWmtaa1prWmtaa1prWmtaa1prWmtaa1prWmtaa1prWmtaazlnWms5Z1prOWdaazlnWms5Z1prOWdaazlnWms5Z1prOWdaazlnWmtaa1prWmtaa1prWms5ZzlnOWdaazlnOWc5ZzlnOWc5ZzlnOWc5ZzlnOWdaazlnWms5ZwAAe29aa3pvWmt7b1prem9aa3pvWmt6b1pre296b3tvWmt7b1pre29aa3pvWWt6a1lre296b3pvWmt6b1prem9Za1lrWmt7b1prOms6ZzpnGWMZY/het1YSQo4xKyVtLY41rjXwPZZS+mL6XhRGkDFNLVRKO2tcb1trfG9ba1tvVE7rIAwl2FoaY3tvem96b1lre29aa3tvnHOdd3tvW2tba3tvWmt7b1pre29aa3tvWmtaa1pre29aa3tvWmtba1prem9Za1lrWmt8b1trGmfYWk0tCiESRltrfG85Z3prWWtaa1prWmtaa3tvWmt7b1pre29aa1prOWdaa1prW2taa3tvWmtaa1prWmtaa3tvWmt7b1prWms5Z1prOWdaazlne29aa1prWmtaa1prWmtaa1prWmtaazlnWmtaa1prWmtaa1prWmtaa1prWmtaa1pre29aa1prWmtaa1prWmtaa3tvWmtaa1prWmtaa1prOWdaazlnWmtaa1prWmtaa1prWmtaa1prWmt7b1prWmtaa1prWmtaa1prWms5Z1prOWdaa1prWmtaa1prWmtaa1pre29aa3tvWmtaazlnWms5Z1prWmtaazlnWms5Z1prOWdaazlnWms5Z1prOWdaazlnWms5ZzlnOWdaazlnWmtaa1prAABaa3pvWmt6b1prem9aa3pvWWtaa1prWmtaa1prWmt6b1prem9aa1prWmtaa1prem9aa3pvWmt6a1lrWmtZa3prWmt7b1prWmtaa1prWmtaazlnOmcYY/helFIRQowxKyULJU0pTimQNdM90j1OLS0lsDU7ZxpjfG98b1lremuUUuogLSkTQn1zW2t7b1lrm29Za3prWmt6b1pre2tba3tvWmtaa1prWmtaa1prWmtaa1prWmtba3tvWmtbazprWmtZa1lrOWdaazprW2saZ/pebzHrIG4tXW86a1lreWtZazlnWmtaa3tvW2t7b3tve29aa1trWmtbazpnWms6Z1prWmtaa1prWmtaa1prWmtaazlnWmtaa1prOWdaa1prWms5Z1prWmtaazlnWmtaa1prOWdaa1prWmtaa1prOWdaa1prWms5Z1prOWdaa1prWmtaa1prWmtaazlnWms5Z1prOWdaazlnWms5Z1prOWdaazlnWmtaa1prOWdaa1prWmtaa1prWmtaazlnWms5Z1prWmtaa1prWms5Z1prOWdaazlnWms5Z1prOWc5ZzlnWms5Z1prOWdaazlnWms5Z1prOWdaazlnWms5Z1prOWdaazlnWms5Z1prOWdaazlnWmsYYzlnOWc5ZxhjOWc5Z1prWmsAAHtvWmt7b1pre29aa3tvWmtaa1prem9aa3pvWmt7b1pre29aa3tvWmt6b1pre296b3tvWmt7b1prWmtaa3pvWmt7b1pre29aa1prWmtaa1prWmtaa3tvWmtaa/de1lqVUjNGE0KxOS0pDCHKHOsc7CBOKXZO2Fpca51zOGNaa7ZWyRwtKTNGXGs6Z3tvWms4Z3pvWWt6b1pre29aa3tvW2tba1pre29aa3tvWmt7b1prW2tba3tvW2t7b1prW2taa1prWWtaazlnW2tbaztn+V6QMcocTi08Z1xrOWd5a1hrWmtaa3tvW2t7b1tre29aa3tvWmtbb1trW2taa1trOmtba1prWmtaa1prWmtaa1prWmtaa1prWmtaa1prWmtaa1prWmtaa1prWmtaa1prWmtaa1prWmtaa1prWmtaa1prWmtaa1prWmtaa1prWmtaa1prWmtaa1prWmtaa1prWmtaa1prWmtaa1prWmtaa1prWmtaa1prWmtaa1prWmtaa1prWmtaa1prWmtaa1prWmt7b1prWmtaa1prOWdaa1prWmtaa1prOWdaazlnWms5Z1prWmtaa1prWms5Z1prOWdaa1prWmtaa1prWmtaa1prWms5Z1prOWdaazlnWms5ZzlnOWdaazlnOWc5Z1prWmtaawAAWmt6b1prem9aa3pvWmt6b1prWmtaa1prWmt6b1prem9aa3pvWmtaa1prem9aa3pvWmt6b1prWmtaa1prWmtaa1prWmtaa1prWmtaa1prWms5ZzlnOWc5ZzlnOWcYYxhj+F75XpZS8j1uLQwlyhjJGOsc0Tk0RhtnXWsaYzpnGWPrIE4p0TldaxljnXM6Z1prWWt6a1lremtaa3trW2tba1pre29aa3tvWmt7b1prWmtaa1trWmtba1prW2taa1prWmtaazlnWmtaa1trGmf6XpA16yAMJfpeW2s5ZzhnWWtZa1trWmtaa1prWmtaa1prWmtaa1prWmtaa1trOmdaa1prWmtaa1prWmtaa1prWmtaa1prOWdaa1prWms5Z1prOWdaazlnWms5Z1prOWdaazlnWms5Z1prWmtaazlnWms5Z1prWmtaa1prWmtaa1prWmtaazlnWmtaa1prOWdaazlnWms5Z1prOWdaazlnWmtaa1prOWdaa1prWms5Z1prWmtaazlnWmtaa1prOWdaa1prWms5Z1prOWdaazlnWms5Z1prOWdaazlnWms5Z1prOWdaazlnWms5Z1prOWdaazlnWms5Z1prOWdaazlnWms5Z1prOWc5ZzlnOWc5ZzlnOWc5ZzlnOWc5ZzlnOWdaazlnAAB7b3pve29aa3tvem97b1pre29aa3pvWmt7b1pre29aa3tvWmt7b1pre29aa3tvWmt7b1prem9aa3pvWmt6b1pre29aa1prWmt7b1pre29aa3tvWmtaazlnWms5ZzlnGGNaazlnOmf4XthaVUqQNakUVkqxNS0pkTWYUhtjPGe4VpA1LSmQNV1vXGt8bzpne296b1premtaa3tvWmt7a1tre29aa3tvWmt7b1pre29aa3tvWmt7b1pre29aa1trWmtaa1prWms5Z1trW2s7Z/pi8j0MJQwll1Z9bzpnWWtZa3pvWmtaa1pre29aa1prWmt7b1prWmtaa1trWmtaa1prWmtaa1prWmtaa1prWmtaa1prWmtaa1prWmtaa1prWmtaa1prWms5Z1prWmtaazlnWmtaa1prWmtaa1prWmtaa1prWmt7b1pre29aa1prWmtaa1prWmtaa1prWmtaa1prWmtaa1prWmtaa1prWmtaa1prWmtaa1prWmtaa1prWmtaa1prWmtaa1prWmtaa1prWmtaa1prOWdaazlnWms5Z1prWmtaazlnWms5Z1prOWdaa1prWms5Z1prOWdaazlnWmtaa1prWmtaa1prWmtaa1prOWc5ZzlnOWc5ZzlnOWdaazlnWms5Z1prOWdaazlnWmsAAFprem9aa3tvWmt6b1pre29aa3pvWmt6b1prem9aa3pvWmt6b1prem9aa3pvWmt6b1prem9aa1prWWtaa1prWmtaa1prWmtaa1prWmtaa1prWmtaa1prWmtaa1prWmtaa1hnN2c4YzlnGWP5XhNC6yBvLdM9V0rUPQ0lcC3TPTZKkTENIU4pPGc8Z31vGWNba1prWmtaa1prWmtaa1prW2taa3tvWmt7b1pre29aa3tvWmtaa1prWmtaa1prWmtaazlnWmtZa1prOmdbazpnG2MTQk4p6hw0RlxrWmtZZ3pvWWtaa1prWmtaa1prOWdaa1prWmtaa1prWmtaa1prWmtaa1prWmtaa1prWmtaa1prOWdaa1prWms5Z1prWmtaazlnWms5Z1prOWdaazlnWms5Z1prWmtaa1prWms5Z1prOWdaa1pre29aa3tvWmtaa1prWmtaa1prOWdaazlnWms5Z1prOWdaazlnWms5Z1prOWdaa1prWms5Z1prWmtaazlnWmtaa1prOWdaa1prWms5Z1prOWdaazlnWms5Z1prOWdaazlnWms5ZzlnOWdaazlnWms5Z1prOWc5ZzlnWms5Z1prOWdaazlnWms5Z1prOWc5ZzlnOWc5ZzlnOWc5ZzlnOWc5ZzlnOWc5ZzlnOWc5ZwAAe296b3tvem97b3pve296b3tvWmt7b3pve29aa3tvWmt6b1pre296b3tvWmt7b1pre29aa3tvWmtaa1prem9aa3tvWmt7b1prWmtaa3tvWms5ZzlnWmtaa1prOWdaa1lnWGs3Z3lvWWsZY/heVUoMIQ0lkjW6VvVBDyVQLVAtDiUOJcscTy13UvpifW+dc1trW2taa1trWmtba1prW2taa3tvWmt7b1pre29aa3tvWmt7b1prem9aa1prWmt6b1prWmtaa1prWWtaa1prW2saY1VOjzHqHI81O2s6a1prWWt6a1prem9aa1prWmtaa1prWmtaa1prWmtaa1lremtaa1prWmtaa1prWmtaa1prWmtaa1prWmtaa1prWmtaa1prWmtaa1prWmtaa1prWmtaa1prWmtaa1prWmtaa1prWmtaa1prWmtaa3tvWmt7b1prWmtaa1prWmtaa1prWmtaa1prWmtaa1prWmtaa1prWmtaa1prWmtaa1prWmtaa1prWmtaa1prWmtaa1prWmtaa1prOWdaazlnWms5Z1prWmtaa1prWms5Z1prOWdaazlnWms5Z1prOWdaazlnWms5Z1prWmtaa1prWmtaa1prWmtaazlnWms5ZzlnOWc5ZzlnWms5ZzlnOWdaazlnWms5Z1prAABaa3tvWmt7b1pre29aa3tvWmt7b1prem9aa3pvWmtaa1prem9aa3pvWmt6b1prWmtaa3pvWmtaa1prWmtaa1prWmt7b1prWmtaa1prWmtaa1pre29aa3tvWmtaazlnWmtYZ1hrmm+bbxljGmNVSgwhDSWzOdxe9UGKFA4lLymzOS8pzBwNJbE1NUbYWlxrW2s6Z1trOmdaa1pnW2s6Z1prWmtba1prW2taa1prWmtaa1prem9Za1prWWtaa1lrWms5Z1prWWtZazlnW2s6Zxtnl1LSPckYLCkZY1trWmtZa1lrWmtaa1prWmtaa1prWmtaa1prWWtaa1lrWmtZa1prWWtaa1prWmtaa1prWmtaa1prWms5Z1prWmtaazlnWmtaa1prWmtaa1prWmtaa1prOWdaazlnWmtaa1prOWdaazlnWms5Z1prWmtaa1prWmtaa1prOWdaa1prWms5Z1prOWdaazlnWms5Z1prOWdaa1prWms5Z1prWmtaazlnWms5Z1prOWdaa1prWmtaa1prOWdaazlnOWc5Z1prOWdaazlnWms5Z1prOWdaazlnWms5Z1prOWc5ZzlnWms5ZzlnOWdaazlnWms5Z1prOWdaazlnOWc5ZzlnOWc5ZzlnOWc5Z1prOWc5ZzlnWms5ZzlnOWcAAHtvem97b3pve296b3tvem97b3pve29aa3tvWmt7b1prem9aa3tvem97b3pvem9aa3tvWmt6b1prem9aa3pvWmt7b1pre29aa3tvWmtaa1prWmtaa1prWmtaa1pre296b5pvOGd5a1lrOmc7Z5dSCyENJZExHmdXTi4lLykOJS4pFkYOJQ0lDCWQMY8xl1L5XlxrW2tba1prW2taa1trWmtba1trW2taa3tvWmtba1pre29aa1prWWtaa1lremtaa1prWmtaa1lnWmtaa1trGmfZWhNC6iAKIRpjW297b1lremtaa3pvWmt7b1prW2taa1trWmtaa1lremtZa1lrWWtaa1prWmtaa1prWmtaa1prWmtaa1prWmtaa1prWmtaa3tvWmtaa1pre29aa1prWmtaa1prWmtaa1prWmtaa1prWmtaa1prOWdaa1prWmtaa1prWmtaa1prWmtaa1prWmtaa1prWmtaa1prWmtaa1prWmtaa1prWmtaa1prWmtaa1prWmtaa1prWmtaa1prWmtaazlnWms5Z1prOWdaa1prWmtaa1prOWdaazlnWms5Z1prOWdaazlnWms5Z1prOWdaa1prWmtaa1prWmtaa1prWms5Z1prOWdaazlnOWc5Z1prOWc5ZzlnWms5ZzlnOWdaawAAWmt6b1prem9aa3pvWmt7b3pve296b3tvWmt7b1pre296b3pvWmt7b3tve29aa1prWWtaa1prWmtZa1prWmtaa3tve29aa1prWmtaa1prWmtaa1prWmtaa1prWmtaa1prOWd6azlnWmcaYztnuFZNKQwhTim6Wvte8z2xOZAxby3LHMsc7CCxNRRCTSmOMUwt0DmWUhljOmcZY1tre2t8bxljWmt7b3xvW2taa1pre29aa1prWmtaazlnWWtZa1prOWdaa1lrWms5Z1prOmc7axtn8kHKHAsldU5bazlne28YY5xzGGN7b1trGGN8bzprOms5Z1prem84Z1lrWWt6a1lrWmtaa1prWmtaa1prWmtaa1prOWdaazlnWmtaa1prWmtaa1prWms5Z1prWmtaazlnWmtaa1prWmtaazlnOWc5Z1prOWdaazlnWmtaa1prWmtaa1prWms5Z1prOWdaazlnWms5Z1prOWdaazlnWmtaa1prOWdaazlnWmtaa1prOWdaa1prWms5Z1prWmt7bzlnWms5Z1prOWdaazlnWms5Z1prOWdaazlnWms5Z1prOWdaazlnWms5ZzlnOWc5ZzlnOWc5Z1prOWc5ZzlnWms5Z1prOWdaazlnOWc5ZzlnOWc5ZzlnWms5ZzlnOWc5ZzlnAAB7b1pre29aa3tvWmt7b3tve297b3tve297b3pve296b3tvem97b3pvm3N7b3tvWmtaa1prem9aa1prWmt6b1pre297b3tvWmtaa1prWmtaa1prWmt7b1pre29aa1prWmtaa1trW2s7ZztnO2fZWk4tDCVNKdpePGu3VpZSllJUSuscDSXrHOscuFb6XlVK8T2OMW0trjUyRvheOWc6ZxljnnNbazpnGWNba1trfG9ba1trWmt7b1prWms5ZzlnOGdaa1lrWmtZa1prOWdbaztnO2c0Rgsh6hwzRltrW29aa3tve28YY1prWms6a1trfG97b1prnHN6b1lrWWt5b1lrWmtaa1prWmtaa1prWmtaa1prWmtaa1prWmtaa1prWmt7b1prWmtaa1prWmtaa1prWms5Z1prOWc5Zzlne297b1prOWdaa1prWmtaa1prWmtaa1prWmtaa1prWmtaa1prWmtaa1prWmtaa1prWmtaa1prWmtaa1prWmtaa1prWmtaa1prWmtaa1prWmt7b1prWmtaa1prWmtaa1prWmtaa1prOWdaazlnWms5Z1prWmtaazlnWms5Z1prOWdaazlnWms5Z1prOWdaazlnWms5Z1prWmtaa1prWms5Z1prOWdaazlnWmtaa1prOWdaazlnWmsAAFprem9aa3pvWmt7b1pre296b3tvem97b3pve29aa3tve297b1prem97b3tvWmtaa1prWmtaa1prWmtaa1prWmtaa3tvWmtaa1prWmtaa1prWmtaa1prWmtaa1prWmtaazpnW2s6ZztrG2M8Z9lajzHrIE0tt1Z9bxljGWP4Xtdabi3rHMoYDCG4Vn5v2VoaY5ZS8T1MKWwtjTGuNRFCtlbYXhpjO2dcb1trW2s6Zzpne297bzpnOWcZYzlnWmucczlnWmtZZ1lrWWtaazpnO2saY5dS6hzJGI81XGtbazpne29bazlnW286Z/he8UF0Tjpne29ba1prWWt5a1lrWWtZa1prWmtaa1prWmtaa1prWmtaazlnWms5Z1prOWdaa1prWms5Z1prOWdaa1prWmtaa1prWmtaazlnOWc5Z3tvOWdaazlnWms5Z1prOWdaa1prWms5Z1prWmtaazlnWms5Z1prOWdaazlnWms5Z1prWmtaazlnWms5Z1prOWdaa1prWms5Z1prOWdaazlnWms5Z1prOWdaazlnWms5Z1prOWdaazlnOWc5Z1prOWdaazlnWms5Z1prOWdaazlnOWc5Z1prOWdaazlnWms5Z1prWmtaazlnWms5Z1prOWdaazlnWms5Z1prOWdaazlnOWc5ZwAAe29aa3tvWmt7b3pve296b3tve297b3pve296b3tvWmt7b3pve29aa3tve297b1prem9aa3pvWmt6b1prem9aa3tvWmt7b1pre29aa3tvWmt7b1pre29aa3tvWmtaa1prW2tbaztnO2c7Zztn+l7ROeogTCl1TnxvW2taazln9152Uuoc6hxuLRNC2Vp9b35vXGv5XrdWdU7xPUwpbC2uNa81EkK3VhpjO2s7a1xvfG86Zzpre297b3xvWmtaazlnWmtZa1prWWtaa1lrWms7Zztnl1brIMkcTS0aY3xvOmdbb1pre298b1tr8D0JIQoh+WJba1trOWd6a1lrem9Za3prWmtaa1prWmtaa1prWmtaa1prWmtaa1prWmtaa1prWmtaa1prOWdaa1prWmtaa1prWmtaazlnWmtaa1prWmtaa1prWmtaa1prWmtaa1prWmtaa1prWmtaa1prWmtaa1prWmtaa1prWmtaa1prWmtaa1prWmtaa1prWmtaa1pre29aa1prWmtaa1prWmtaa1prWmtaa1prWmtaa1prWmtaa1prWms5Z1prOWdaazlnWmtaa1prOWdaazlnWms5Z1prOWdaazlnWms5Z1prOWdaa1prWms5Z1prOWdaazlnWms5Z1prOWdaazlnWms5Z1prAABaa3pvWmt6b1prem9aa3tvWmt7b3pve29aa3pvWmt7b1pre29aa3pvWmt6b1prem9aa1prWmt6b1prWmtaa3pvWmtaa1prWmtaa1prWmt7b1prWmtaa1prWmtaa1prWms6Z1prOmdbaxpjO2f6YhNGqBQrJfE9fG97a5xzWmtaa/le0T3JHAslTSl1Tn5vXGsaYzpnO2dbaxljtlYSQs85bS1uLW4t0Dk0SthaGmdcb1trXG9ba1tvOmc6ZzlnWms5Z1prWWtaa1lrWmtaa1trGmeXVuocCyELJbdWW2tba1pre287aztn2F7pHOogCiGWUlxrOmdaa1prWWt6b1lrWWtaa1prWmtaa1prWmtaazlnWmtaa1prOWdaa1prWms5Z1prOWdaazlnWms5Z1prOWc5ZxhjOWc5Z1prWmtaazlnWms5Z1prOWdaazlnWms5Z1prWmtaazlnWmtaa1prOWdaazlnWms5Z1prOWdaa1prWms5Z1prOWdaa1prWmtaa1prWmtaazlnWms5Z1prOWdaa1prWms5Z1prWmtaazlnWms5Z1prOWc5ZzlnWms5Z1prOWdaazlnWms5Z1prOWc5ZzlnWms5Z1prOWdaazlnWms5Z1prOWc5ZzlnWms5ZzlnOWc5ZzlnOWc5Z1prOWcAAHtvWmt7b1pre29aa3tve297b3pve296b3tvWmt7b1pre296b3tvWmt6b1pre29aa3pvWmt7b1prem9aa3tvWmt7b1pre29aa3tvWmt7b1prWmtaa3tvWmt7b1prWmtaa3prWWdaa1trOmcaYztnVErIGCslzzlba3xvnG97b1trOmfXWisl6SBtLa81t1Z9b31vXG9caxpjO2dbaztnt1p2UjRG0T1uMW4xrzUSQjNK+V75XjpnOmdba1trfG98b1prWWtaa1lremtZa1prW2s8a5dWLCUMJSslNEpca1tvW2tba1xrOmd1TmYMLClMKXVOfW9cb1tre285Z5pvWWtaa1prWmtaa1prWmtaa1prWmtaa1prWmtaa1prWmtaa1prOWdaa1prWms5Z1prOWecc3tvWms5Z1prWmtaa1prWmtaa1prWmtaazlnWms5Z1prWmtaa1prWmtaa1prWmtaa1prWmtaa1prWmtaa1prWmtaa1prWmtaa1prWmtaa1prWmtaa1prWms5Z1prWmtaa1prWmtaa1prWmtaa1prWmtaa1prOWdaazlnWms5Z1prWmtaa1prWms5Z1prOWdaazlnWmtaa1prWmtaa1prWms5Z1prOWdaazlnWms5Z1prOWdaazlnOWc5Z1prOWdaawAAWmt6b1prem9aa3tvWmt7b1pre29aa3pvWmt7b1prem9aa3tvWmtaa1prWmtaa3pvWmt6b1prem9aa3pvWmt6b1pre29aa1prWmtaa1prWmtaa1prWmtaa1prWmtaa1lrWWtZazhnemsZYxljGmOVUsgYTCmNMVtrW2t8bzlnW2s6ZxljjTErJUspbS2vNRljO2d9b51zfG87Z1trOmcaYxtnPGf6XndS0T2OMU0tbjFtMfE9dE75YjpnW2s6ZzlnOmdaa1lnWWtZa1prWmtbazxr2FpNKQsh6hzxPVtrXG87a1trW2tca7A1hxDqHE0t8kF9b1trW2t7bzlnWWtZa1lrWmtaa1prWmtaa1prWms5Z1prOWdaa1prWms5Z1prOWdaazlnWms5ZzlnOWc5Z/deOWc5Z1prOWc5ZzlnWms5Z1prOWdaazlnWms5ZzlnOWdaazlnWmtaa1prWmtaazlnWms5Z1prOWdaazlnWmtaa1prOWdaazlnWms5Z1prOWdaazlnWms5Z1prOWdaa1prWmtaa1prWmtaa1prWmtaa1prOWdaazlnOWc5ZzlnOWdaazlnWms5Z1prOWdaazlnWms5Z1prOWdaa1prWms5Z1prOWdaazlnWms5Z1prOWdaazlnOWc5ZzlnOWdaazlnAAB7b1pre29aa3tvem97b3pve296b3tvWmt7b1pre29aa3tvem97b1prem9aa3pvem97b1pre29aa3tvWmt7b1pre29aa3tvWmt7b1pre29aa3tvWmt7b1pre29aa1prWWt6b1hrWWt6azlnGWM6Z5ZSyBhMKY4xO2d8b3xve2ucc3xv91rxPekc6RwSQrA1bi0aYztnfW9ca31vXG99b1xrXWs8a11rPGcbY5dWM0bQOU0tTC1tMY41EkJ1UhpjXGtba1prWmtaa3pvWmtba1trfW/5Xo816hzpHK81fW9ba51zOmdca1xrKyXJGOogsDXQOVxrW2s6a3tvOGd7b1lrWmtaa1trWmtbb1prW2taa1prWmtba1prW29aa1prOmtaa1prWms5a1prOmc6Zxlj8D1USvleOmdbazpnWmtaa1prWWtaa1lnWms5Z1prOWdaa1prWmtaa1prWmtaa1prWmtaa1prWmtaa1prWmtaa1prWmtaa1prWmtaa1prWmtaazlnWms5Z1prWmtaa1prWmtaa1prWmtaa1prWmtaa1prWmtaazlnWms5Z1prOWdaa1prWmtaa1prWmtaazlnWms5Z1prOWdaa1prWmtaa1prWmtaazlnWmtaa1prWmtaa1prWms5Z1prOWdaa1prWmsAAFpre29aa3tvWmt7b1pre29aa3tvWmt7b1pre29aa3tvWmtaa1prWmtaa1prWmt6b1prWmtaa3tvWmt6b1prWmtaa1prWWt6b3pve29aa1prWmt6b1prWmtZa1prWWtaa1lrWWs4Z1lrWWs5Z/hi+F5NKQohjzG3Vn1zWmt7b3pvWWs5Z1ROCiHqHPNBkDVOKW4tVU7YWhpjXGt+b11rfnN9b31vW2s7ZzpnO2cZY9dadU5USvE9jzEtKU4tsTUUQvleGWMaYzpnGmM6ZztnXGs7Zxpj0T3pHAohKyVba1trfG9baztn2FqHEAshCyGwNdA5W2tbazpnWmtba3tvW2s6a1prOmtbazprWms6a1prOmtaazprW2s6a1prOmtaazlrWW85azprO2tcbxpjuFYMJeoc0TkbX/peO2NcZxlfWmdZZzlnWms5Z1pnOmdbazpnW2s6a1prOWdaa1lrWms5Z1prWmtaazlnWmtaa1prOWdaazlnWms5Z1prOWdaa1prWmtaa1prWmtaa1prWms5Z1prWmtaa1prWms5Z1prWmtaazlnWms5Z1prOWdaazlnWms5Z1prOWdaazlnWmtaa1prOWc5ZzlnWmtaa1prOWdaazlnWms5Z1prOWdaazlnOWc5ZzlnOWc5ZzlnOWc5ZwAAe29aa3tvWmt7b1pre29aa3tvWmt7b3tve29aa3tve297b1pre29aa3pvWmt7b1prem9aa3tve297b3pve29aa3tvWmtaa1pre297b3tvWmt7b1prem9aa1prWWtaa1prWWtZa1lrWWtZazlnGWP5XrA56hyPNXZOnnNba5tzem96bxhjtlbpHCwlsTlWSrI580FuMU0t8T35XjxnXW+eczpne2+9d3xvW2s6Z1trOmdbaxpn+V6XUjRGsTVwMS0pLCmuNXRO+V5ca1xrXGs7Z1xrGmMSQqcU6RwrJRpjXGt7bzpnXGt1TmYQyRixObdWVEp8b3xvWmd8b1prfG9ba1trOmtbb1prW286a1trOmtbazprW286a1trOmtbbzprOWs5a1pvOmtba1xvPGfaWnAxTynsHE4puVZ+a11nO2M5Y1lrm29ZZzlnOmd7a1trW2taa1trWmtaa1prWmtaa1prWmtaa1prWmtaa1prWmtaa1prWmtaa1prOWdaa1prWmtaa1prWmtaa1prWmtaa1prWmtaa1prWmtaa1prWmtaa1prWmtaa1prOWdaa1prWmtaa1prWmtaazlnWms5Z1prOWc5ZzlnWmtaa1prWmtaazlnWms5Z1prOWdaazlnOWc5Z1prOWc5ZzlnWms5Z1prAABaa3tvWmt7b1pre29aa3tvWmt7b1pre29aa3tvWmt7b1pre29aa1prWmtaa1prWmtaa3tvWmt7b3pve29aa3pvWmtaa1lrWmt6b3tvWmtaa1prem9aa1prWWtaa1lrWms4Z1lrWWtZazlnOWf4YhljE0LJHG4tE0Z9b3xvem+bc3pvOWfXWgohLSVvMdted04MJY8xsDVuMUwp8j3ZWn1vW2ucb3tve297b5tvemtaaxljOmcaYztnG2PZWlVKE0KOMY4xTClNLY4xE0aXVhtjG2M8Z3ZSyRyoGAshVU5ca1trW2tcazNGhxDJGPI9+V63Vn1vW2taa3trW2s6Z1trOmtaazprWms6a1prOms6azprWms6a1prOmtbazprWms4Z1lrOWs6azprXG87Zxtjdk7yOQwh6xiPLZhSPGN9azpjWmc5Z1pnOWNaZzpnW2taZ1prOmdaa1prWms5a1prWmtaazlnWmtaa1prOWdaa1prWms5Z1prOWdaazlnWmtaa1prWmtaa1prWmtaa1prWmtaazlnWms5Z1prOWdaa1prWms5Z1prOWdaazlnWmtaa1prOWdaazlnWms5Z1prOWdaazlnOWc5Z1prWmtaazlnWms5Z1prOWdaazlnWms5Z1prOWc5ZzlnWms5ZzlnOWcAAHtve297b1pre297b3tvWmt7b3tve29aa3tve297b1pre296b3tvWmt6b1prem9aa3tvem97b1pre296b3tvWmt7b1prWmtaa3tvem97b1pre29aa3pvWmtaa1prWmtaa1lrWWt6a1lrWWs5ZzlnGWOWUskYbi3QOXxvfG96b3pvem85ZxljTS0tKS4pXmvbXhRGTS1NLa81rzWOMfJBVU5ba1pre297a5tve297b1lne2taZ1prOmd8bztrGmf5XrdaVErxPW0tTClNKa810Tk1SlZOVk7qHMocyhzSORxnW2s6ZztrjjHJGAwhuFYbYxpjW2tbazpnfG9ba1trW2tba1prW29aa1tvWmtaazlrWm86a1prOmtabzprWms6a1lrWWtabzprW2tba1xrO2c8Z3ZO0TlNJescTil3Tl1nnm86YxljWmd8bzpnOWdaZ1prWmtaa1lrWmtaa1prWmtaa1prWmtaa1prWmtaa1prWmtaa1prWmtaa1prWms5Z3tvWmtaa1prWmtaa1prWmt7b1prWms5Z1prWmtaa1prWmtaa1prOWdaazlnWms5Z1prWmtaa1prWmtaa1prOWdaazlnWms5Z1prWmtaa1prWms5Z1prOWdaazlnWms5Z1prOWdaazlnWms5Z1prOWdaawAAWmt7b1pre29aa3tvWmt7b1pre29aa3tvWmt7b1pre29aa3tvWmt6b1prWmtaa3pvWmtaa1prWmtaa1prWmt6b1prem9aa3pvWmt6b1prem9aa3pvWmtaa1lrWmtZa1prWWtZazlnWWtZa1prGWMZY5dW6hwsJY81GmN8c1prem85Z1pr+F7xQQwlTin7Yj1rHGcSQkwpbS2vNRNG8j1tLfA9lVI5Z5xzem9aa1lrm2+bb5tvWmtaazlnOmc6ZzpnGmMaY/le2Fp1ThNCjzVuLS0lDCUtJYgUqhjLHC4pulp9b31zO2cLIYgQDCX7YlxrO2c7ZzpnWmtaa1trOmd8bzprWmtaa1prOWtaazlnWms5Z1prOWtaazlnWms5a1prOWtab1prWms5Z1prOmdbaxpjG2PyPS0lTiktIS4ld0obYztnO2dbazpnWmc5Z1lnWWdZa1lrWms5Z1prOmtaazlnWmtaa1prOWdaa1prWmtaa1prWmtaazlnWms5Z1prWmtaa1prWmtaa1prWmtaa1prWms5Z1prOWdaa1prWmtaa1prOWdaazlnWms5Z1prOWdaazlnWms5Z1prOWdaazlnWms5Z1prOWdaa1prWms5Z1prOWdaazlnWms5Z1prOWdaazlnWms5Z1prOWdaazlnAAB7b3tve297b3tve297b3tve29aa3tve297b1pre297b3tvWmt7b1pre29aa3tvem96b1prem9aa1prWmt6b1pre29aa3tvWmt6b1pre29aa3tvWmt6b1prWmtZa1prWmt6b1lrWWtZa3pvWms6axlj2V4sKSwljjHYWnxve29Za1lrWmsZZ3VSTSlOKZhSPWv6Xlxr2FpMKccYjjEzRq81KiWNMXROOWOcc5xznHN6b1lrWWt7b3tve296a3tve29ba1trW2s6Zxpj2Fq3VnZOE0JOLQ0lqRTsHOwcDSHTPfpeO2cbZwwlyhwMIRxnXGt9bztnfG9aa1tre2tba1trWmtZa1pvWmtaa1lrWmtZa1prWWtaa1lrWmtZa1prWWtab1prWm9aa1prOWdaazpnOmNbZ9ha8j2QMU8pLiUNIRRCG1+/c1xnGWNaa5xvWWdZa1lrWWtZa1prWmtba1prWmtaa1prWmtaa1prWmtaa1prWmtaa1prWmtaa1prWmt7b1pre29aa1prWmtaa1prWmtaa1prWmtaa1prWmtaa1prWmtaa1prWms5Z1prWmtaa1prWmtaa1prOWdaazlnWmtaa1prWmtaazlnWmtaa1prOWdaazlnWms5Z1prOWdaazlnWms5Z1prOWdaazlnWmsAAFpre29aa3tvWmt7b1pre29aa3tvWmt7b1pre29aa3tvWmt6b1prWmtaa3tvWmt7b1prem9aa1prWmtaa1prem9aa3tvWmtaa1prWmtaa3pvWmt6b1prWmtZa1prWWtaa1prWms5Z1lrWWtaazlnOmf5XtA56RyOMXROfG97b1prWWtaazpnt1qPMW4t80Feb11vXGv5XnROjTEKIW0xllauNWwtbC0yRvhenG97b1prWmt6b3tvm3N6b3prWWdaazlnOmc6Z1trO2c7Zxpj+l4bY7hWFEJwMQ0h7SDtHE8tjzHxPfI9CyEtJU4pHGOfc1xrOmd7b1prOmd8bzpnW2taa1prWWtaa1lrWms5Z1lrWWdZazlnWWtZZ1lrOWdZa1prWms5Z1lrWWtZazlnWWdaZzpnXGv6XtI1sjWSMcwYDCE1RhtjPGcaY1tremtZZ1hnWWtYZ1lrWWtaazprWmtaa1prOWdaa1prWms5Z1prWmtaa1prWmtaa1prOWdaa1prWmtaa1prWmtaazlnWms5Z1prOWdaa1prWms5Z1prWmtaazlnWms5Z1prOWdaa1prWms5Z1prOWdaazlnWms5Z1prWmtaazlnWms5Z1prOWdaazlnWms5Z1prOWdaazlnWms5ZzlnOWdaazlnOWc5ZwAAe297b3tve297b3tve297b3tve297b1pre297b3tvWmt6b1prem9aa3tve297b3tve296b3pvWmt6b1pre296b3tvem97b1prem9aa3pvWmt7b1prem9aa1prWmtaa1prWmtaa3pvWWtaazlnWms6ZxpjEkLqHG4xU0pbb713Wmt7bzlnfG/YWtI9Ti3SOV5vXW87aztrW2vXWq41zznYWrdW8T1MKUwpEkK2VjpnfG98b1tremtaa3pvemubb3tve296a3prWmt7b1trW2s7ZxpjPGf7YhRGLiXsHFApcC2xOW4tLCWIEA0l7CCYVhtjXGsZY3xvOmc6Z3xvO2c6Z1trWmtaa1prWmtZa1prOWdaa1lrWmtZa1prWWtZa1lrW2s5ZzlnWWd6b1lrWWs4Z1lrOWM6Yxpf+lpWStM5cS2qFC4lVko8Z55zW2c5Z1lneWtYa1lrWWtaa1prW2taa1trWmtaa1prWmtaa1prWmt7b1prWmtaa1prWmtaa1pre29aa3tvWmtaa1prWms5Z1prWmtaa1pre29aa1prOWdaa1prWms5Z1prOWdaazlnWmtaa1prWmtaa1prWms5Z1prWmt7b1prWms5Z1prWmtaazlnWms5Z1prOWdaazlnWms5Z1prOWdaazlnWms5Z1prAAB7b3tve297b1pre29aa3tvWmt7b1pre29aa3tvWmt7b1prem9aa3pvWmt6b1pre29aa3tvWmt6b1prem9aa3tvWmt7b3pve29aa3tvWmt6b1prWmtZa1prOWdaa1lrWms5Z1prWWtaa1lrWWs5Zzpr+WKXVqgYbi2uNVxvWmucc1pre29baztnVUotJW8xHGd9b1xrW2tbaxljGWMZYzpnGmO4WjNGrzUrJW0tM0Y7Z1xrfG9ba3tvWmt7a1prWmtZZ3pvemt6b5tve285Z1prO2d9b/pe+17LHMsc7SAvKZhSNUrROcoY7CDsIJAxbjEzRrZWOmd8b5VSVEpca3xvOmc6Z1tvnXNaazlnOWd7b1prWms5ZzlnOGdZa1lrWms6Z1prOWdZazhnWWtZa3lrWWdaZzljOmMbYxxjeE7TOXAtqhTrHDRG+l46Z1prWWc3Y1lrWWt6a1lnWms6Z1prOmdaa1prWms5Z1prOWdaazlnWmtaa1prOWdaa1pre29aa1prWmtaa1prWmtaa1prOWdaa1prWmtaa1prWmtaazlnWmtaa1prOWdaa1prWmtaa1prOWdaazlnWms5Z1prWmtaazlnWms5Z1prOWdaazlnWms5Z1prOWc5ZzlnWms5Z1prOWdaazlnOWc5ZzlnOWcAAHtve297b3tve29aa3tve297b1pre297b3tvWmt7b3tve29aa3tvWmt7b1pre296b3tvem97b1prem9aa3tve297b3pve297b3tvWmt7b1prem9aa3pvWmtaa1prWmtaa1prWmt6b1premtZa1prOmc6Z5dW6RxNKa81O2t8b3tve29aa1trO2eXUk4tbzGXVp5zXG98b3tvOms6Z1trW2s7Zxtj+mJVSq81LCWOMfE9GmMaY1trW2t8b1trfG97b5tvem95a1lnem96a3tve2t8b1trXWvaXuscyxzMHA0l+2L7YphSDSUNJewgFEbxPUwpbS2uNa41jTFMKTNGGmNcbzpnOmc6Z1tvW2tbazprWms5Z1prWmt7b1prWms5Z1prOmdaa1lrWWtYZ3lrWWtZZ1lnW2s6Z1xnPGf6XndOsjWxNaoUCyFVSn1vOmc5Z3tvOWc5Z1lnWmtZa1tvW29aa1prWmtaa1prWmtaa1prWmtaa1prWmtaa1prWmtaa3tvWmt7b1prWmtaa1prWmtaa1prWmtaa1prWmtaa1prWmtaa1prWmtaa1prWmtaa1prWmtaa1prWms5Z1prWmtaa1prWms5Z1prOWdaa1prWms5Z1prWmtaazlnWms5Z1prOWdaazlnWms5Z1prOWdaawAAe297b1pre29aa3tvWmt7b1pre29aa3tvWmt7b1pre29aa3tvWmt6b1pre29aa3tvWmt7b1prem9aa3tvWmt7b1prem9aa3pvWmt7b1prem9aa3pvWmtaa1prWmtZa1prWmtba1premtZa1prOWdaazpnt1rqICsljjUaY1trfG96b3tvOmdba7hasDUtKRNCfW+dc3xve29aa3tvW2t8b1trXGsbZ/lellIzRo4xKyWOMRJCllIaY1trfG87Z1pnWWt6b1lrWWtZa5tve297b3trGmN+bzxnTikuJc0cTym4Vn5z2l5OKescDCG5WpdW0D3QOWwtKiUrJQohLCWXUhpjXGs7ZztnO2dbaxpjOmcZY1tre297bzlnGWMZY1prOWdaazlnWWs5Z1lrWWdZazhnWmtaazpnOmdcaxtj+l6YUm8tLSXKGEwpEkJcazpnOWc6Z1pre29aazlnOWd6b1prWmtaa1prWmtaazlnWms5Z1prOWdaazlnWms5Z1prWmt7b1prWmtaa1prWmtaa1prWmtaa1prWmtaa1prWmtaa1prOWdaa1prWms5Z1prOWdaazlnWms5Z1prOWdaazlnWms5ZzlnOWdaazlnOWc5Z1prOWdaazlnWms5ZzlnOWdaazlnWms5ZzlnOWc5ZzlnAAB7b3tve29aa3tve297b3tve29aa3tvWmt7b3tve297b3tvem97b1pre296b3tvem97b3pve29aa3tvem97b1prWmtaa3pvWmt7b1pre29aa3tvWmt7b1pre29aa1prWmtbb1tre29aa3pvWmtaa1prW2vYWk0t6iCvNddafG97b5tze29ba1tr+mLSPU0pjzVca3xznHNaa3tve297b3tvfG9caztnGmdcaxpjdlLQOa81jjFuLW0t0DlUShljfG96a3tvnHN6b1premt7bzpndE4SQtlePGfTPe0g7iAvKRRGfnMbYy0pyhwMIV5rGmMaZ9dalVKOMUwpLCXrIE4tLCXRPZZS2V5da31vXGs6Z51zO2cZYxljW2t8b3xvWmdaa1prWmtZa1prWWtaazlnWmtaa3tvOmc6ZzpnW2c6Y/pad05NKSwhqBRNKfI9XGtba1trfG9aa1prWWtZazlrWmtaa1prWmtaa1prWms5Z1prWmtaa1prWms5Z1prWmt7b1pre29aa3tvWmt7b1prWmtaa1prWmt7b1prWmtaa1prWmtaa1prWmtaa1prWmtaazlnWms5Z1prWmtaa1prWms5Z1prOWdaazlnWms5Z1prWmtaazlnWms5Z1prOWdaa1prWms5Z1prOWdaazlnWmsAAFpre29aa3tvWmt7b1pre29aa3tvWmt7b1pre29aa3tvWmt6b1prem9aa3pvWmt7b1prem9aa3tvWmt6b1pre285Z1prWmt6b1prWmtaa3pvWmtaa1prem9aa1prWmtaa1prW2taa3pvWWtZa1lrWms7a/herzXpHI4xdVJ8b3xvWmt7b1trXGv6YhRGTS2OMflefG+cc3pvWmt7b1pre285Z3tve2taaxpjOmf5XthaE0LxPY4xTCkrJWwtrzURQvheWmucb3xvOWdbazpn11orJU0p0j0dZ1hOzRzvIA4lsTmecxxnTi3JGCwlXm88Z1xrGmMaZ/JB6hyQNU8tiRQMJU0pLCUMIW4tNEbYVjxnG2Nca1xrfG87ZztnOmdaZ1pnemtaa3prWmdaZzlnWmdaa1trWmdaZzlnWWs4ZzlnOmPZWlRG6hwLIagUbi0TQjxrfW87ZxljOWebc3pvOGc5Z1prWmtaazlnWms5Z1prOWdaazlnWms5Z1prOWdaa1pre29aa3tvWmtaa1prWms5Z1prWmtaa1prWmtaa1prOWdaa1prWms5Z1prWmtaazlnWms5Z1prOWdaa1prWms5Z1prOWc5ZzlnOWc5Z1prOWdaazlnWms5Z1prOWdaazlnWms5Z1prOWc5ZzlnOWc5ZwAAe29aa3tvWmt7b1pre297b3tvWmt7b3tve29aa3tve297b1pre29aa3tvWmt7b3pve29aa3tvem97b1pre29aa1prWmt6b1pre29aa3tvWmtaa1pre29aa3tvWmtaa1prW2tba3tvWmt6b1lrWmtaa1tr+V4TRsgYjjEyRp1zfG96b3tve287azxnVU6wNW4xllZba713em+bc3tvem97b3preWt6b1lnWmtaZ1trGmNba/ledU7QOY4xTClMKUwp8D1TShpjfW99b51zW2tTSskYDCVwMbpW3V7OHDEp7iCQMTtnPGtuLescLSlebzxrfW8aY55zVErqHLI5V07sIA0hby01RhRCby0sJW4tTSnyPXVOG2Nca1xnGmNca3xvWmtZZ3prWmt7a1pnW2s6Z1trWmdaa1lnemtZa3lrWGecb/hat1a3VgshyhjrHAwhNUrZWn1vXGtaa1prem9Ya1prWmtaa1prWmtaa1prWmtaazlnWmtaa1prOWdaa1pre29aa3tvWmt7b1pre29aa1prWmtaa1prWmtaa1prWmtaa1prWmtaa1prWmtaa1prWms5Z1prOWdaa1prWmtaa1prOWdaazlnWms5Z1prOWdaazlnWms5Z1prOWdaa1prWmtaa1prWmtaazlnWms5Z1prAABaa3tvWmtaa1pre29aa3tve297b1pre29aa3tvWmtaa1pre29aa3pvWmt7b1pre29aa3pvWmt7b3pve29aa1prWmt6b1prem9aa3pvWmtaa1lrWmtaa3pvWmtaazlnWms6a1trWmtaa1lrWWs5Z1prOmcZY1RKqBhtMfE9fG98b1prnHNaaztrPGu4VrA1bS0SQjpnnHN6b5tzm3Naa5tzmm94azdneWt7b5tvWms6Z/leOmc6Zztn+F50Tq81TCksJW4tE0bYWhpjnnM7Z/JBiBQtJS4l1DmbVvAkzxytGC0p2FobY24tyhxOKRxnfm9caztnXGuWUsoYTy2aUtQ9DiVwMXhS/GI1RtI5sTVOKS0lLCVNKfI9uFZcazxnOmM4Y1hnOGdaZ1pnW2s6Z1tnO2daazlnWWtZa3lrWGt5azljW2c6Y9hWuFYtJYgQLSXsIPI92V59b1trOWc3Z1lrWWtaa1prWmtaa1prOWdaazlnWmtaa1prWmtaa1prWmtaa1prWmtaa1prWmtaa1prWmtaa1prWmtaa1prWmtaa1prWms5Z1prWmtaazlnWmtaa1prOWdaazlnWms5Z1prWmtaazlnWms5Z1prOWdaazlnWms5Z1prOWdaazlnWmtaa1prOWdaazlnWms5ZzlnOWcAAHtvWmt7b1pre29aa3tve2+cc3tve297b3tvWmt7b1pre296b3tvWmt7b3pve296b3tvWmt7b3pve296b3tvWmt7b3pve29aa3tvWmt6b1prWmtaa3pvWmt7b1prWms5Z1prWmtaa1lremtZa1prOWdbaxljllKnFI4xzzl9c3xve2+bc1trOmd9c9le8T1MKdA5GWOdc1prnHObb1prmnOac3lvmm+ab3pvOGc5Z1trnG9bazpnGWM6Z/he11qWUtE9bS1uLa81NEobZzxnE0IMIXAtkjFRKZxWczERJc4cTy2XVl1rbzHrIC0p+mJ9b31vW2t8b9haLCUNJdxau1qSMQ0hFEI9Z15rPWe5Vk4tsTWxNbE1TiktJU0p0jlUShljGGM6ZzpnW2tba1xrW2dcazpnW2tZZ1lrWGd5a3lvWms6YzpnO2fZWpdSsDWHEAwlCyGwObdWfG9ba1lrWWtaa1prWmtaa1prWWtaazlnWmtaa1prWmtba1prW2taa3tvWmtba1prW2taa1prWmtaa1prWmtaa3tvWmtaa1prWmtaa1prWmtaa1prWmtaa1prWmtaazlnWms5Z1prOWdaa1prWms5Z1prWmtaazlnWms5Z1prOWdaa1prWmtaa1prWmtaa1prWms5Z1prOWdaawAAWmtaa1pre29aa3tve297b3tve297b3tvWmt7b3tve29aa3pvWmt6b1prem9aa3pvWmt6b1prem9aa3pvWmt6b1prWmtaa1prOWdaa1prWmtZa3pvWmt6b1lrWmtaa3tvWWdZa1lrWmtZa1prWmtbaxljO2d1UukcbS3wPRpnfG9ba3tvWmt7b1trOmd2Uk0tsDlVTp93W2t8b5tzWGe7d3pvm3N6b3tvWmtaa1prWmtba3tvWmtbazpnOWcZYzln+F51To4xTSltLfI9d041Rg0hDyXVOZQxrhR8Tq4UECHsHDVGPWexOeocTSk6Z51ze2taazlnGWMrJS0peFIeZ7M1kjFwLV5rG2N2Tgsh6xzsHO0cDiFxLZExcC0tJQwlCyFuMfI9dlLZXlxrXGs8a/liXGt8b3xvWmdaa1pre286Z1pnWmtbazpnOWeVUs85hRBLKSslTCl0TlxrO2dbazpnWms5ZzlnOWd6b3pvWms5Z1prWmtba1prW2taa1trOmdbazprW2s6a1trWmtba1prWmtaa1prWmtaa1prWms5Z1prWmtaa1prWmtaa1prWmtaazlnWms5Z1prOWdaazlnWmtaa1prOWdaazlnWms5Z1prOWc5ZzlnOWc5Z1prWmtaa1prWms5Z1prOWc5ZzlnAAB7b1pre297b3tve2+cc3tve297b3tve297b3tve297b3tvWmt7b1pre29aa3tvWmt7b1pre29aa3tvWmt7b1prem9aa3pvWmtaa1prWmtaa1prWmt7b1prWmtZa1prWmtaa1lrem9aa1prWmtbb1trOms7a7dWCSFtLdA5Gmd8b3xve29aa1pre285Z7dWjjGQNTRGn3c8a3xzm295a5pzm3N7b5xze297b1pre29aa3tvWmt7b1prWms5Z1prOWcYYxlj+FpUSq81LSWPLS4lzBhxLTlGtTVTKbY18BwQIe0g0zlea7E56yBMKVtrnHObb3prWmsZY20xLCVXSh1jmVJvKTVCuFZ9a/E5yhhOKU8pDiHNHM0cLyWSMTZKmVY1Sm8tDCEtKY8xjzETQpZSXGs7ZztnOmdba1trfG97b3tvWmtbazlnOWdaZ1pr916VUmQM6ByvOQohsDV/b11vnXM5Zzpne2+cczlnOGdZa1lrWWtaa1pre29ba1tvW2tba1prW2tba1trWmtbb1trW2taa1trWmtaa1prWmtaa3tvWmt7b1prWmtaa1prOWdaa1prWmtaa1prOWdaa1prWmtaa1prWmtaazlnWmtaa1prOWdaazlnWms5Z1prWmtaa1pre29aa1prWmtaazlnWmsAAFpre29aa3tve297b3tve297b3tve297b1pre29aa3tvWmt6b1prem9aa3pvWmt6b1prem9aa3pvWmt6b1prem9aa1prWmtaa1prWmtZa1prWWtaa1prWmtZa1prWWtaa1lremtZa1prWmtba1prW2s6Z1trt1pMKUsprznYWp1ze2+cc1lre29aazpr11rQOSwpE0Jda1xrW2ubc1hrmnN6b3tve297b1pre29aa3tvWmt7b1prWmtaa1prOWdaazlne286ZxljVErQNU0pqRSqFHEtOEb2PXMtcy2uFBAhzBgvKfxisjWqGE0pGmd8b3tvm3M5Zzln0DksJdM9HWP8XrE18zmXTn9vby3KGBRC2lp4TpI1DiWrGOwgcC30QblW+16YUtI9LSlNKSwpLCVuLa81EkK2VvleOmc6Z1trGmNba1xrfG9ba1trOmc6Z/het1YsJagYTi0tJQ0hd1L6Yltre29aazlne296b3pvWWdZa1lrWmtZa1prWWtaazprW2s6Z1trWmtba1prWmtaa1prWmtaa1prWmtaa1prWmt7b1prWmtaa1prOWdaa1prWms5Z1prOWdaazlnWms5Z1prOWdaazlnWms5Z1prOWdaazlnOWc5Z1prOWdaazlnWms5Z1prOWdaazlnOWc5ZwAAe297b3tve297b3tvnHN7b5xze297b3tve297b3tvWmt7b3pve29aa3tvem97b1pre29aa3tvWmt7b1pre29aa3tvWmt7b3pve29aa3pvWmt6b1pre29aa3tvWmt7b3prem9aa3pvWmt7b1pre29ba1trW2v5Xq41KyWOMZdWfXOcc5xzem96b3tvWmsZYxNGCyXRORxnXGt8b5tzem96b3tve297b3tve297b3tve297b3tve29aa3tvWmtaa1pre29aaxljOmc7Z9haVUotJQ0hLiUWQllKUim1Na4Y7yDuIMwc/V6zOcoYLSk8Z3xve2+bc1prOWdUSgshkTUcYxxjmFJvKblWXmdOKQ0hd05+axxjuVYUQpA1DSUNIewgsjkUQrlaHGf6XjRG0TnROW4tTS1tLW0tjjGuNRFCdE4aZztnXGtca3xvO2c7Z1xrPGv6Xtla0jnLHOwcUC3sIBNC2V59bztnOmd7b5xzWmtaa1lrWWtZa3prWWtaa1lrWmtaa1prWmtaa1prW2taa1trWmtaa1prWmtaa1prWmtaa1prWmtaa1prWmtaa1prWmtaa1prOWdaazlnWms5Z1prWmtaazlnWms5Z1prWmtaazlnWms5Z1prOWdaazlnOWc5Z1prOWdaa1prWms5Z1prAABaa3tve297b3tve297b3tve297b3tve29aa3tvWmt7b1prem9aa3tvWmt6b1pre29aa3pvWmt6b1prem9aa3pvWmt7b3pve296b3tvWmt6b1prWmtaa3pvWmt7b1prem9Za3pvWmt6b1prWmtaa1trOms6a/liEULpHG0tNEqdc3tvnHNaa3tvWmtbaxpndlLrII81uFZ9b1trm3N6b5pvWmt7b1pre29aa3tve297b1pre29aa3tvWmt7b1pre29aa3tvOmd7bztnGmPZWjVGLSUNJdM1HmO0NbQ1ci3OHA8lzRx6UvVBqhhOKTxnfW9aa5xzOWc6Z5ZSLCVOLfteXGs8Z28td06ZUnEt7Bx3ThtjO2c7ZxpjuFZVStI5kTEMJQwhTi01StpeG2P6YhtjdlJVSvE9rzVMKSslKiVMKQohjjHxPXZS2Vq4WpdS+2IcY15rf3PcXlAtzBzuIA4lLSWxNXZOPGtdb1trGWM5Z1lrWWtZa1lrWGtZa1hrWWtZZ1prWWtaa1lrWmtaa1prWmtaa1prWmtaa1prWmtaazlnWmtaa1prWmtaa1prWms5Z1prOWdaazlnOWc5Z1prOWdaazlnWms5ZzlnOWdaazlnWms5ZzlnOWc5ZzlnWmsYY1prOWdaazlnWmtaa1prOWcAAHtve297b3tve297b3tve297b3tve297b3tvWmt7b3tve296b3tvem97b3pve296b3tvWmt7b1pre29aa3tvWmt7b3tve297b3tvem97b3pvWmtaa1prWmt6b1pre29aa3pvWmt6b1prWmtaa1prWmtbazlnOmdUSukcTC0SQn1vfHOcc3tve297b1trXGu3Vk0pbi1VTl1vfG97b5tzem96b1pre297b3tve297b3tve297b3tve297b1pre29aa1prem97b3tvW2saYztnt1JNKS0lsjU/Z7tWLyU4RosQMSnOHPZB9kGrGC4pPGdca3tve29aazpn+V4sJU4puFaec/hadkqyNTdG1DntHHdOfW98b5xzemtba/peuVZXThRG8j1vMQwlkDWXUjxnPGc8Zxtj+l7YWthadU4SQo8xbS1tLW4tjzGwNQshqRgMJTZKmVIeZz9ru1rVPTEpqxTtIOwgcDEURvpePGt9b1tre29aa3prWWtZa1hreWtZa1prWWtaa1lrWmtaa3pvWmtaa1prWmtaa1prWmtba1pre29aa3tvWmtaa1prWms5Z1prOWdaazlnWms5Z1prOWdaazlnWmtaa1prOWdaa1prWms5Z1prOWc5ZzlnWms5ZzlnOWdaazlnWmtaa1prOWdaawAAWmt7b1pre29aa3tvWmt7b1pre29aa3tvWmt7b1pre29aa3tvWmt7b1pre29aa3tvWmt6b1prem9aa3pvWmt6b3pve29aa3pvWmt6b1prem9aa1prOWdaa1pre29aa1prWmt6b1prWmtZa1prOWdaa1trOmcaZ5ZW6BxtLdA5fW97b5xzem+cc3pvW2tba9hejjFNKdE5XGtba3tvem96b1pre29aa3tvWmt7b1pre29aa3tvWmt7b1pre29aa1prWWt6azhnWmtaZ1trW2vYWo8xLCFvLfteHWOzNdM5rBgQJRAlMSn3QWoQLiX6Xlxre2ubb1lnWmsZY0wpLSVVSnxr+Fr6XrE19kH2Qe0cVkp8b3tvWWtYazlnW2scZxxn+2JVSrA1jzFNKU0p0T3ZWl1vnnNdaztnG2M8Z/pi2Fp1TjRKjjFtLW4tCyUtJTVK7BxwLbM5N0q7WrxatTnOHO4g7iTNHA0lsTWYVjtnfW9ba1trWmtZa1lnWWtZZ1lrWWtZa1lnWWtZa1prWWtaa1lrWmtaa1prWmtaa1prWmtaa3tvWmtaa1prWms5Z1prOWdaazlnOWc5ZzlnOWc5ZzlnWms5Z1prOWc5ZzlnWms5Z1prOWc5ZzlnOWc5Z1prOWdaa1prWms5Z1prWmtaazlnAAB7b1pre29aa3tve297b3tve29aa3tvWmt7b3tve297b3tvem97b3pve296b3tvem97b1pre29aa3tvWmt7b1pre296b3pvWmt6b1prem9aa3tvWmtaa1pre297b3tvem97b1prWmtaa1prWWtaazlne28ZZ1trt1rpIG0t0Tldb3xvm3N7b5tze29aa3xv+F7QOSwljzU8a3xve296b1lre297b3tve297b3tve297b3tve297b1pre29aa3tvWmtaa3pvem9aa1prOmd8b/liVUoLIW4td04dY/teLiUvJVItMi3wIBhGqxgvKRxnfW+dc3tvemtaZzpnTCktKRNCe2t7azxnVko4StU9DiHSOXxvem+Zb3hrWWtba11rHGd+bxtnl1bRPY4xTS1uLW4tVEr6Xn5zXWs8a1xrXW87ZztnOmf5XthauFbROW8xNUaxOQ0lDiUvKTApcTG0OXIxUi3uIM4gDyUvKU8pFEb6Yn1vXGtba1prWmtZa1prWWtaa1lrWmtZa3prWmt6a1lrWmtaa1prWmtba1prW2taa1prWmtaa1prWmtaa1prWmtaazlnWms5Z1prOWdaazlnWms5Z1prOWdaazlnWms5Z1prOWc5ZzlnOWc5Z1prOWdaa1prWmtaa1prWmtaazlnWmsAAFpre29aa3tvWmt7b1pre29aa3tvWmt7b1pre297b3tvWmt7b1pre29aa3pvWmtaa1prem9aa3pvWmtaa1pre29aa3pvWmt6b1prWmtaa1prWmtaa1lrWmtaa3tvem97b1pre29aa1prOWdZZzlnWWs6Z1prGWPYXukgTCnROTtnfG97b3tvm3N7b3tvOmcaZ1VOCiFuMXVOO2fee1lrem9aa3tvWmt7b1pre29aa3tvWmt7b1pre29aa3tvWmt6b1lrem9Za3pvWmtbazpnOmfXWkwpLCWwNT1nHGNWSssYECUyKVMx90FqEFAtHGN9b3xvWmucc1trGWPROU0psDVaZ3prO2McYzhKkzFxLS0lGF96b7pzV2eac1prO2dda/peO2c7Zxtjl1ISQm4tKyVNKY81M0b6Xl1rXWs8Z1xrO2dbazpnGmMaY/peE0IsJZAx0z2xNbI5DSUNJasY7SAQJc8cbBSUNbM5kjUuKU4pVUrZXjtrW2s6Z1trW298bzhnWmt6b5tvWWtZazlnWmtaa1prWmtaazlnWmtaa3tvOWdaa1prWms5Z1prWmtaa1prWmtaa1prOWdaazlnWms5Z1prWmtaazlnWms5Z1prOWc5ZzlnWms5ZzlnOWc5ZzlnWms5Z1prOWdaazlnWms5ZwAAe297b3tve297b3tve297b3tvWmt7b3tve297b3tve297b1pre297b3tvem97b3pve29aa3tvWmt6b1pre296b3tvWmt7b1prem9aa3pvWmt6b1prem9aa3tvem97b3pve29aa3tvWmtaa1lrWmtZa1prWms6Z/heTC0LIdE9+V58c3tve297b5tzem9bazpnt1bqII81EkJ8b5xze296b3tve297b3tve297b3tve297b3tve297b3tvWmt7b1prem9Za3pvWm97b1prW2s6Z/le8T0LIdA1+l48Z7lWLinOHHQxMil0Ne4gDiU8Z31vnXNaa713W2saY/JBLCWOMXtrWWedbz1nulb1PVAtLSmVUnpveG94b3pvOWt9bzxrnnc7Z/leGmNcaxpjdU6vNY4xLCUsKa81VU7ZWl1rnnNba3tvnXNba1trGmOXUtE9kDGxNblaVko1Rm8tkDGKFO8kMikQJe8k7iBQLdM90jmpGI812Fpca31vO2c7ZzpnnXNaazhnGGM5Z1pre297b3tvWmtaa1prWmtaa3tvWmtaa1prWmtaa1prWmtaa1prWmtaa1prWmtaazlnWms5Z1prWmtaa1prWms5Z1prOWdaazlnWmtaa1prOWdaazlnWms5Z1prWmtaa1prWmtaa1prAABaa3tvWmt7b1pre29aa3tvWmt7b1pre29aa3tvWmt7b1prem9aa3tvem97b3pve29aa3pvWmt6b1prem9aa3pvWmt6b1prWmtaa1prWmtaa1prWmtaa3pvem97b1prWmtaa1trWmt6b1prem9Za1prWmt7bxljGWOvNckcsDm3Vltre296a3pvem97b1prOmfYWgslbi2wNVxvW297b3pvWmt7b1pre297b3tvWmt7b3tve297b3tve297b1prem9Za1lvWWtab1pre286ZzprGWPXWukc0DV2Tl1r+l7zPWsQlTXvIBAlLykNIRtjfm98b3tvnHN7axpjdk7rHG4tGF9ZZ55zPWf8YnhSLilNKc85em83Z5pzOGdZa5xzO2t8b1trGWM6Z1xrXGv4XrZW8T2vNUwpCyUKIW4xVUo7Z3xvnG9ba1xrfG99b/pellIMJS0pNUY9a9pa2Vp3TrI57iDvIK0cDyVxMVAtTy0NJbA1LSkKIdA52Vqec31vO2sZYzprW2t8b1prWms6Z1trWmtbazlnWms5Z1prWWtaa1prWms5Z1prWmtaazlnWmtaa1prOWdaazlnWms5ZzlnWmtaa1prWms5Z1prOWc5ZzlnOWc5ZzlnOWc5ZzlnOWc5ZzlnOWdaa1prWmtaa1prOWcAAHtve297b3tve297b3tve297b3tve297b3tve297b3tve296b3tve2+bc3tve297b3tvem97b1pre296b3tvWmt7b3pve29aa3tvWmt6b1prem9aa3pvem97b3tve29aa1trW2t7b3pve296a3pvWWt6b1prOWcZYzNKpxSwNVRKfG97b5tzem97b3pve286ZxpjTClMKW4xO2tba5xzWmt7b3tve297b3tve297b1prnHN7b3tve297b1pre29aa3pvWWtaa1lre29aa1trOms6ZxljbS1tLTNGXWs8Z5hSzRwyLRElzhwwKQ0hHGd9b3xve2ucc1trW2v5Xiwlbi2VUlpnnXM7Z15v2l6xOQslbS34Xnpvm3M4Z1prnXc6azpnW2ucc3trOmcZYzpnO2dba5ZS0DlNLW0tTS1uLW0tlVL4Xp1znXN9bztnPGcbZ/I9LCVNKfpePGdda9lauVZ4TpI17CDLHLE1bzGxOU0pTS1NLW4xTS1NKY8xllJ9b31vW2s7azpnW2tba1trOmtbb1prWmtaa1prWmtaa1prWmtaa1prWmtaa1prWmtaa1prWmtaa1prWmtaa1prOWdaa1prWmtaa1prOWdaazlnWms5Z1prOWdaazlnOWc5Z1prOWdaa1prWmtaa1prWmtaawAAWmt7b1pre29aa3tvWmt7b1pre29aa3tvWmt7b1pre296b3tve297b3pve29aa3tvWmt6b1pre29aa3tvWmt6b1prem9aa3pvWmtaa1prem9Za1prWmt7b3pve29aa1prWmtba1tre29aa1prWWtZa1lrWmsZYxpndU6oGG4t8j06Z3tvm2+bb1lrem9aa1tr+F6vNeocjzG3Vn1zW2t7b3tve297b3tve297b1pre29aa3tvWmt7b1prWmtaa1prWWtZb1lrWm9aa1pvWmtbazpnGWMSQisp0Dk8axpj+2JRLc4cUS3uIO0gLikbY1xvW2t7b3tve287ZxtnTi1NKfA9nG9baztnfW8bZ1VOCiFMKVRKnXd7bzlre3N6b1prWmt7b3tve29aa1prOmc6Z/heOmcaY7dW8T1tLSslTS1MLc85U0r5XlxrnnNdazxn2VqQNesgjzFda11rO2c8Z/ti+2JWTo8x0DkzRrdadU7xPa81TCksKQshCyVNLbA5llL5XlxrfW87azpnOmdbb1prW2taa1prOWdaa1lrWms5Z1prWmtaazlnWmtaa1prOWdaazlnWms5Z1prOWdaazlnWmtaa1prOWdaazlnOWc5ZzlnOWc5ZzlnOWc5ZzlnOWdaazlnWms5Z1prOWdaazlnAAB7b3tve297b3tve297b3tve297b3tve297b3tve297b3tve2+bc3tve296b3tvWmt7b1pre297b3tvem97b1pre29aa3tvem97b1pre29aa3pvWmt7b3pve296b3tvWmt7b1tre296b3pvWWtZa1lrem9ZazpnGmO3WgshTSmPNTpne2+cc3tvem96b3tvWmv5YjNG6hyOMVRKnXNba3xve297b5xze297b3tve297b3tvWmt7b1pre29aa3tvWmt6b1lrWm9Za3pvWmtbb1prW2v4XtdaKyWvNfleO2M8ZzdKjBRyMQ8lzBxPLTxnXGucb3tve29aa1xrG2PzPSwlzzWdc1trW2t9bztnGmNMKU0trzWecztrfG+bc3lvWWt7b3pre296a3tvW2tbazpnW2saYxpjGmMaY7dWE0aOMUwpCiELIY81l1IcY15vPWscY5hWby0MIblan3N+c11rGmNba1trGWMZY/heWmv4XvhellZUTvE9jjErJQsh6iAsJdE5uFo7Z11vO2tca1trW2taa1trWmtaa1lremtZa1prWmtaa1prWmtaa1prWmtaa1prWmtaa1prOWdaa1prWmtaa1prWmtaazlnWms5Z1prOWdaazlnWms5Z1prOWdaa1prWmtaa1prOWdaazlnWmsAAFpre29aa3tvWmt7b1pre297b3tvWmt7b1pre29aa3tvWmt7b1pre296b3tvWmt6b1pre29aa3tve297b1prWmtaa3tvWmt6b1prem9aa3pvWmt6b1prWmtaa3tvWmtaa1tre29aa3pvWmt6b1lrem9aa1prGWcaZ7dabjELIW4x+F5aa3tvem9Za3pvWmtbaxljl1bqHG0t8T19bzprfG97b3tve297b3tve29aa3tvWmt7b1prWmtaa3tvWmt6b1pvem9Za1prWmtabzprWms6Zzpn+F6NMW0tllI7Zz1rmlbuIO4gLynsHE8tO2d8b5xznHNaa3trXGsbY3dOLSmOMTpnW2t7a1pnWms7ZxJCCyVOLbhaXW9bb5xzWGt5b1hremt6a3pvWWdaazpnW2sZY1trXGtcaxpj+V63VrdWsDWQNW4tTiktKZE1VkodY7paPmv0QW8xkDEcZxtjO2d7b1lr1lp6b3pvWWtZZ3prF2MZY/hi2F51UhJCTS3qHG4tLSkLIY8xVU4bZ1trW2s6a1trOmtaa1prWmtZa1lrWWtaazlnWmtaa1prOWdaazlnWms5Z1prOWdaazlnWms5Z1prOWdaa1prWms5Z1prWmtaazlnOWc5Z1prOWdaazlnWms5Z1prWmtaazlnWms5ZwAAe297b3tve297b3tve297b3tve297b3tve297b3tvWmt6b1pre29aa3tvem97b3pve296b3tve2+bc3tve29aa3tvem97b1pre29aa3tvWmt7b1prem9aa3tvem97b1prfG9ba3tvWmt7b3pvm296b5tvWWtaaxpj2F7QOQshbi3YWjlne296b3pvem97b1prOmfYWiwlLCXQOVtrW2t8b5xze2+cc3tvnHN7b3tvWmt7b1pre29aa3tve297b3pve3N6b1pvWmtab1prWms5a1prW2sYX885bC1TSnxvXGvbWjApzBguJS4lLik8a3xvvXecc3tve2+dcxpjHGdOLW4tl1Z9b3tvOWdaZ3tvt1bqIC0pFEZ+b3xve295b3lvm3N6a1prWWt6b3pre29aa5xvW2s6ZxpjW2tbaztn+WIaY1VKsDVOLY8xby1PLS4p0jk1RlZOLSluLTRGfm99c3pvm3M4Z3lvWWubc5tvOGdaa1prW2sZZzpnGWO3VjNGLCVNLW4xTSlNKY81llJca1xrW2tba1trW29aa1prWmtaa1prWmtaa1prWmtaa1prWmtaa1prOmdaa1prWmtaa1prOWdaa1prWmtaa1prWmt7b1prWms5Z1prOWdaa1prWms5Z1prWmtaa1prWmtaa1prAABaa3tvWmt7b1pre29aa3tvWmt6b1pre29aa3pvWmt7b3tve29aa3tvWmt7b3pve29aa3tvem97b1pre29aa3pvWmt7b1prem9aa1prWmt6b1prem9aa3tvWmt6b1prWmtba1trWmt7b1prem96b3pvOWd6bzpnOmfZXvJBhxCPNXVSt1qcc5xzWWebc1lre29ba/hejjHpHK81GV98a3xvW2t7b3tve29aa3tvWmt7b1pre29aa3tve297b1pre29aa1prWmtaa1lrWmtZa1prWWs5ZzlnMUaMMa41+F58b/peVk6JFOwg7CAuKRtjnnN8b3xve297bzpnOmfYXlVKTy02Sl1vnXMYY7x39146Z24x6xyRNT1rGmecc5pzWWtZa1prOWdZazlnWmtaa3tvWmtaazpnWms6Z1prOWc6ZxpnGmfYWnVO0DluMUwpTSksKSwlCyEMJQshbzFWTl1vnHNZa3pvnHNZZ1pre2tba1trW2taZ1pnOWM5ZxhjOWf4XjNGbTFMKQslCyVtLfJBuFo7Z1xrO2s7Z3xvW2s6ZzlnWmtaa3tvOWc5Zzpne29aa1prOWc6ZzpnWmtaa1trOWdaazlnWms5Z1prWmtaazlnWms5Z1prOWc5ZzlnOWc5Z1prWmtaa1prWms5ZzlnOWcAAHtvem97b3pve296b3tvem97b1pre296b3tvWmt7b3pve29aa3pvWmt7b3pve29aa3tvem97b3tve296b3tvWmt7b1pre29aa3pvWmt7b1prem9aa3tvem97b1prem9aa3xvW2t7b1tre296b3tvem9Za1prW2s6ZxpjE0apGI8xVErYXp13fG96b3pvemtaa3tr+V7xPekcrzGWUnxrfG98b3tve297b3tve297b3tve297b3tve2+cc3tve29aa1trWmtaa1prWmtZa3prWWtaazhnWWtSSgghbC1SSltrO2eXVgshyhgMIQwl+l5db31zfG+cc3tvW2taaxljdlKRMdQ9Xmtca1prm29ZZzpnE0LrHJAx2l59b1trm3NZa3pvWmtaazlnWmtaa3tvWmt7b1prWmtaa1prWmtaazpnWmsZZzpnGWMZY7dWM0avOY4xLCkLJQsh6iDrINE5llJ8b1prm3N7b3tvfG+cb1pne29ba1trWmtaazlnWWs5Z1pr+GLYXpVS8T0sKQslLCVNLTRGG2ddb1xrO2tca1trW29aa1trWmtaazlnWms6Z1trOmdaazpnWmtaa1trWmtaazlnWmtaa1prWmtaa1prWmtaa1prWmtaazlnWms5Z1prOWdaa1prWmtaa1prOWdaawAAem97b1pre296b3tvWmt7b1pre29aa3tvWmt7b1pre29aa1prWWtaa1pre29aa1prWmt7b1pre296b3tvWmt6b1pre29aa1prWmt6b1prem9aa3tvWmt7b1prem9aa1prW2t7b1prWmtaa3tvWmt6b1lnem86ZztrGmNVTskcjzXQPRpjfG97b3pvem9aa1prW2saYzRG6hxtKRJCOmOdc3tve297b3tve297b1pre297b3tve297b3tve29aa1prWmtba1prWmtZa1prWWtZazlnOGc5Z5RShRQqKWwtW2s8a/pibi2IFOsgDCW4WlxrfG98b3tve29aa3tvOme4WrM5kjX7Ylxre296b1prWmeXUi0pLSlVSn1vWmt5a3lremtaazlnWmtaa3tvWmt7b1prWmtaa1prWmt7b1prWms6Z1trW2t8b1trOmf4XthadVIzRvE90T1uMSwpLCmPNRljfG98b1tre2udc3trWmtaa1trWmtaa1prWmtaa1prWmtbazprW2v5XnVOrzVNKQshLCVuLTNG+V59c1xvO2tba1prOmdaazpre297b3tvWmtaazlnOmc6Z1prOmtaazlnWms5Z1prOWdaazlnWms5Z1prOWdaazlnWms5ZzlnOWdaazlnWmtaa1prOWc5ZzlnAAB7b3tve296b3tve297b3pve296b3tvem97b3pve296b3pvWmtaa1pre297b3tvWmt6b1pre296b3tve297b3pve29aa3tvWmt7b1pre29aa3tvem97b1pre29aa3tvWmt8b1tre29aa3tvem96b1lrem9aa1trOmc7Z5dWLCmPNY81Gmd7b1prm3NZa3tvWmt8bxpjt1IKIUwprzU6Y51vfG97b3tve297b3tve297b5xze297b3tve297b3tvWmt7b1prWmtaa3pvWmtaa1lrOWc5Zzpn1loJIegcbC06Z11vO2fzQWcQDCUtJdlaXW+dc1tve296b3tve29ba/leFUZQLblWXG+cc1prem85ZxpjsTUtJbE1G2dba3pvWWt7b1prWmtaa3tve297b3tve29aa3tvWmt7b3tve29aa3tvW2tbazpnOmc6Z1trXGtcaztnGmPZXrhWM0aPNSslllJca55zW2t8b3xve29ba3tvWmt7a1pre29aa3tvW2tbazpnOmc6a31vXGv5XnVO0DluMW0tTCmOMfE92Fp9c1trW2t7bzprOms6Z1trWmt7b1prWms5Z1prWmtaa1prWmtaa1prOWdaa1prWmtaa1prWmtaazlnWms5Z1prOWdaa1prWmtaa1prWmtaazlnWmsAAHpve296b3tvem97b3pve29aa3tvem97b1pre296b3tvWmtaa1pre296b3tvem97b1prWmtaa3tvWmt7b1pre29aa3pvWmt6b1prem9aa3tvWmt7b1pre29aa3pvWmt7b1tre29ba3tvWmt6b1lrWmtaa1prOmc6Zxpj2F5uLbA1jjEaZ1trWmt6b1lremt7b3trOme4VkwpKyWOMRlfnW97b3tve297b3tve297b3tvWmt7b1pre297b3tve297b1prWmtaa1prWWtaa1lrWms5Z3tvGWMZY885pxhuMdhaPGs8a1VKiBTrHC0pl1Jcb3xve29aa3tvWmtbb1trG2M2RlAtE0J9b3trm29ZZzpnGmNWTi0lbi1VSnxvemt6a1prWmtaa1prWmt7b1pre29aa3tvWmt7b1pre297b3tve29aaxhjOmt7b5xzWmsZYxpnXGtbaztnG2caYzNGTSmPMbhaXWt9b3xve29aa3tvWmt6a1premtaa1trWmtba1prfG97b1trOmdbaztrW2v5YpZS8D2NMSolKymuNTJG+F5ba51znXNba1prOmdaa1prWms5Z1prOWdaa1lrWms5Z1prOWdaazlnWms5Z1prOWdaazlnWms5Z1prOWdaazlnWms5Z1prOWdaazlnWms5ZwAAe297b3tve297b3tve297b3tvem97b3tve296b3tve297b3pve297b5xze2+bc3tvem9aa3tvem97b1pre29aa3tvWmt7b1prem9aa3tvem97b3pve296b3tvWmt7b3tvfG9ba3tvWmt7b1prem9Za3tvWmtbazpnO2f5Xo81bjGvOfhefG96b3pvWWt6b3prfG86Z/lejzFMJY4tGV98b3xve2+cc3tve297b3tve297b1pre297b3tve297b3tve29aa3tvWmt6b1lrWmtaa1pre286ZxljllKnFI81NEZcbztnuFbKHMocLSlVThtnnXNba3tvem9aa1trW28aY1dOcC2wNTtne2+cc3trW2s7Z9lakDUtJbA5O2d8b1pre29aa3tvWmt7b3tve29aa3tvWmt7b1pre297b3tve297b1prWmtaa3tve297bzpnOmdba1trGWM7a1tr11rRPS0l80H6Xn5vvnd8b3tre297b3pre29aa1trWmtba1tre297b3tvW2t7b1trW287Z/liOmd8b/heEUJLKUspbC2uNRJCtlb4XltrfG+cc1tre29aa1prWWtaa1lrWmtZa1prWmtaa1prWms5Z1prWmtaazlnWms5Z1prOWdaazlnWmtaa1prWmtaazlnWmtaa1prAAB7b3tvem97b3tve296b3tvem97b1pre296b3tvWmt7b3pve296b3tve2+bc3pve29aa3pvWmt6b1prem9aa1prWmt6b1prWmtaa3pvWmt7b3tve29aa3pvWmt7b1pre297b3tvWmtaa1prWmtZa1lrWmtaa1prW2s6ZxpjbS0KJW0xdE46a3tvWWt6b1lre29ba1xr+l7yPSshjjHYVnxre297b3tve297b3tve297b3tve29aa3tvWmt7b1pre29aa3tvWmtaa1prWmtaa1prW2t7bzpnGmO4WgshTS3yQVxrO2vYWk0tqBhuLTNGGmN8b3tvWmt7b1pre29baztnmFaRMU4tt1Z8b3tvWmt7bztnG2MTQiwlTSm3Vnxve29aa1prWmtaa1pre29aa1prWmtaa1prWmtaa3tvWmtaazlnem9aa1prGGM5Z1prnHN7b3xvWms6ZzpnW2v4XpdWbzGRMRVGPGd+b3xvWmt7b3prem9aa3prWmtba1trW2taa1lrOGd7b5xznHNbazpnW2s6ZxljOmc6Z/deEUKNMQohKyVLKc85lVJba1trOmdaa1prOWdaa1lrWmtZZ1lrWWtaazlnWms5Z1prOWdaazlnWms5Z1prOWdaazlnWms5Z1prOWdaazlnWms5Z1prOWcAAJtze297b3tvm3N7b3tve297b3tve296b3tve297b3pve297b3tve2+cc3tve29aa3tvem97b1pre29aa3pvWmt7b1prem9aa3tvWmt7b3pvm3N7b3tvWmt7b3pve297b5xze297b1pre29aa1prOWd7b1pre29ba1trGWNsLccYTCnPOTlnWmtZa5tzemt7b3xrfGs8ZzRGLCWOMdhWXGucc3tve297b3tve297b3tvnHN7b3tvWmt7b3tve29aa3tvem97b1prem9aa1prWmt8bzpnXG8aY9leTi1NKfJBfW86ZxpjrzXJHI8xVEoaZ51zWmt7b3tve297b3xvO2f7YrE1bi1USp1zWmd7b3trXGsaY5dSLCVNKTRGfW98b3tvWmtaa1pre297b3tvWmt7b1prWmtaa3tvWmt7b1pre29aa1prWmt7b3tvWms6Z3tvWmtba1trW2s5ZzpnO2c2SnAtsTm5Wl1rXGt8b3pve296a3tvWmt7b1trfG9ca3tvem+bc3tve285Z1pre297b1trWms5ZzpnGWcZY/hedVLxPW0xjjGVUltvnXM5Z3tvWmtaa1lrem9Za1lrOWdaa1prWmtaa1prWmtaazlnWms5Z1prOWdaa1prWms5Z1prWmtaazlnWmtaa1prWmtaawAAWmt7b1pre29aa3tvem97b1pre296b3tvWmt7b1pre29aa3tvem97b3tve296b3tvWmt7b1pre29aa3tvem97bzlnWmtaa3tvWmt7b1prem9aa3pvWmt6b1prem9aa3tve298b3tve29aa1prWWtaa1prWms6Z1trOme2Wq41xxgqJVNKWmubc1lrem96b3tvfG98a/lel1IsJY4t8T2db3tve297b3tve297b3tve297b3tvWmtaa1pre29aa3tvWmt6b1prWmtZa1prWmt7bzpnW2s7Zztn+V7ROeoc8T23Vp1zO2cSRukcKyWWUn1ze297b3pve29aa3tvW2tcbxtj80ELIRFCnXNaa1pre286Zxpj2FqwOQslsDU8a55zW2t7b1pre29aa1prWmt7b1pre29aa3tvWmt7b1pre29Za1prWmt6a1lrWmtaa3tvWmtaa1prWmtaa1trOmc7Zxxj9D0uKbA12V5ca3xvWmtaa1prWmt7b1trW2tba3xvWmt6b3pvem9Za1prOWdaa1pre29aa1trOmc6ZzlnOmcZY/li+F4aYzpnW2taa1prWmtaa1lrWmtZZ1lrWWtaa1lrWms5Z1prOWdaazlnWms5Z1prOWdaazlnWms5Z1prOWdaazlnWms5Z1prOWdaazlnAAB7b3tve297b3tvem97b3tve296b3tve297b3pve296b3tvem97b3tve297b3tvem97b3pve296b3tvem97b3tve29aa3tvem97b1pre29aa3tvWmt7b1pre29aa3tve298b3tvfG97b3tvWmt6b1prWmtaa1prWmtbaxljtlYyRrZWOme9d5tzeWtZa3pvWmudb1xrGmOXUk0pbi0SPn1vnG97b5xze2+cc3tvnHN7b5xze297b1pre29aa3tvWmt7b1prem9aa1prWmt7b1prfG9ba1trO2caY9E9CyHQOfhefG86ZxJCLClNLbdWfG98b3tve296b3tvWmt7b1xrPGdWTiwpbS34XltrnXNaa3xvO2caY9E9TSmPMftifnN8b1pre29aa3tvWmt7b1pre29aa3tve297b1pre29aa1prWmt6b1prWmtaa3pvWmt7b1prWmtaa3tvWmtaazpn+166WrI5jzGvNRpjfG97b3tre298b1pre2t7b3xvWmt7b3pvm296b3pvWWtaa1lrem9aa3tvWmt7b1prW2s6aztnGmc6ZzpnW2tba1trWmtba1prWmtZa1prWWt6a1lrWmtaa1prOWdaazlnWmtaa1prOWdaa1prWms5Z1prWmtaazlnWmtaa1prOWdaazlnWmsAAHtvm3N7b3tvem97b3pve29aa3tvWmt7b3pve29aa3tvWmt7b1pre296b3tvWmt7b3pve29aa3pvWmt7b1pre296b3tvWmt6b1prWmtaa1prWmt6b1prem9aa3tvWmt7b1tre29aa3tvWmt7b1pre29aa3tvWms6ZzlnOmcZYzlne2+cc3tvem9Ya3lrWWt7b3xrfGv6XrhWTSluLdE5fW97b3tve297b3tve297b3tve297b1prWmtaa3tvWmtaa1prWmtZa1prWWtaa1lrWmtaa1trOmc7ZxpjEkLqII4x1lp8b1tr2F5UTpZSO2udd3tve29aa3pvWmtaa1prW2s7Z7haTCkrJVNKfG+cb1prW2t8b/le8kFNKU4pVkp+b1tre29aa3tvWmt7b1prWmtaa1prWmt7b1pre29aa1prWWtaa1prWmtZa1prWmtaa1prWmtaa1prWmtaazlnOmsaYxxnuVosJU0p8T07Z3xvW2t7b1tre2tba3tvW2tba1pre29aa3tvWWtaa1lnWWtZa3pvWmt7b1tre29ba1tvW2tbaztnW2s6Z1trOmdaa1prWms5Z1lrWWtaa1lrWmtZa1prOWdaazlnWms5Z1prOWdaazlnWms5Z1prOWdaazlnWms5Z1prOWdaazlnWms5ZwAAnHN7b3tve297b3tve296b3tve297b3tve297b3tvem97b3pve296b3tve297b3pve297b3tvWmt7b3pve296b3tve297b1prem9aa3tvWmt7b1pre29aa3tvem97b3pve297b3tvWmt7b1pre29aa3tve297b1prOWcYYzlnOWd8b1prWmtZa3pveWt6b3tvfG9caztj2VqOLW4t0Tlca5xze297b3tvnHN7b3tve2+cc3tve29aa3tvWmt7b1pre29aa1prWmtaa1lrWmtZa1prOmdbazprW2tUSkwtbTHXWlprW2s6ZxpnGmN9c3tve296b3pvWmt6b1prW2s7a1xr2FpuLWwtU0p7b3tvWmt7a3tvOmczRrA1LSX0PX9zfG97b3tvWmt7b1pre29aa1prWmt7b1pre29aa1prWmtaa1pre29aa1prWmtaa1pre29aa3tvWmt7b1prWms6a1xrPGvZXlRKbS1uMVRKXGudcztnW2t8b5xzOmdaa3tve297b3tvWmt6b1premtZa3pvWmt7b1trfG97b3xvW2t8b1trfG9ba1trOmtba1prW2taa1prWWtaa1prWmtaa1prWmtaa1prWmtaa1prWmtaa1prWmtaa1prWmtaa1prWmtaa1prOWdaa1prWms5Z1prAAB6b3tvem97b1prem9aa3tvWmt7b3pve296b3tvem97b1pre29aa3tvWmt7b1pre296b3tvem97b1prem9aa3tvWmt6b1prem9aa3pvem97b1prem9aa3pvWmt6b1pre297b3tve297b1prWmtaa1trWmtaa1pre29aa1prWmt7b1tvW2taa3pveW95b1lre29ba1xrG2P6Xm4tbi2wNX1re297b3tve297b3tve297b3tve29aa1prWmtaa1prWmtaa1prWmtaa1lrWWtZa1lrWmtaa1prW2tba9heEkZTSjlne285ZzpnGWMaZ1xrW2taa3pvWWt6b1lrWms6a1trO2f5Xo41TCnwPVtrW2t7b1pre286Z5ZS0TlvLbI5n3dca3tvWmt7b1prWmtaa3tvWmtaa1prWmtaa1prWmtaa1prWmtaa1prWmtaa1pre29aa1prWmt7b1prWmtaa1prW2s6Z/heGmcSQm0tbS11TjtnXGt8b3xvWmtaa1prem9ba3tvWmt7b1prem9Za1prWWt6a1pre29ba1trW2tca1prW2tba1trOmdaazprW2s6Z1prOmdaazlnWmtaa1prWmtaa1prWms5Z1prOWdaazlnWmtaa1prOWdaa1prWms5Z1prOWdaazlnWms5Z1prOWcAAHtvem97b3pve296b3tve297b3tvm3N7b3tve297b3tve296b3tvWmt7b1pre297b3tve297b3pve29aa3tvem97b1pre29aa3tvem97b3tve29aa3tvWmt7b1pre297b3tve297b3tve29aa3tvWmt7b1prWmtaa3tvemt7b3tvfG9bb3tvem96b1lrem97b3trXGtcZxtjjzFNKdE5XGucb3tvnHN7b3tve297b3tve29aa3tvWmt7b1pre29aa1trWmt7b1prem9Za1prWWt7b1lrWms5Z1prOmf4Yjpne2+bc1trW298b1trnXNba3tvem96b1lrem9aa1trW2tbaztnM0YKIa81Omecc3tvemtaa1tr11oTQpExsjV/b3xvWmt7b1pre29aa3tvWmtaa1pre29aa3tvWmt7b1prW2taa3tvWmtba1pre29ba1trWmt7b1pre29aa3tvWmt6bxhjnG8ZYxpjrzWPMU0pt1Zca793W2s5Z5tvm3M4Y3tvW2t7b3tve296b3pvWWt6b1pre29ba3tvW2tca1trW2taa1trWmtba1prW2taa1prOmdaa1prWmtaa1trWmtaa1pre29aa1prWmtaa1prWmtaa1prWmtaa1prWmtaa1prWmtaa1prWms5Z1prWmtaawAAWmt7b1pre296b3tvem97b3pve296b3tve297b3pve296b3tvWmt6b1pre29aa3tve297b1pre29aa3pvWmt6b1pre29aa3tvem97b1pre29aa3pvWmt6b1pre29aa3tvem97b1pre29ba3tvWmtba3tvWms5Z1prWmtaazlnWmtaa3tvWmtZa1lreW96a3tvW2t8azxnG2NvLU0psDF9a3xve297b3tve297b1pre29aa1prWmtaa1pre29aa1prWmtba1prem9aa3prWWtZa1lrWWdZazlnGGNaazlnnHMYY1lrOWd8b3xvW2tbazprem96b1lrem9aa1prOmtbaztnW2u3Vq81U0pca3tre29aa1prWmv5XvNBsjlRLR1nXGt7b1pre29aa3tvWmtaa1prWmtaa1prWmtaa1prWmtaa1trWmtba1prW2taa1trWmtba1pre29aa1prWmt6bzhnem8YY5xv2FrZXrA1LSmxObhWO2dbazlne296b1hne297b1pre296b3tvWWtaa1prem9aa3tvW2tbaztrW2taa1prOWc5Z1prW2s6Z1prOmdaazpnOms6Z1trOmtba1prWmtaa1prWmtaazlnWms5Z1prOWdaazlnWms5Z1prWmtaazlnWms5Z1prOWdaa1prAAB7b3pve296b5tze2+cc3tve297b3tve2+bc3tve297b3tvem97b1pre29aa3tvem+bc3tve296b3tvWmt7b1pre297b3tve297b3pvem9aa3tvWmt7b1pre296b3tvem97b1pre29aa3tve297b3tve29aa1prem97b1prWmtaa1tve2+cc3pvem96b3pvOWd7b1xrXGsaY48xTCmwNXxrnHN7b3tve297b3tve29aa3tvWmtaa1pre297b3tvWmt7b1tre29aa3tvWmt6a1lrWWdZZ5xzWmtaa1prOmdaa5xze29aa1trW2s6Z3xve297b3pvem96a3tvWmtba1prW2saY1trtlZca3xvWmt6a5xzWmt8bxljM0bSOZAx+l58b3tve29aa3tvWmt7b1pre29aa3tvWmt7b1pre29aa1trW2t7b1prW2taa1trWmtba1pre29ba3tvWmt7b1premtZZ1prGGN8bxpjl1KQNS0psTm4VlxvnXM5Z1lrmm97b1tve29aa3tve296b1lrem9aa3tvW2t8b1trfG9ba3tvWms5ZzlnWmtaa1prOWdaazpnWms6Z1trWmtba1prW2taa3tvWmt7b1prWms5Z1prOWdaazlnWms5Z1prOWdaa1prWmtaa1prWmtaa1prWmsAAHpve296b3tvem97b3tve29aa3tve2+bc3pve296b3tvWmt7b1pre29aa3tve297b1pre297b3tve297b3tve297b3tve297b3tve297b3tvWmtaa1prWmtaa3tvWmtaa3tve297b3tvWmt7b3tve29aa3tve297b1prWmtaa3tvWmt7b1prem9aa1prWmt7b1prW2tbaxljzznoHK41OWd7b3tve297b3tve29aa3tvWmt7b1pre29aa3tvWmt7b1pre29aa3tvWmtaazlnWWs4Z1prWmtaazlne297b1prWmtaa1prW2taa1trWmtaa1prem9aa3tvWmt7b1tre286ZzpnGWdaa1trfG9ba1prWmucczlnOmfXWo4xTCn5XlprWmtaa3tvWmtaa1prWms5Z1prWmt7b1pre29aa1prWmtaa1pre29aa3tvWmt7b1pre297b3tvWmtaa1pre285Z1prWmtaazpnO2v5XrlayxwuKU4tG2Ndb1trWmt7b1pre29aa3tvWmtaa1prWmtZa1prWmtaa1prWmtaa1trWmtaa1prWmtaa1prWmtaazlnWms6Z1prOmdaa1prWmtaa1prWmtaazlnWmtaa1prWmtaazlnWms5Z1prWmtaazlnWmtaa1prOWdaa1prWms5ZwAAe297b3tve297b3tvm3N7b3tve2+cc3tvm3N7b3tve297b3tve297b3tve297b3tve297b3tve297b3tve297b3tve297b3tve297b5xze297b1pre29aa3tve297b3tvnHN7b3tve297b3tve297b1prWmucc3tvnHN7b3tve297b1pre29aa3tvWmt7b3tve29aa1prGGO1VlJK1lp7b3tve297b3tve297b3tvWmt7b1pre297b3tvWmt7b3tve29aa3tve297b1prWmtaa1prWmt7b1prWmt7b5xzWmt7b1pre29aa3tvWmt7b1pre29aa3tvWmt7b1pre29aa1prOWdaa1pre297b3tvWmt7b5xze29aa1prc05zTntve29aa3tvWmt7b1pre29aa1prWmt7b3tve29aa3tvWmtaa1pre29aa3tvWmt7b1prWmtaa3tvWmt7b1prWmtaa1prWmtaa1prW2tbaztn2V7SPesgsTnSPV1rfW98b1pre29aa3tvWmt7b1pre29aa1prWmt7b1prWmtaa3tvWmtaa1prWmtaa1prWmtaa1prWmtaa1prWmtaa1prWmtaa1prWmtaa1prWmtaa3tvWmtaa1prWmtaa1prWmtaa1prWmtaa1prWmtaa1prWmtaa1prAAB6b3tvem97b3tve297b3tve2+bc3tvm3N7b3tvem97b3tve29aa3tvWmt7b1pre29aa3tvWmt7b3tve297b3tvWmt7b1pre297b3tve297b3tve29aa3tvWmt7b1pre297b3tve297b1pre29aa3tvOWd7b3tvnHOcc5xzWmt7b1pre29aa3tvWmtaa1pre297b3tvOWc5ZxhjWmt7b3tve297b1pre297b3tvWmt7b1pre29aa3tvWmt7b1pre29aa3tvWmt7b1prWms5Z1prWmt7b1prWmtaa3tve29aa1prWmtaa1prWmtaa1prWmtaa3tvWmtaa1prWmtaa1prWmtaazlnWmtaa1prWmt7bzlne29aa1prWms5ZzlnnHNaa3tvWmtaa1prWmtaa3tvWmtaa1pre29aa3tvWmtaa1prWmtaa1prWmt7b1prWmtaa1prWmtaa1prWms5Z1prOWdaa1lrWmtaa3tvO2cbZ5hW0j1OLW8tNEqdc1tre29aa3tvWmtaa1pre29aa1prWmtaa1prWmtaa1prWmtaa1prWmtaa1prWmtaa1prWms5Z1prOWdaazlnWms5Z1prWmtaazlnWmtaa1prWmtaa1prWms5Z1prOWdaazlnWmtaa1prOWdaa1prWms5Z1prWmsAAHtve297b3tvm3N7b5tze2+bc3tvnHN7b5tze297b3tve297b3tvWmt7b3tve297b3tve297b3tve297b3tve297b3tve297b3tve2+cc3tve297b3tvWmtaa1pre297b5xze297b3tve29aa3tvWmtaa3tvnHOcc5xze297b1pre297b3tvWmt7b1pre297b3tve2+cc1prWmtaa3tvWmt7b3tve297b3tve297b1pre297b3tvWmt7b3tve29aa3tve297b1pre29aa1prWmtaa3tve29aa3tve297b1pre29aa3tvWmt7b1pre29aa3tve297b1pre29aa1prWmt7b1pre29aa1prWmt7b3tve29aa3tvWmtaa1pre29aa3tve297b1prWmtaa3tve297b1pre29aa3tvWmt7b1pre29aa3tvWmt7b1pre29aa1prWmt7b1pre29aa1prWmtaa1prWmtZa3tvW2tbaztnG2f6Xm8xbi2PNbdWnHN7b3tvWmt7b1pre29aa3tvWmt7b1prWmtaa3tvWmtaa1pre29aa1prWmtaa1prWmtaa1prWmtaa1prWmtaa1prWmtaa1prWmtaa1prWmtaa1prWmtaa1prOWdaa1prWms5Z1prWmtaa1prWmtaa1prWmtaawAAem97b3pve296b3tve297b1pre297b3tvWmt7b1pre29aa3tvWmt7b1pre297b3tvWmt7b1pre29aa3tve297b1pre29aa3tve297b3tve29aa3tvWmt7b1prWmtaa3tve297b3tve29aa1prWmt7b3tve297b5xze297b1pre29aa3tve297b1prWmtaa3tvWmt7b3tve29aa1pre2+cc1pre29aa3tve297b1pre29aa3tvWmt7b1pre29aa3tvWmt7b1pre29aa1prWmtaa1prWmtaa1prWmtaa1prWmtaa1prWmt7b1prWmtaa3tve297b1pre29aa1prWmtaa1pre29aa1prOWdaa1pre297b1prWmt7bzlnWmtaa1prWmt7b1prWmtaa1prWmt7b1prWmtaa3tvWmtaa1prWmtaa1prWmt7b1prWmtaa1prWmt7b1pre29aa1prWmt7b1prWmtZa1prWWtaazprW2sbZxtnVUpuMdE9U0qcc1lrWmtaa1prWmtaa1prWmt7b1prWmtaa1prWmtaa1prWmtaa1prWmtaa1prWmtaa1prOWdaazlnWms5Z1prOWdaazlnWms5Z1prOWdaa1prWms5Z1prOWdaazlnWms5Z1prOWdaa1prWms5Z1prWmtaazlnAAB7b3tve297b3tve2+bc3tve296b5tze297b1pre296b3tve297b3tve297b3tve297b1pre297b3tve297b3tve297b3tve297b3tve297b3tve2+cc3tve29aa3tve2+cc3tve297b3tvWmt7b1prnHN7b5xze297b1pre297b3tve297b3tve29aa3tve297b1prWmt7b5xze2+cc5xze29aa3tve297b3tve29aa3tvWmt7b3tve29aa3tve297b1pre29aa1prWmt7b1pre29aa3tvWmtaa1prWmtaa1prWmt7b3tvWmtaa3tve297b3tve297b3tvWmt7b1pre297b3tvWmtaa1pre297b3tvWmt7b3tve29aa3tve297b1pre29aa3tvWmt7b3tve29aa3tvWmt7b1pre29aa3tvWmt7b1pre29aa3tvWmt7b1pre297b3tvWmt7b1prem9Za1prWWt6a1lnWmtba1xr+mIbZ1RKllI6Z1lrWmtaa1pre29aa3tvWmt7b1prWmtaa3tvWmtaa1pre29aa3tvWmt7b1prWmtaa1prWmtaazlnWmtaa1prWmtaa1prWms5Z1prWmtaa1prWmtaa1prWmtaa1prWmtaa1prWmtaa1prWmtaa1prWmtaa1prWmsAAHpve296b3tve297b3tve29aa3tve297b3pve29aa3tve297b1pre29aa3tvWmt7b1pre29aa3tvWmt7b1pre297b3tvWmt7b1pre29aa3tvWmt7b3tvnHN7b3tvWmt7b3tve29aa3tvWmt7b1pre297b3tve297b1pre29aa3tvWmt7b1pre29aa3tvWmt7b3tve29aa1pre2+cc1prWmtaa3tvWmt7b3tve29aa3tvWmt7b1pre29aa3tvWmt7b1pre29aa1prWmtaa1prWmtaa3tvWmtaa1prWms5Z1prWmt7b3tve29aa1prWmt7b1pre29aa3tvWmt7b1pre29aa3tvWmt7b1pre29aa3tvOWdaa1prWmtaa3tvWmt7b1pre29aa3tvWmt7b1pre29aa3tvWmtaa1prWmtaa1prWmt7b1pre29aa1prWmtaa1pre29aa3tvWmtaa1prWmtaa1lrWWd5b1lrWWs5Z1tvXGtbaxpnW2v4Xt57OGN6b1lrWmtaa1prWmtaa1prWmtaa1prWmtaa1prWmtaa1prWmtaa1prWmtaa1prOWdaazlnWms5Z1prOWdaazlnWms5Z1prOWdaazlnWms5Z1prWmtaa1prWmtaa1prWmtaa1prWms5Z1prWmtaazlnWms5ZwAAe297b3tve2+bc3tvm3N7b3tve2+cc3tvm3N7b3tve297b3tve29aa3tve297b3tve29aa3tvWmt7b3tve297b5xze297b3tve297b3tvWmtaa3tvnHN7b3tvWmtaa1pre297b3tvWmt7b1pre29aa3tve297b3tve297b3tvWmt7b3tve297b3tvWmt7b3tvWmt7b5xze297b5xznHNaa3tvWmt7b1pre297b3tvWmt7b3tve29aa3tve297b1pre29aa3tvWmtaa1pre29aa3tve297b1pre29aa1prWmtaa3tve297b3tvWmt7b3tve29aa3tvWmt7b1pre29aa3tve297b3tve297b3tvWmtaa5xze285Z1pre29aazlne29aa3tve297b3tve29aa3tvWmt7b1pre29aa3tvWmt7b1pre29aa3tvWmtaa1prWmtaa3tvWmt7b1prWmtaa1prWWtZa3lvem9Za3pre29ba1xvO2s6Z3xv916bc1lrWmtaa1prWmt7b1pre29aa3tvWmtaa1pre29aa1prWmt7b1pre29aa1prWmtaazlnWms5Z1prOWdaa1prWms5Z1prWmtaazlnWmtaa1prWmtaa1pre29aa3tvWmtaa1prWmtaa1prWmtaa1prWmtaa1prAAB7b3tve297b3pve297b3tve297b3tve296b3tve2+bc1pre29aa3tvWmt7b1pre297b3tvWmt7b3tve29aa1prWmt7b3tve29aa3tvWmt7b1pre29aa3tvWmt7b1pre29aa1prWmtaa1pre297b3tve297b3tve297b3tvWmt7b1pre29aa3tvWmt7b1pre29aa3tvWmt7b1pre297b3tvWmt7b1pre29aa3tvWmt7b1prWmtaa3tvWmt7b1pre29aa3tvWmt7b1prWmtaa3tvWmtaa1pre29aa1prWmtaa1pre297b3tvWmtaa1pre29aa3tvWmt7b1pre29aa3tvWmtaa1prWmtaa1prWmt7b1prWmtaa1prOWdaa1pre29aa3tve297b1pre29aa1prWmt7b1prWmtaa1prWmt7b1pre29aa3tvWmtaa1prWmtaa1prWmtaa1prWmtaa1prOWdaa1lreWtYa1lrWWtaa1prW2s7Z1trWmtaa1lrem9aa3tvWmtaazlnWmtaa1prWmtaa1prWmtaa1prWmtaa1prWmtaa1prOWdaazlnWms5ZzlnOWdaazlnWmtaa1prOWdaazlnOWc5Z1prWmtaa1prWmtaa1prWmtaa1prWms5Z1prWmtaazlnWmtaa1prOWcAAJtze2+bc3tve297b5xze2+bc3tvm3N7b3tve2+bc3tve297b3tve297b3tve297b3tve297b1pre29aa3tvWmt7b3tve297b3tve297b1pre297b3tve297b1pre29aa3tvWmtaa1pre297b3tve297b3tve297b3tve297b3tve297b3tve297b3tve297b3tvWmt7b3tve297b3tve297b1pre297b3tve297b1pre29aa3tvWmt7b1pre297b3tvWmt7b1pre29aa3tvWmt7b1pre29aa3tvWmt7b1pre297b5xze29aa1pre297b3tvWmt7b1pre29aa3tvWmtaa1pre29aa3tvWmt7b1prWmtaa3tvWmtaa1pre29aa3tve297b1prWmtaa3tvWmt7b1pre29aa1prWmt7b1pre29aa3tvWmt7b1pre29aa3tvWmt7b1prWmtaa1prWmtaa1prem9Za3lrWWt6a1lre29ba1trWmtba1prem9Za3pvWmt7b1prWmtaa1prWmt7b1pre29aa3tvWmt7b1prWmtaa1prWmtaa1prWmtaa1prOWdaa1prWmtaa1prWmtaa1prWms5Z1prOWdaa1prWmtaa1prWmtaa1prWmtaa1prWmtaa1prWmtaa1prWmtaawAAem97b3pve297b3tve2+bc3tve297b3tve297b3tve29aa3tvWmt7b1pre29aa3tve297b1pre29aa3tvWmt7b1pre29aa3tve297b1pre297b3tve297b3tve29aa3tvWmt7b1prWmtaa3tvWmt7b3tve297b3tve297b1pre297b3tvWmt7b1pre29aa1prWmt7b1pre297b3tvWmt7b1pre29aa3tve297b1pre29aa3tvWmt7b1pre29aa3tvWmt7b1prWmtaa3tvWmt7b3tve29aa1prWmtaa1prWmtaa3tvWmt7b1prWmtaa3tvWmtaa1prWmtaa1prWmtaa1prWmtaa1prWmt7b1prWmtaa1prWmtaa1prWmtaa3tve297b1prWmtaa3tvWmtaa1prWmtaa1prWmtaa1prWmtaa3tvWmtaa1prWmtaa1prWmt7b1prWmtaa1prWmtaa1prWmtZa1lrWWt5a1hrWmtaa1trOmdaa1premtZa1lrWWtaa1prWmtaa1prWmtaa1pre29aa1prWmt7b1prWmtaa1prOWdaazlnWms5Z1prOWdaazlnWmtaa1prOWdaazlnWms5ZzlnOWdaazlnWmtaa1prOWdaa1prWms5Z1prWmtaazlnWmtaa1prOWdaazlnAAB7b3tve296b5tze2+cc3tvm3N7b5tze2+cc3tvm3N7b3tve297b3tve297b3tve2+cc3tve297b5xze2+cc3tve297b3tve297b3tve29aa3tve297b3tve297b3tve297b3tve29aa3tve297b1pre297b3tve297b3tve29aa3tve297b3tve29aa3tvWmt7b1pre297b3tve297b1pre297b3tve297b3tve297b3tvWmt7b1pre29aa3tvWmt7b1pre29aa3tvWmt7b3tvnHN7b3tvWmt7b1pre29aa1prWmt7b1pre29aa3tvWmt7b1prWmtaa3tvWmtaa1pre29aa3tvWmt7b1pre29aa1prWmtaa1prWmtaa3tve297b3tve29aa3tve297bzlnWmtaa1prWmt7b1prWmtaa3tvWmt7b1pre29aa3tvWmt7b1pre29aa3tvWmtaa1prW2taa1prWWt5b1lreWtZa3tvW2tba1pre29aa1lrWWtaa1prWmtaa3tvWmtaa1pre29aa3tvWmt7b1pre29aa3tvWmtaa1prWmtaa1prWmtaa1prWmtaa1prWmtaa1prWmtaa1prOWdaa1prWmtaa1prWmtaa1prWmtaa1prWmtaa1prWmtaa1prWmtaa1prWmsAAFpre29aa3tvem97b3tvnHN6b3tve2+bc3tve297b3tvWmt7b1pre29aa3tvWmt7b1pre297b5xznHOcc3tve29aa3tvWmt7b1pre29aa3tve297b3tve297b3tvWmt7b1pre29aa3tvWmt7b1pre29aa3tvWmt7b1pre29aa3tvWmt7b3tve29aa1prWmtaa1prWmtaa3tvWmt7b1pre29aa3tve297b1pre29aa3tvWmt7b1pre29aa3tvWmt7b1prWmtaa1prWmt7b1pre297b3tvWmtaa1prWmtaa1prWmtaa1pre29aa1prWmt7b1prWmtaa1prWmtaa1prWmtaa1prWmt7b1prWmtaa1prOWdaa1prWmtaa1prWmt7b1pre29aa1prWmt7b1prOWc5Z1prWmtaa1prWmtaa1prWmtaa1prWmtaa1prWmt7b1pre29aa3tvWmtaa1prW2taa1trWmt6a1lreWtZa1prWmtba1prW2taa1prWWtZazlnWmtaa1prWmtaa1prWmtaa1prWmtaa1prWmtaa1prWmtaa1prWms5Z1prOWdaazlnWmtaa1prWmtaa1prWms5Z1prOWdaazlnWmtaa1prOWdaa1prWms5Z1prWmtaazlnWmtaa1prOWdaa1prWms5ZwAAe296b3tve297b3tvm3N7b3tve2+cc3tvnHN7b5tze297b3tve297b3tve297b3tve29aa3tve2+cc3tve29aa3tvWmt7b3tve297b3tve297b3tve297b3tve297b3tve297b3tve297b1pre297b3tvWmt7b3tve297b3tve297b3tve297b3tvWmt7b1pre29aa3tve297b1pre297b3tvWmt7b3tve29aa3tvWmt7b1pre29aa3tvWmt7b1pre29aa3tvWmt7b1pre297b3tvWmt7b1prWmtaa3tvWmt7b1pre29aa3tvWmt7b1pre29aa3tvWmt7b1pre29aa3tvWmt7b1pre29aa3tvWmtaa1pre29aa1prWmt7b3tve29aa3tvWmt7b3tvWmsYY1prWmt7b1pre29aa3tvWmt7b1pre29aa3tvWmt7b1pre29aa3tvWmt7b1pre29aa1trW2t7b1prem9Za3pvWWt7b1prW2tba3tvWmt6a1lrWmtaa1prWmtaa1prWmtaa1prWmt7b1prWmtaa3tvWmtaa1prWmtaa1prWmtaa1prWmtaa1prWmtaa1prWmtaa1prOWdaa1prWmtaa1prWmtaa1prWmtaa1prWmtaa1prWmtaa1prWmtaa1prWmtaa1prAAB6b3tvWmt7b3pve296b3tvem97b3tvm3N7b5tzem97b1pre29aa3tvWmt7b1pre29aa3tvWmt7b3tve297b3tvWmt7b1pre297b3tvWmt7b1pre29aa3tvWmt7b1prWmtaa3tve297b1pre29aa3tvWmt7b1pre29aa3tvWmt7b1pre29aa3tvWmt7b1prWmtaa3tvWmt7b1pre29aa3tvWmt7b1pre29aa3tvWmtaa1pre29aa3tvWmt7b1prWmtaa3tvWmtaa1pre29aa3tvWmtaazlnWmtaa1prWmtaa1pre29aa1prWmtaa1prWmtaa3tvWmtaa1pre29aa1prWmt7b1prWmtaa1prWmtaa1prWmtaa1prWmtaa1pre29aa3tvWmtaa1pre285ZxhjWmtaa1pre297b3tvWmt7b1prWmtaa1prWmt7b1pre29aa3tvWmt7b1pre29aa1trW2tca1prWmtZa3lvWWtaa1prW2s6a1trWmt6b1lrWWs5Z1prOWdaazlnWmtaa1prWmtaa1prWmtaa1prWmtaa1prWms5Z1prOWdaazlnWmtaa1prWmtaa1prWms5Z1prOWdaazlnWms5Z1prOWdaazlnWms5Z1prOWdaazlnWmtaa1prOWdaa1prWms5Z1prOWcAAJtze297b3pve297b3tve297b3tvm3N7b5xze297b3pve297b3tve297b3tve297b5xze297b1pre297b5xze297b1pre297b3tve297b3tve297b3tve297b1pre29aa3tve2+cc3tve29aa3tvWmt7b1pre297b3tve297b3tve29aa3tvWmt7b3tve29aa3tvWmt7b1pre297b3tvWmt7b1pre29aa3tvWmt7b1pre297b3tvWmt7b1pre29aa3tve297b1pre29aa3tvWmtaa1prWmtaa3tvWmtaa1pre29aa3tvWmt7b1prWms5Z3tvWmt7b1pre29aa3tvWmt7b1pre29aa3tvWmtaa1pre29aa3tvWmtaa1prWmtaa3tvWmtaazlne297b1prGGNaa1pre297b5xze297b1pre29aa3tvWmt7b1pre29aa3tve297b1pre29aa3tvWmtbb1tre29aa3pvWWt6b1lrWmtaa1trW2t7b3pvem9Za1prWmtaazlnWmtaa1prWmtaa1prWmtaa1prWmtaa1pre29aa1prWmtaa1prWmtaa1prWmtaa1pre29aa1prWmtaazlnWmtaa1prWmtaa1prWmtaa1prWmtaa1prWmtaa1prWmtaa1prWmtaa1prWmtaawAAe297b3tve29aa3tve297b3tve297b3tve297b3tvnHNaa3tvWmt7b1pre29aa3tvWmt7b3tve297b3tve297b1pre297b3tve297b3tve29aa3tvWmt7b1prWmtaa1prWmt7b3tve297b3tvWmt7b3tve29aa3tvWmt7b3tve29aa1pre297b3tve29aa1prWmtaa1pre29aa3tvWmt7b1prWmtaa1prWmtaa1prWmtaa1prWmt7b1pre29aa3tvWmtaa1pre29aa3tvWmt7bzlnWmtaa3tvWmtaa1prWmtaa1prWmt7b1prWmtaa1prWmtaa1prWmtaa1prWmtaa1prWmtaa3tvWmtaa1prWmtaa1prWmtaa1prWmtaa3tvWmtaa1prWmtaa1prWmt7b1pre29aa3tvWmtaa1prWmtaa1prWmt7b1pre29aa3tvWmt7b1pre29aa1prWmtaa1prW2tba3tvWmt6b1prWmtaa1prOWdaa1pre29aa1prWmtaa1prWmtaa1prWmtaa1prWmtaa1prOWdaazlnWmtaa1prWmtaa1prWmtaa1prOWdaa1pre285Z1prOWdaazlnWms5Z1prOWc5ZzlnWms5Z1prOWdaazlnWms5Z1prWmtaa1prWms5Z1prWmtaa1prAAB7b3tve297b3tve297b3tve297b5xze2+cc3tvnHN7b3tvWmt7b1pre29aa3tve297b3tve297b3tve297b3tve297b3tve297b3tve297b3tve297b3tve29aa3tvWmt7b3tve297b3tve297b1pre297b3tve297b3tve297b1prWmt7b3tve297b3tvWmt7b1pre297b3tve297b3tve29aa3tvWmt7b1pre29aa3tvWmt7b1pre29aa3tve297b1pre297b3tvWmt7b1prWmtaa3tvWmtaa1pre29aa3tvWmt7b1pre29aa3tvWmt7b1pre29aa1prWmtaa1pre29aa3tvWmt7b1pre29aa3tvWmt7b1prWmtaa3tvWmt7b1pre29aa1prWmt7b1pre297b3tve297b1pre29aa1prWmt7b1pre29aa3tve297b1pre29aa3tvWmt7b1pre29aa3tve297b1pre29aa1prWmtaa1pre29aa3tvWmtaa1prWmtaa1prWmtaa1prWmtaa1prWmtaa1prWmtaa1prWmtaa1prWmtaa1prWmtaa1pre29aa1prOWdaa1prWmtaa1prOWdaazlnWms5Z1prWmtaa1prWmtaa1prWmtaa1prWmtaa1prWmtaa1prWmsAAFpre29aa3tve297b3tve297b3tve297b3tve297b3tve297b1pre29aa3tvWmt7b1pre29aa3tvWmt7b1pre297b3tvWmt7b3tve29aa3tvWmt7b1pre297b3tvWmt7b1pre29aa3tvWmt7b1pre297b3tvWmt7b1pre29aa3tvWmt7b1pre297b3tvWmtaa1pre29aa3tvWmt7b1pre29aa1prWmtaa1prWmtaa1prWmt7b1pre29aa3tvWmt7b1pre29aa3tvWmt7b1prWmtaa1prWmtaa1prWmtaa1prWmtaa1prWmtaa3tvWmtaa1pre29aa1prWmtaa1prWmtaa1prWmtaa1pre29aa3tvWmtaa1prWmtaa1prWmtaa1prWmtaa1prWmtaa1prWmtaa3tvWmt7b1pre29aa3tvWmtaa1prWmtaa3tvWmt7b1pre29aa1prWmtaa1prWmtaa3tvWmt7b1pre29aa1prWmtaazlnWmtaa3tvWmtaa1prWmtaa1prWmtaa1prWmtaa1prOWdaazlnWms5Z1prWmtaa1prWmtaa1prWmtaazlnWmtaa1prWmtaazlnWmtaa1prOWdaazlnWms5Z1prOWdaazlnWms5Z1prOWdaa1prWms5Z1prWmtaa1prWmtaawAAe297b3tve297b3tvnHN7b3tve297b3tvnHN7b5xze297b3tve29aa3tve297b3tve29aa3tvWmt7b3tve297b3tve297b3tve297b3tve297b3tve297b5xze297b3tve29aa3tvWmt7b3tve29aa3tve297b3tve297b3tve297b1pre297b3tve297b1pre29aa3tvWmt7b3tve29aa3tvWmt7b1pre29aa3tvWmt7b1pre29aa3tvWmt7b1pre29aa3tvWmt7b1pre29aa3tvWmt7b1pre29aa1prWmt7b1pre29aa3tvWmt7b1pre29aa3tvWmt7b1prWmtaa1prWmtaa1pre29aa3tvWmt7b1prWmtaa3tvWmt7b1pre29aa1prWmt7b1pre29aa3tvWmt7b1pre297b3tve297b1pre29aa3tvWmt7b1pre29aa3tvWmt7b1pre29aa3tvWmt7b1pre29aa1prWmt7b1pre29aa3tvWmtaa1prWmtaa1prWmtaa1prWmtaa3tvWmtaa1prWmtaa1prWmtaa1prWmtaa1prWmtaa1prWmtaa1prWmtaa1prWmtaa1prWmtaazlnWmtaa1prWmtaa1prWmtaa1prWmtaa1prWmtaa1prWmtaa1prWmtaa1prAABaa3tvWmt7b3tve297b5xzWmt7b3tve297b3tve297b3tve297b3tvWmt7b1pre29aa3tvWmt7b1pre29aa3tve297b3tve29aa3tvWmt7b1pre29aa3tve2+cc3tve29aa1prWmt7b1pre29aa3tvWmt7b1pre29aa3tvWmt7b1pre29aa3tvWmt7b1pre29aa1prWmt7b1pre29aa1prWmtaa1prWmtaa1prWmtaa1pre29aa3tvWmt7b1pre29aa1prWmt7b1pre29aa3tvWmt7b1pre29aa1prWmt7b1prWmtaa3tvWmtaa1prWmtaa3tvWmt7b1prWmtaa1prWmtaa1prWmtaa1prWmt7b1prWmtaa1prWmtaa1prWmtaa1prWmtaa1prWmtaa3tvOWdaa1prWmtaa3tvWmt7b1prWmtaa1prWmtaa1pre29aa1prWmtaa1prWmtaa3tvWmtaa1pre29aa1prWmtaa1prWmtaa1prWmtaa1prWmtaa1prWmtaa1prWmtaa1prWmtaa1prWms5Z1prOWdaa1prWmtaa1prWmtaa1prWms5Z1prOWdaazlnWmtaa1prOWdaazlnWms5Z1prOWdaazlnWms5Z1prOWdaazlnWms5Z1prOWdaazlnWmtaa1prOWcAAHtve297b3tve297b5xze297b3tve297b3tve2+cc3tvnHN7b3tve297b1pre297b3tvWmt7b3tve297b3tve297b3tve297b3tvWmt7b1pre29aa3tve2+cc3tvnHN7b3tvWmt7b1pre29aa3tve297b3tve297b3tve297b3tve29aa3tve297b1pre29aa3tvWmt7b1pre29aa3tvWmtaa1pre29aa1prWmt7b1pre29aa3tvWmt7b1pre29aa3tvWmt7b3tve29aa3tvWmt7b3tve29aa1prWmt7b3tve29aa3tvWmt7b1pre29aa3tvWmt7b1pre29aa3tvWmt7b1pre29aa3tvWmt7b1pre29aa1prWmtaa1pre29aa1prWmtaa1prWmtaa3tvWmtaa1prWmtaa3tvWmt7b1pre29aa3tvWmt7b1pre29aa3tvWmt7b1pre29aa3tvWmt7b1pre29aa1prWmt7b1pre29aa3tvWmtaa1prWmtaa1prWmtaa1prWmtaa1prWmtaa1prWmtaa1prWmtaa1prWmtaa1prWmtaa1prWmtaa1prWmtaazlnWmtaa1prWmtaa1prWmtaa1prWmtaa1prWmtaa1prWmtaa1prWmtaa1prWmtaa1prWmtaa1prWmtaawAAe297b1pre297b3tve297b3tve29aa3tve297b3tve297b3tve297b1pre29aa3tvWmt7b1pre297b3tve297b3tve29aa3tvWmt7b1prWmtaa1prWmt7b3tvnHN7b3tve297b1pre29aa3tvWmt7b1pre29aa3tve297b1pre29aa3tvWmt7b1pre29aa3tvWmt7b1pre29aa1prWmtaa1prWmtaa1prWmtaa1prWmtaa3tvWmt7b1pre29aa1prWmt7b1pre29aa3tvWmtaa3tve29aa1prWmtaa1pre29aa1prWmtaa1pre29aa1prWmt7b1pre29aa3tvWmtaa1pre29aa1prWmtaa1prWmtaa1prWmtaa1prWmtaa1prWmtaazlnWmtaa1prWmt7b1prWmtaa1prWmt7b1pre29aa1prWmtaa1prWmtaa1prWmtaa1prWmtaa3tvWmt7b1pre29aa1prWmtaa1prWmtaa1prWmtaa1prWmtaa1prWmtaa1prWmtaa1prWmtaa1prWms5Z1prOWdaazlnWmtaa1prWmtaa1prWmtaa1prWmtaazlnOWdaa1prWmtaazlnWms5Z1prOWdaa1prWms5Z1prOWdaazlnWms5Z1prWmtaazlnWms5Z1prOWdaazlnAAB7b3tve297b3tve297b3tve297b3tve297b3tve297b5xze297b3tve297b3tve297b3tve297b3tve297b3tve297b3tve297b1pre29aa3tvWmtaa1prnHOcc5xze2+cc3tve29aa3tve297b3tve297b3tve297b3tve29aa3tve297b1pre297b3tvWmt7b1pre29aa3tvWmtaa1prWmtaa1prWmtaa1prWmtaa3tve297b1pre29aa3tvWmt7b1pre29aa3tvWmt7b1pre297b3tvWmtaa1pre29aa3tvWmt7b1pre29aa3tvWmt7b3tve29aa3tvWmt7b1pre297b3tvWmt7b1prWmtaa3tvWmtaa1prWmtaa1prWmtaa1prWmtaa1prWmt7b1pre29aa3tvWmt7b1pre29aa3tvWmt7b1pre29aa1prWmt7b1pre29aa3tvWmt7b1pre29aa3tvWmtaa1prWmtaa1prWmt7b1prWmtaa1prWmtaa1prWmtaa1prWmtaa1pre29aa1prWmtaa1prWmtaa1prWmtaa1prWmtaa1prWmt7b1prWms5Z1prWmt7b1prWmtaa1prOWdaa1prWmtaa1prWmtaa1prWmtaa1prWmtaa1prWms5Z1prOWdaazlnWmsAAFpre297b3tve297b3tve29aa3tvWmt7b1pre297b3tve297b3tve297b3tvWmt7b3tve297b3tve2+cc3tve297b3tve297b1pre29aa3tve297b1pre297b5xze297b3tve297b3tvWmt7b1pre29aa3tve297b3tve297b3tvWmt7b1pre29aa3tve297b1pre29aa3tvWmtaa1pre29aa1prOWd7b1prWmtaa3tvWmtaa1prWmtaa1prWmt7b1pre297b3tvWmt7b1pre29aa3tvWmt7b1pre29aa3tvWmt7b1pre29aa1prWmt7b1pre29aa3tvWmtaa1pre29aa3tvWmt7b1prWmtaa3tvWmtaa1prWmtaa1prWmtaa1prWmtaa1prWmtaa1pre29aa1prWmtaa1prWmtaa1prWmtaa1prWmtaa1prWmtaa1prWmtaa1prOWdaa1prWmtaa1prOWdaazlnWmtaa3tvOWdaa1prWmtaa1prWmtaa1prWmtaa1prWmtaa1prWmtaa1prOWdaazlnWmtaa1prWmtaazlnWms5Z1prOWdaazlnWms5Z1prOWdaa1prWms5Z1prWmtaazlnWmtaa1prOWdaazlnWms5Z1prOWdaazlnWms5Z1prOWdaazlnWms5ZwAAe297b5xze2+cc3tvnHN7b3tve297b3tve297b5xze297b3tvnHN7b3tve297b1pre297b3tve2+cc3tvnHN7b3tve297b3tve29aa3tve297b3tve297b5xze2+cc3tvnHN7b5xze297b3tve297b3tvWmt7b3tve297b3tve297b3tve297b3tve297b3tve29aa3tvWmtaa1pre29aa3tvWmtaa1pre29aa1pre29aa1pre29aa3tvWmt7b1pre29aa3tve297b3tve297b3tvWmt7b1pre29aa3tvWmt7b1pre29aa3tvWmt7b1pre29aa3tvWmt7b1pre29aa3tvWmt7b1pre29aa3tvWmtaa1pre29aa1prWmt7b1prWmtaa1prWmtaa1pre29aa1prWmt7b1pre29aa3tvWmtaa1pre29aa1prWmt7b1prWmtaa1prWmtaa1pre29aa1prWmtaa1prWmtaa3tvWmtaa1pre29aa3tvWmt7b1pre29aa3tvWmtaa1pre29aa3tvWmtaa1prWmtaa3tvWmtaa1prWmtaa1prOWdaa1prWms5Z1prWmtaa1prWmtaa1prWmtaa1prWmtaa1prWmtaa1prWmtaa1prOWdaazlnWms5Z1prOWdaazlnWms5Z1prAAB7b3tve297b3tvnHN7b3tve297b3tve297b3tve2+cc3tve297b3tve297b1pre297b3tvWmt7b3tve297b3tve297b1pre29aa3tvWmt7b3tve29aa3tve297b3tve297b3tve297b3tve29aa3tvWmt7b1pre29aa3tvWmt7b1pre29aa3tvWmt7b1pre29aa3tvWmtaa1prWmtaa1prWmtaazlnWmtaa1prWmt7b1prWmtaa1prWmt7b1prWmtaa3tvWmt7b1pre29aa3tvWmt7b1prWmtaa3tvWmtaa1pre29aa1prWmt7b1pre29aa3tvWmtaa1pre29aa3tvWmt7b1prWmtaa1prWmtaa1prWmtaa1prWmtaa1prWmtaa1prWmtaa1prWmtaa1prWmtaa1prWmtaa1prWmtaa1prWmtaa1prWmtaa1prWmtaa1prWmtaa1prWmtaa1prWmtaazlnWmtaa1prWmtaa1prWmtaa1prWmtaa1prWmtaa1prWmtaa1prWmtaa1prWmtaa1prWms5Z1prWmtaa1prWms5Z1prOWdaazlnWms5Z1prOWdaazlnWms5Z1prWmtaazlnWmtaa1prOWdaa1prWms5Z1prOWdaazlnWms5Z1prOWdaazlnWms5ZzlnOWcAAHtve297b3tvnHN7b3tve2+cc3tve297b3tve297b3tve297b3tve297b3tve29aa3tve297b1pre297b3tvWmt7b3tve297b3tve297b3tve297b3tve297b3tve297b3tve297b3tve297b3tvWmt7b1pre29aa3tvWmt7b1pre297b3tvWmt7b3tve29aa3tvWmt7b1pre29aa1prWmt7b1prWmtaa3tvWmtaa1prWmtaa1prWmt7b1pre29aa3tvWmt7b1pre297b3tvWmt7b1pre29aa3tvWmt7b1pre29aa3tvWmt7b1pre29aa3tvWmt7b1pre29aa3tvWmt7b3tve29aa3tvWmtaa1prWmtaa1prWmt7b1pre29aa1prWmtaa1prWmtaa1prWmtaa1pre29aa3tvWmtaa1prWmtaa1prWmt7b1pre29aa1prWmtaa1pre29aa1prWmtaa1prWmtaa1prWmtaa1prWmtaa1prWmt7b1pre29aa1prWmtaa1prWmtaa3tvWmt7b1prWmtaa1prWmt7b1prWmtaa1prOWdaazlnWms5Z1prOWdaazlnWmtaa1prWmtaa1prWmtaa1prWmtaa1prWmtaa1prWmtaa1prWms5Z1prWmtaazlnWms5Z1prOWdaawAAWmt7b1pre297b3tve297b3tve29aa3tvWmt7b1pre29aa3tve297b3tve29aa3tve297b1pre29aa3tvWmt7b1pre29aa3tvWmt7b3tve29aa3tve297b1pre297b3tvWmt7b1pre29aa3tvWmt7b1pre29aa3tvWmtaa1pre29aa3tvWmt7b1pre29aa3tvWmt7b1pre29aa3tvWmtaa1prWmtaa1prWmtaa1prWmtaa1prWmtaa1prWmtaa1prWmtaa1pre29aa3tvWmtaa1prWmtaa1prWmtaa1prWmtaa1prWmtaa1prWmtaa3tvWmt7b1pre29aa3tvWmt7b1pre29aa1prWmtaa1prWmtaa1prWmtaa1prWmtaa1prWmtaa1prWmtaa1prWmtaa1prWmtaa1prWmtaa1prWmtaa1prWmtaa1prWmtaa1prWmtaa1pre29aa1prWmtaazlnWmtaa1prWmtaa1prWms5Z1prWmtaa1prWmtaa1prOWdaa1prWms5Z1prWmt7b1prWmtaa1prWmtaa1prWmtaa1prOWdaazlnWms5Z1prOWdaazlnWms5Z1prWmtaazlnWmtaa1prOWdaa1prWms5Z1prOWdaazlnWms5Z1prOWdaazlnWms5Z1prOWdaazlnAAB7b1pre297b3tve297b3tve297b3tvWmt7b1pre297b3tve297b3tve297b3tve297b3tve297b3tve297b1pre29aa3tve297b3tve297b3tve2+cc3tve29aa3tve297b3tve297b3tvWmt7b3tve29aa3tvWmt7b1pre29aa3tve297b3tve29aa3tvWmt7b3tve297b3tve297b1prWmtaa3tvWmtaa1pre29aa1prWmtaa1prWmtaa3tvWmtaa1pre29aa3tvWmt7b1pre29aa3tvWmt7b1pre29aa1prWmtaa1prWmtaa3tve297b1pre29aa3tvWmt7b3tve29aa3tvWmtaa1prWmtaa1prWmt7b1prWmtaa3tvWmtaa1prWmtaa1prWmtaa1prWmtaa3tvWmt7b1pre29aa1prWmt7b1prWmtaa3tvWmtaa1pre29aa3tvWmt7b1prWmtaa1prWmtaa1pre29aa1prWmt7b1pre29aa3tvWmtaa1pre29aa1prWmt7b3tvWmtaa3tvWmtaa1pre29aa1prWmtaa1prWms5Z1prWmtaazlnWmtaa1prWmtaa1prWmtaa1prWmtaa1prWmtaa1prWmtaa1prWms5Z1prOWdaazlnWms5Z1prOWdaazlnWmsAAFpre29aa3tve297b1pre297b3tvWmt7b1pre29aa3tvWmt7b3tve297b3tvWmt7b3tve29aa3tve297b1pre29aa3tvWmt7b3tve29aa3tvWmt7b3tve29aa3tvWmt7b1pre29aa3tvWmt7b1pre29aa3tvWmt7b1pre29aa1pre297b1pre29aa1prWmtaa1pre29aa3tve297b1prWmtaa3tvWmtaa1pre29aa1prWmtaa1prWmtaa1prWmtaa1prWmtaa1prWmtaa1prWmtaa1prWmtaa1prWmtaa1prWmtaa1prWmtaa3tvWmt7b1pre29aa1prWmt7b1pre29aa3tvWmtaa1prWms5Z1prWmtaa1prWmtaa1prWmtaa1prWmtaa1prWmtaazlnWmtaa1prWmtaa1prWmtaa1prWmtaa1prWmtaa1prWmtaa1prWmtaa3tvWmt7b1prWms5Z1prWmtaa1prWmtaa1prWmtaa1prWmtaa1prWmtaa1pre29aa1prOWdaa1pre29aa1prWmtaa1prWms5Z1prWmtaazlnWms5Z1prOWdaazlnWms5Z1prOWdaazlnWmtaa1prOWdaa1prWms5Z1prWmtaazlnWms5Z1prOWdaazlnWms5Z1prOWdaazlnOWc5ZwAAe297b3tve2+cc3tve297b5xze297b3tve297b3tve297b3tve297b5xze297b3tvnHN7b3tve297b3tve29aa3tve297b3tve297b3tve297b3tvnHN7b3tvWmt7b3tve297b3tvWmt7b3tve297b3tve297b3tve29aa3tvWmt7b3tve29aa3tvWmtaa1pre29aa3tve297b1prWmtaa1pre297b1prWmtaa3tvOWdaa1prWmtaa1prWmtaa1prWmtaa3tvWmt7b1prWmtaa3tvWmtaa1pre29aa1prWmtaa1prWmtaa3tvWmt7b1pre29aa3tvWmt7b1pre297b3tve297b1prWmtaa1prWmtaa1prWmtaa3tvWmt7b1prWmtaa1prWmtaa1prWms5Z1prWmt7b1pre29aa1prWmtaa1prWmtaa3tvWmt7b1prWmtaa3tvWmt7b1prWmtaa1prWmtaa1pre29aa1prWmtaa1prWmtaa3tvWmt7b1prWmtaa3tvWmtaazlnWmtaa1prWmtaa1prWmtaa1prOWdaa1prWms5Z1prOWdaazlnWms5Z1prOWdaa1prWmtaa1prWmtaa1prWmtaa1prWmtaa1prWmtaa1prWmtaazlnWmtaa1prOWdaazlnWms5Z1prAABMAAAAZAAAAAAAAAAAAAAAlAAAAEwAAAAAAAAAAAAAAJUAAABNAAAAKQCqAAAAAAAAAAAAAACAPwAAAAAAAAAAAACAPwAAAAAAAAAAAAAAAAAAAAAAAAAAAAAAAAAAAAAAAAAAIgAAAAwAAAD/////RgAAABwAAAAQAAAARU1GKwJAAAAMAAAAAAAAAA4AAAAUAAAAAAAAABAAAAAUAAAA</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2026-08-13T20:36:49Z</xd:SigningTime>
          <xd:SigningCertificate>
            <xd:Cert>
              <xd:CertDigest>
                <DigestMethod Algorithm="http://www.w3.org/2001/04/xmlenc#sha256"/>
                <DigestValue>Z09FfJIPU49iaJ2dKwd8xo+ZniD7zuLQinbgiUeEqpk=</DigestValue>
              </xd:CertDigest>
              <xd:IssuerSerial>
                <X509IssuerName>C=PY, O=ICPP, OU=Prestador Cualificado de Servicios de Confianza, SERIALNUMBER=RUC 80113823-0, CN=CONFIRMA S.A.</X509IssuerName>
                <X509SerialNumber>6344096911337137794</X509SerialNumber>
              </xd:IssuerSerial>
            </xd:Cert>
          </xd:SigningCertificate>
          <xd:SignaturePolicyIdentifier>
            <xd:SignaturePolicyImplied/>
          </xd:SignaturePolicyIdentifier>
        </xd:SignedSignatureProperties>
      </xd:SignedProperties>
    </xd:QualifyingProperties>
  </Object>
  <Object Id="idValidSigLnImg">AQAAAGwAAAAAAAAAAAAAAKgBAADQAAAAAAAAAAAAAAC/HQAAqw4AACBFTUYAAAEAPBcBAMs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OMAAAAFAAAAMQEAABsAAADjAAAABQAAAE8AAAAXAAAAIQDwAAAAAAAAAAAAAACAPwAAAAAAAAAAAACAPwAAAAAAAAAAAAAAAAAAAAAAAAAAAAAAAAAAAAAAAAAAJQAAAAwAAAAAAACAKAAAAAwAAAABAAAAUgAAAHABAAABAAAA7////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OMAAAAFAAAAMgEAABwAAAAlAAAADAAAAAEAAABUAAAAhAAAAOQAAAAFAAAAMAEAABsAAAABAAAAVVWPQSa0j0HkAAAABQAAAAkAAABMAAAAAAAAAAAAAAAAAAAA//////////9gAAAAMQAzAC8AOAAvADIAMAAyADYAAAAJAAAACQAAAAcAAAAJAAAABwAAAAkAAAAJAAAACQAAAAkAAABLAAAAQAAAADAAAAAFAAAAIAAAAAEAAAABAAAAEAAAAAAAAAAAAAAAqQEAANEAAAAAAAAAAAAAAKkBAADR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JAAAAAAAAABQAAAAIQDwAAAAAAAAAAAAAACAPwAAAAAAAAAAAACAPwAAAAAAAAAAAAAAAAAAAAAAAAAAAAAAAAAAAAAAAAAAJQAAAAwAAAAAAACAKAAAAAwAAAADAAAAJwAAABgAAAADAAAAAAAAAAAAAAAAAAAAJQAAAAwAAAADAAAATAAAAGQAAAAAAAAAAAAAAP//////////AAAAACQAAABAAQAAAAAAACEA8AAAAAAAAAAAAAAAgD8AAAAAAAAAAAAAgD8AAAAAAAAAAAAAAAAAAAAAAAAAAAAAAAAAAAAAAAAAACUAAAAMAAAAAAAAgCgAAAAMAAAAAwAAACcAAAAYAAAAAwAAAAAAAAAAAAAAAAAAACUAAAAMAAAAAwAAAEwAAABkAAAAAAAAAAAAAAD//////////0ABAAAkAAAAAAAAAFAAAAAhAPAAAAAAAAAAAAAAAIA/AAAAAAAAAAAAAIA/AAAAAAAAAAAAAAAAAAAAAAAAAAAAAAAAAAAAAAAAAAAlAAAADAAAAAAAAIAoAAAADAAAAAMAAAAnAAAAGAAAAAMAAAAAAAAAAAAAAAAAAAAlAAAADAAAAAMAAABMAAAAZAAAAAAAAAB0AAAAPwEAAHUAAAAAAAAAdAAAAEABAAACAAAAIQDwAAAAAAAAAAAAAACAPwAAAAAAAAAAAACAPwAAAAAAAAAAAAAAAAAAAAAAAAAAAAAAAAAAAAAAAAAAJQAAAAwAAAAAAACAKAAAAAwAAAADAAAAJwAAABgAAAADAAAAAAAAAP///wAAAAAAJQAAAAwAAAADAAAATAAAAGQAAAAAAAAAJAAAAD8BAABzAAAAAAAAACQAAABAAQAAUAAAACEA8AAAAAAAAAAAAAAAgD8AAAAAAAAAAAAAgD8AAAAAAAAAAAAAAAAAAAAAAAAAAAAAAAAAAAAAAAAAACUAAAAMAAAAAAAAgCgAAAAMAAAAAwAAACcAAAAYAAAAAwAAAAAAAAD///8AAAAAACUAAAAMAAAAAwAAAEwAAABkAAAACwAAAEUAAAAnAAAAcwAAAAsAAABFAAAAHQAAAC8AAAAhAPAAAAAAAAAAAAAAAIA/AAAAAAAAAAAAAIA/AAAAAAAAAAAAAAAAAAAAAAAAAAAAAAAAAAAAAAAAAAAlAAAADAAAAAAAAIAoAAAADAAAAAMAAABSAAAAcAEAAAMAAADW////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EUAAAAmAAAAcwAAAAEAAABVVY9BJrSPQQwAAAB0AAAAAQAAAEwAAAAEAAAACwAAAEUAAAAoAAAAdAAAAFAAAABYAAAAGwAAABYAAAAMAAAAAAAAACUAAAAMAAAAAgAAACcAAAAYAAAABAAAAAAAAAD///8AAAAAACUAAAAMAAAABAAAAEwAAABkAAAANgAAACgAAAA0AQAAcwAAADYAAAAoAAAA/wAAAEw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JwAAABgAAAAEAAAAAAAAAP///wAAAAAAJQAAAAwAAAAEAAAATAAAAGQAAAA2AAAAKAAAADQBAABvAAAANgAAACgAAAD/AAAASAAAACEA8AAAAAAAAAAAAAAAgD8AAAAAAAAAAAAAgD8AAAAAAAAAAAAAAAAAAAAAAAAAAAAAAAAAAAAAAAAAACUAAAAMAAAAAAAAgCgAAAAMAAAABAAAACEAAAAIAAAAYgAAAAwAAAABAAAASwAAABAAAAAAAAAABQAAACEAAAAIAAAAHgAAABgAAAAAAAAAAAAAAKkBAADR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CCdtPwAAAAAAAAAAfj9sPwAAWEIAACBCJAAAACQAAAAIJ20/AAAAAAAAAAB+P2w/AABYQgAAIEIEAAAAcwAAAAwAAAAAAAAADQAAABAAAAA2AAAAKA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JUAAABNAAAAAAAAACEAAAAIAAAAYgAAAAwAAAABAAAAFQAAAAwAAAAEAAAAFQAAAAwAAAAEAAAAUQAAAHj6AAA2AAAAKAAAAL8AAABuAAAAAAAAAAAAAAAAAAAAAAAAAPkAAACAAAAAUAAAACgAAAB4AAAAAPoAAAAAAAAgAMwAlQAAAE0AAAAoAAAA+QAAAIAAAAABABAAAAAAAAAAAAAAAAAAAAAAAAAAAAAAAAAAOWdaa1pre29aa1prWmt7b1prWmtaa3tvWmt7b1pre297b3tvWmt7b1prWmtaa1prWmt7b1pre29aa1prWmtaa1prWmtaa3tvWmt7b1pre29aa1prWmtaazlnWmtaa1prWmtaa1prWmtaa3tvWmt7b1prWmtaa1prWmtaa1prWmtaa1prOWdaazlnWmtaa1prOWdaa1pre29aa1prWmtaa1pre29aa1prOWdaazlnWmtaa1prWmtaa1prWmtaa1prOWdaazlnWms5Z1prWmtaa1prWmtaa3tvWmtaa1prWms5Z1prWmtaa1prWmtaa1prOWdaa1prWms5Z1prOWdaa1prWms5Z1prOWdaazlnWms5Z1prOWdaazlnWms5Z1prOWdaa1prWmtaa1prOWdaazlnOWc5Z1prOWdaazlnWmtaa1prWmtaa1prWmtaa1prOWdaazlnWms5Z1prOWdaazlnWms5Z1prOWdaazlnWms5Z1prOWdaazlnWmtaa1prOWdaa1prWms5Z1prOWdaa1prWms5Z1prOWc5ZzlnWms5ZzlnOWc5ZzlnOWc5Z1prWms5Zzlne297b3tvOWdaazlnOWc5ZzlnOWc5ZzlnOWc5Z1prWmtaazlnOWc5Z3tvOWdaazlnOWc5ZzlnOWdaaxhjAAB7b1pre297b3tvWmt7b3tve29aa3tve297b1pre29aa3tve297b1prWmtaa3tvWmt7b1pre29aa3tvWmt7b1prWmtaa3tvWmt7b1pre29aa3tvWmtaa1prWmtaa1prWmt7b1pre29aa3tvWmt7b3tve29aa3tvWmtaa1pre29aa1prWmtaa1prWmtaa1prWmtaa1pre29aa3tvWmt7b1pre297b3tvWmtaazlnWmtaa1prWmt7b1pre29aa3tvWmtaazlnWmtaa1prWmtaa1prWmtaa3tvWmt7b1pre29aa1prWmt7b1pre29aa3tvWmtaa1pre29aa1prWmtaa1prWmtaa1prWmtaa1prWmtaa1prOWdaa1prWmtaa1prWmtaa1prWmtaa1prWmtaa1prWms5Z1prOWdaa1prWms5Z1prWmtaa1prWmtaa1prWmtaa1prWmtaa1prWmtaa1prWmtaa1prWmtaa1prWmtaa1prWmtaa1prWmtaa1prWmtaa1prWmtaa1prOWdaa1prWms5Z1prWmtaazlnWmtaa1prOWdaazlnOWc5Z1prWmtaazlnWmt7b3tvWmtaazlnWms5ZzlnOWc5ZzlnWms5Z1prWmt7b1prWms5Z1prWmtaazlnWms5Z1prOWdaazlnWmsAAFpre297b3tvWmt7b1pre29aa3tvWmt7b1pre29aa1prWmt7b1prWmtaa1prWmtaa1pre29aa1prWmtaa1prWmtaa1prWmtaa1prWmtaa1prWmtaa1prWmtaa1prWmtaa1pre29aa1prWmt7b1pre29aa3tvWmtaa1prWmtaa1prWmtaa1prWmtaa1prWmtaa1pre29aa1prWmtaa1prWmtaa3tvWmtaazlnWms5Z1prOWdaa1prWmtaa1prOWdaa1prWms5Z1prWmtaa1prWmtaa1prWmtaa1prWmtaa1prWmtaa1prWmtaa3tvWmt7b1prWmtaa1prWmtaazlnWmtaa1prWmtaa1prWmtaa1prOWdaa1prWmtaa1prWmtaa1prWms5Z1prOWdaazlnWms5Z1prOWdaazlnWms5Z1prWmtaazlnWmtaa1prOWdaazlnWms5Z1prOWdaazlnWms5Z1prOWdaazlnWms5Z1prWmtaa1prWms5Z1prOWdaazlnWms5Z1prOWdaazlnWmtaa1prOWdaazlnOWc5Z1prOWdaazlnOWc5Z1prOWdaazlnWmtaa3tvWmtaazlnWms5ZzlnOWc5ZzlnOWc5ZzlnOWdaazlnWms5ZzlnOWdaazlnWms5ZzlnOWc5ZzlnOWc5ZwAAe29aa3tve297b1pre29aa3tvWmt7b1pre29aa3tvWmtaa1prWmtaa3tvWmt7b1pre29aa3tvWmt7b1pre29aa1prWmtaa1prWmtaa1prWmt7b1prWmtaa1prWmtaa1pre29aa1prWmt7b3tve29aa3tvWmt7b1pre29aa3tvWmt7b1pre29aa3tvWmt7b1pre29aa1prWmtaa1prWmtaa3tvWmt7b1prWmtaa1prWmtaa1prWmtaa3tvWmtaazlne29aa1prWmt7b1pre29aa1prWmtaa1prWmtaa1prWmt7b1pre29aa3tvWmt7b1prWmtaa3tvWmtaa1prWmtaa3tvWmtaa1prWmtaa1prWmtaa1prWmtaa3tvWmtaa1prWmtaa1prOWdaazlnWmtaa1prWmtaazlnWmtaa1prOWdaa1prWmtaa1prWmtaa1prWmtaa1prWmtaa1prWmtaa1prWmtaa1prWmtaa1prWmtaa1prWmtaa1prWmtaazlnWms5Z1prOWdaa1prWmtaa1prWmtaa1prWms5Z1prOWdaa1prWms5Z1prWmtaa1prOWc5Z1prWmtaazlnWms5Z1prOWc5ZzlnWms5Z1prOWdaa1prWms5Z1prOWdaa1prWms5Z1prOWdaazlnWms5Z1prAABaa3tve297b1prWmtaa3tvWmtaa1pre29aa3tvWmt7bzlnWmtaa1prWmtaa1pre29aa1prWmtaa1prWmtaa3tvWmtaa1prWms5Z1prWmtaa1prWmtaa1prOWdaa1prWmtaa1prWmt7b1pre29aa3tvWmtaa1prWmtaa1prWmt7b1prWmtaa1prWmtaa1pre29aa1prWmtaazlnWms5Z1prWmtaa1pre29aa1prWmtaa1prWmtaa1prWmtaazlnWmtaa1prWmtaa1prWmtaa1prOWdaazlnWmtaa1prWmtaa1prWmtaa1prWmtaa1prWms5Z1prWmtaazlnWms5Z1prOWdaazlnWms5Z1prWmtaazlnWms5Z1prOWdaazlnWms5Z1prOWc5ZzlnWmtaa1prWmtaazlnWms5Z1prOWdaazlnWmtaa1prOWdaa1prWms5Z1prOWdaazlnWms5Z1prOWdaazlnWms5Z1prOWdaazlnWms5Z1prOWdaa1prWms5Z1prOWdaazlnWmtaa1prOWdaa1prWms5ZzlnOWdaazlnWms5Z1prOWdaazlnWmsYY1prWmtaazlnOWc5Z1prOWc5ZzlnOWc5ZzlnOWdaazlnWms5Z1prOWc5ZzlnWms5Z1prOWc5ZzlnOWc5Z1prOWcAAHtve2+cc3tve29aa3tve297b1pre297b3tvWmt7b1prWmtaa3tvWmt7b1pre29aa3tvWmt7b1pre29aa3tvWmtaa1pre29aa1prWmtaa1prWmtaa1prWmtaa1pre29aa3tvWmt7b1pre297b3tvWmt7b1pre29aa3tvWmt7b3tve29aa3tvWmt7b1pre29aa1prWmtaa1prWmtaa1prWmtaa1pre29aa1prWmtaa1pre29aa3tvWmtaa1prWmtaa3tvWmt7b1prWmtaa1prWmtaazlnWmtaa1prWmtaa1prWmtaa1prWmtaa1prWmtaa1prWmtaa1prWms5Z1prWmtaazlnWms5Z1prOWdaa1prWmtaa1prWmtaazlnWms5Z1prWmtaa1prWmtaa3tvWmtaa1prWmtaa1prWmtaazlnWmtaa1prWmtaa1prWmtaa1prWmtaa1prWmtaa1prWmtaa1prWmtaa1prWmtaa1prWms5Z1prOWdaa1prWmtaa1prOWdaa1prWmtaa1prWmtaa1pre29aa1prOWdaazlnWmtaa1prWmtaazlnWms5ZzlnWmtaazlnOWc5Z1prOWdaazlnWms5ZzlnOWdaazlnWms5Z1prOWc5ZzlnOWc5Z1prOWdaazlnWms5Z1prOWdaawAAe297b3tve297b3tvWmt7b1pre29aa3tvWmt7b1prWmtaa1prWmt7b1pre29aa1prWmtaa1prWmtaa3tvWmt7b1prWmtaa1prWmtaa1prWmtaa1prOWdaa1prWmtaa1prWmtaa1pre297b3tvWmtaa1pre29aa1prWmt7b1pre29aa1prWmtaa1prWmtaa1prWmtaa1prWmtaa1prWmtaa1prWmtaa3tvWmtaazlnWmt7b3tvWmtaa1prWmtaa1prWmtaa1prWmtaa1prOWdaazlnWms5Z1prWmtaa1prWmtaa1prWmtaa1prWmtaa1prOWdaa1prWmtaa1prOWdaazlnWms5Z1prOWdaa1prWmtaa1prWmtaa1prWms5Z1prOWdaazlnWmtaa1prWmtaa1prWms5Z1prWmtaazlnWms5Z1prOWdaazlnWms5Z1prOWdaazlnWms5Z1prOWdaazlnWms5Z1prOWdaazlnWms5Z1prOWdaazlnWms5Z1prOWdaazlnWms5Z1prOWdaazlne29aa1prOWdaazlnOWc5Z1prOWdaazlnWms5ZzlnOWdaazlnOWc5Z1prOWc5ZzlnWms5ZzlnOWc5ZzlnWms5Z1prOWc5ZzlnOWcYYzlnOWdaazlnOWc5ZzlnOWc5ZzlnAAB7b3tve297b3tvWmt7b1pre29aa3tvWmt7b1pre29aa3tvWmt7b3tve297b3tvWmt7b1pre29aa3tvWmt7b1pre29aa3tvWmt7b1prWmtaa1prWmtaa1prWmtaa3tvWmt7b1pre29aa3tve297b1pre29aa3tvWmt7b1pre297b3tvWmtaa1prWmtaa1prWmtaa1pre297b3tve297b1prWmtaa3tvWmt7b1prWmtaa5xze297b1prWmtaa3tvWmt7b1prWmtaa1prWmtaa1prWmtaa1prWmt7b1pre29aa3tvWmt7b1pre29aa1prWmtaa1prWmtaa1prWmtaa1prWmtaa1prWmtaa1pre29aa3tvWmtaa1pre29aa1prOWdaa1prWmtaa3tvWmt7b1pre29aa1prWmtaa1prWms5Z1prWmtaa1prWmtaa1prWmtaa1prWmtaa1prWmtaa1prWmtaa1prWmtaa1prWmtaa1prWmtaazlnWms5Z1prOWdaa1prWmtaa1prOWdaazlnWmtaa3tvOWdaazlnWms5Z1prOWdaazlnWms5ZzlnOWdaa1prWms5Z1prWmtaazlnWms5Z1prOWdaazlnWms5Z1prOWc5ZzlnOWc5ZzlnOWdaazlnWms5Z1prOWdaazlnOWcAAFprWmtaa3tvWmt7b1pre29aa3tvWmt7b1prWmtaa1prWmtaa1pre29aa1prWmtaa1prWmtaa1prWmtaa1pre29aa1prWmtaa1prWmtaa1prWmtaa1prWmtaa1prWmtaa1prWmtaa3tvWmtaa1prWmtaa1prWmtaa1prWmtaa1prWmtaa1pre29aa1prWmt7b1prWmtaa1prWmtaa1pre29aa1prWmtaa1prWmtaa1prWmtaa1prWmtaa1prWmtaa1prWmtaa1prOWdaazlnWmt7b3tvWmtaazlnWmtaa1prOWdaa1prWmtaa1prWmtaa1prWmtaa1prWmtaa1prWms5Z1prWmtaa1prWms5Z1prOWdaazlnWms5Z1prWmtaazlnWmtaa1prWmtaa1prWms5Z1prOWdaazlnWmtaa1prOWdaazlnWms5Z1prWmtaazlnWms5Z1prWmtaa1prWms5Z1prOWdaazlnWms5Z1prWmtaa1prWms5ZzlnOWc5ZzlnOWc5Z1prOWdaazlnWmtaa1prOWdaazlnWms5Z1prWmtaazlnOWc5Z1prOWdaazlnOWc5ZzlnOWc5ZzlnOWc5ZzlnOWc5ZzlnWms5Z1prOWc5ZzlnOWc5ZzlnOWc5ZzlnOWc5ZzlnOWc5ZzlnOWcYYwAAe29aa3tve297b1pre29aa3tvWmt7b3tve29aa3tvWmt7b1pre29aa3tvWmt7b1prWmtaa3tvWmt7b1pre29aa1prWmt7b1prWmtaa3tvWmtaa1pre29aa1prWmt7b1prWmtaa3tvWmtaa1prWmtaa1prWmtaa1prWmtaa3tvWmt7b1pre29aa3tvWmt7b1pre29aa3tvWmt7b1pre29aa3tvWmt7b1pre29aa3tvWmtaa1pre29aa1prWmt7b1prWmtaa1prWmtaa1prWmtaa3tvWmtaa1prWmtaa3tvWmtaa1prWmtaa1prWmt7b1prWmtaa3tvWmtaa1pre29aa1prWmtaa1prWmtaa1prWmtaazlnWms5Z1prWmtaa1prWms5Z1prWmt7b1pre29aa1prWmtaa1prWmtaa1prWmtaazlnWmtaa1prWmtaa1prWms5Z1prWmtaa1prWmtaa1prOWdaa1prWmtaa1prWmtaa1prWmtaa1prOWdaazlnOWc5Z1prOWdaa1prWmtaa3tvWmtaazlnWms5Z1prWmtaazlnWms5Z1prWmtaazlnWms5Z1prOWdaazlnWms5Z1prOWdaazlnWmtaa1prOWdaazlnWms5Z1prOWdaazlnWms5Z1prOWdaazlnWms5ZzlnAABaa3tvWmt7b1pre29aa1prWmt7b1pre29aa3tvWmt7b1pre29aa3tvWmtaa1prWmtaa1prWmtaa1pre29aa1prWmtaa1prWmtaa1prWmtaa1prWmtaa1prWmtaa1prWmtaa1prWmtaa1prWms5Z1prWmtaa1prWmtaa1prWmtaa1pre29aa1prWmt7b1prWmtaa3tvWmt7b1pre29aa3tvWmt7b1pre29aa3tvWmtaa1prWmtaa1prWmtaa1prWms5Z1prOWdaazlnWms5Z1prOWdaa1prWmtaa1prWmtaa1prWms5Z1prWmtaa1prWmtaa1prWmtaa1prWmtaa1prOWdaa1prWmtaa1prOWdaazlnWms5Z1prOWdaazlnWms5Z1prOWdaa1prWmtaa1prWmtaa1prWmtaa1prOWdaazlnWms5Z1prOWdaazlnWms5Z1prOWdaa1prWmtaa1prOWdaazlnWmtaa1prOWdaazlnWms5Z1prOWdaazlnOWc5ZzlnOWdaazlnWmtaa1prWmt7b1prWms5Z1prOWdaazlnWms5Z1prWmtaazlnWms5Z1prOWc5ZzlnWms5ZzlnOWdaazlnOWc5Z1prOWdaa1prWms5ZzlnOWdaazlnOWc5ZzlnOWc5ZzlnOWc5ZzlnOWcAAHtvWmt7b1pre29aa3tvWmt7b1pre29aa3tve297b1pre29aa3tvWmt7b1prWmtaa3tvWmt7b1pre29aa3tvWmt7b1prWmtaa3tvWmtaa1prWmtaa1prWmt7b1pre29aa1prWmtaa1prWmtaa1prOWdaa1prWmtaa1prWmtaa1pre29aa3tvWmt7b1pre29aa3tve297b3tve29aa3tvWmt7b1pre29aa3tvWmt7b1pre29aa1prWmt7b1prWmtaa1prOWdaazlnWmtaa1prWmtaa1pre29aa3tvWmtaa1prWmtaa1prWmtaa1prWmtaa1prWmtaa1prWmtaa1prWmtaa1prWmtaa3tvWmtaa1prWmtaa1prOWdaa1prWmtaa1prWmtaa1pre29aa1prWmt7b1prWmtaa1prWmtaa1prWmtaa1prWmtaazlnWms5Z1prWmtaa1pre29aa1prOWdaazlnWmtaa1prWmtaa1prWmtaa1prWmtaa1prWms5Z1prOWdaazlnWmtaa1prWmt7b1prWms5Z1prOWdaazlnWms5Z1prWmt7b1prWmtaa1prOWc5ZzlnWms5Z1prOWdaazlnWms5Z1prWmtaazlne29aa1prOWdaazlnWms5Z1prOWdaazlnWms5Z1prOWdaawAAWmtaa1pre29aa3tvWmt7b1prWmtaa3tvWmt7b1pre29aa3tvWmtaa1prWmtaa1prWmtaa1pre29aa1prWmtaa1prWmtaa1prWmtaa1prWmtaa1prWmtaa1prWmtaa1prWmtaa1prWmtaa1prWmtaazlnWmtaa1prWmtaa1prWmtaa1prWmt7b1prWmtaa3tvWmt7b1pre29aa3tvWmt7b1prWmtaa3tvWmtaa1prWmtaa1prWmtaa1prWmtaa1prOWdaazlnWms5Z1prWmtaa1pre297b3tvWmtaa1prWmtaa1prWmtaa1prWmtaa1prWmtaa1prWmtaa1prWmtaazlnWmtaa1prWmtaa1prWmtaa1prWmtaazlnWmtaa1prOWdaa1prWmtaa1prWmtaazlnWmtaa1prWmtaa1prWmtaa1prWmtaazlnWms5ZzlnOWdaazlnWmtaa1prOWdaazlnWms5Z1prOWdaazlnWms5Z1prOWdaazlnWms5Z1prOWc5ZzlnWms5Z1prWmtaa1prWmtaa1prOWdaazlnWms5Z1prWmtaa1prWmtaa1prOWc5ZzlnOWc5Z1prOWdaazlnWms5Z1prOWc5ZzlnWmtaa1prOWdaazlnOWc5ZzlnOWc5ZzlnOWc5ZzlnOWc5ZzlnAAB7b1pre297b3tvWmt7b1pre29aa3tve297b1pre29aa3tvWmt7b1prWmtaa3tvWmt7b1pre29aa3tvWmt7b1prWmtaa3tvWmtaa1pre29aa1prWmt7b1prWmtaa3tvWmt7b1pre29aa3tvWmtaa1prWmtaa1prWmtaa1prWmtaa3tvWmt7b1pre29aa3tvWmt7b1pre29aa3tvWmt7b1prWmtaa3tvWmt7b1pre29aa1prWmt7b1prWmtaa3tvWmtaa1prWmtaa1prWmtaa1prWmt7b5xze297b1prWmtaa1prWmt7b1prWmtaa1prWmtaa1prWmtaa1prWmtaa1prWmtaa3tvWmt7b1prWmtaa1prWmtaa1prWmtaa1prWmtaa1prWmtaa1prWmtaa1prWms5Z1prWmtaa1pre29aa1prWmtaa1prWms5Z1prOWdaa1prWmtaa3tvWmtaazlnWms5Z1prWmtaa1prWmtaa1prOWdaa1prWmtaa1prWmtaazlnWmtaa1prWmtaa1pre29aa1prWmtaazlnWmtaa1prWmtaa1prWms5Z1prWmtaazlnWms5Z1prWmtaazlnWms5Z1prWmtaazlnWmtaa1prWmtaazlnWms5Z1prOWdaazlnWms5Z1prOWdaazlnWmsAAFpre29aa3tvWmt7b1prWmtaa3tvWmt7b1pre29aa1prWmt7b1prWmtaa1prWmtaa1pre29aa1prWmtaa1prWmtaa1prWmtaa1prWmtaa1prWmtaa1prWmtaa1prWmtaa1prWmtaa1prWmtaazlnWms5Z1prOWdaa1prWmtaa1prWmt7b1prWmtaa3tvWmtaa1pre29aa1prWmt7b1pre29aa1prWmtaa1pre29aa1prWmtaa1prWmtaa1prWmtaa1prWmtaa1prWmtaa1prWms5Z1prWmt7b1prWms5Z1prWmtaa1prWmtaa1prOWdaa1prWms5Z1prWmtaazlnWmtaa1prWmtaa1prWmtaa1prWmtaa1prWmtaa1prOWdaa1prWmtaa1prWmtaazlnWms5Z1prOWdaazlnWms5Z1prWmtaazlnWms5Z1prOWdaazlnWms5Z1prWmtaazlnOWc5Z1prOWdaa1prWms5Z1prOWdaazlnWms5Z1prOWdaazlnWms5Z1prWmtaazlnWmtaa1prOWdaazlnWms5Z1prOWdaa1prWms5ZzlnOWdaazlnWms5ZzlnOWdaazlnWms5Z1prOWdaazlnOWc5Z1prWmtaazlnOWc5Z1prOWc5ZzlnOWc5ZzlnOWc5ZzlnOWc5ZwAAe29aa3tvWmt7b1pre29aa3tve297b1pre29aa3tvWmt7b1tre29aa1trWmt7b1pre29aa3tvWmt7b1prWmtaa3tvWmtaa1pre29aa1prWmtaa1prWmtaa3tvWmt7b1prWmtaa1prWmtba1prWms5Z1prWmtaa1prW2taa1trW2t8b1tre29aa3tvWmt6b1prWmtaa1trWmt7b1tre29aa3tvWmt7b1pre29aa3tvWmt7b1prWmtaa3tvWmtaa1pre29aa3tvWmt7b1prWmtaa1lrWWt6b1prWms5Z1prWmt7b1prWmtaa1prWmtaa1prWmtaa1prWmtaa1prWmtaa1prWmt7b1pre29aa1prWmt7b1prWmtaa1prWmtaa1prWmtaa1prWmt7b1prWmtaa1prWmtaazlnWms5Z1prOWdaa1prWmtaa1prWmtaazlnWmtaa1prWmt7b1prWms5Z1prOWdaa1prWmtaa1prWmtaa1prWmtaa1prWmtaazlnWmtaa1prWmtaa1prWmtaa1prWmtaa1prWmtaa1prWmtaa1prWms5ZzlnOWc5ZzlnWms5ZzlnOWdaa1prWms5Z1prWmtaa1prWms5Z1prOWdaazlnOWc5Z1prOWdaazlnWms5Z1prOWdaazlnWms5Z1prAABZa1prWmt6b1prem9aa3tvWmt7b1prem9aa1prWmtaa1trW29ba3tvWmtba1prW2taa3tvWmtaa3pve285Z1prOWdaa1prWmtaa3tvWms5Z1lrWmtaa1prWWtaa1lrWmtaa1prWmtbazpnWms5Z1prOWd6b3tvWms7aztnXW/ZXjRK2V6dc1trWmtZZ3pvem9aa3tvW2t7b1trW29aa3tvWmt7b1prWmtaa1prWmt7b1prWmtaa1prWmtaa1prWmtZa1prOWdaazlnWmtZa3pvWWdZa1lrWmtZa1prWmtaa1prWmtaa1prWmtaa1prWms5Z1prWmtaazlnWmtaa1prWmtaa1prWmtaa1prWmtaa1prWmtaa1prWmtaa1prWmtaa1prWmtaa1prWmtaa1prWmtaa1prWmtaa1prWmtaazlnWms5Z1prOWdaazlnWms5Z1prOWdaa1prWmtaa1prOWdaa1prWmtaa1prWmtaazlnWms5Z1prOWdaazlnWms5ZzlnOWdaazlnWms5Z1prOWdaa1prWmtaa1prOWdaazlnWms5Z1prOWdaazlnWms5Z1prOWdaazlnWms5ZzlnOWc5ZzlnWms5Z1prOWdaazlnOWc5ZzlnOWc5ZzlnWms5ZzlnOWdaazlnOWc5Z1prOWcAAFprWmt6b1pre29aa3tve297b3pve29aa3pvWmt6b1pre29ba3tvW2tbb1tre29aazlnWmt7b1pre29aa1prem97b1pre29aa1prWmt7b1prem9aa3pvWmtaa1lrWmtZa3prWmtba1prW2s6Z1trOWdaazlnWms5Z3xvG2faXm8xLSWxNVxrfG+cc3pvem9Za3tvW2t8b1tre29ba3tvWmt7b1pre29aa3tvWmt7b1prWmtaa3tvWmt7b1pre29aa1prWWtaa1lrWmtZa3pvWmtaa1lrWmtZa1prWmt6b1prWmtaa3tvWmt7b1prWmtaa1prWmtaa1prWmtaa1prWmtaa1pre29aa1prWmt7b1prWmtaa3tvWmtaa1prWmtaa1prWmtaa1prWmtaa1prWmtaa1prWmtaa1prWmtaa1prWms5Z1prOWdaazlnWmtaa1prWmtaa1prWmtaa1prOWdaa1prWmtaa1prWmt7b1prWms5Z1prWmtaa1prWmtaa1prOWdaa1prWmtaa1prOWdaazlnWmtaa1prWmtaazlnWms5Z1prOWdaazlnWmtaa1prOWdaa1prWms5Z1prOWc5ZzlnWmtaa1prWmtaa1prOWc5Z1prOWc5ZzlnWmtaa1prOWdaazlnWms5Z1prOWdaawAAWmtaa1prem9aa3tvWmt7b1pre29aa3pvWmt6b1prWmtaa1tvWmtba1prW2taa1trOmd7b1trW2tba1trOWd7b1prWmtaa3tvWmtaa1pre29aa3pvWmtaa1lrWms5Z1lrWWtaa1prWms6Z1trOmdaa1lrWWs5ZzlnXG87a3ZSqRTrIC0pGmNca1pre29Za3pvWmt7b1trW2tba1tvWmtaa1pre29aa3tvWmt7b1prWmtaa1prWmtaa1prWmtaa1prWWtaazlnWmtZa1prWWtaa1lrWmtZZ1prWWtaa1lrWmtaa1prWmtaa1prWms5Z1prWmtaazlnWmtaa1prOWdaa1prWmtaa1prWmtaa1prWmtaa1prWmtaa1prWms5Z1prWmtaa1prWmtaa1prWmtaa1prWms5Z1prOWdaazlnWms5Z1prOWdaazlnWms5Z1prWmtaazlnWmtaa1prOWdaazlnWms5Z1prWmtaa1prWms5Z1prOWdaazlnWms5Z1prWmtaazlnWmtaa1prOWdaazlnWms5Z1prWmtaazlnWms5Z1prOWdaa1prWms5Z1prOWdaazlnWms5Z1prOWc5ZzlnWms5Z1prOWdaazlnWms5Z1prOWc5ZzlnOWc5Z1prOWdaazlnOWc5Z1prOWc5ZzlnAAB7b1pre29aa3tvem97b3pve296b3tvWmt7b1prem9aa3tvW2t7b1tre29ba1tvW2ucc1trGWP4XltrW29ba1prW2s6Z1tre2+cc1pre297b3tvWmt6b1prWmtZa1prWWt6a1lrWmtaa1trWmtaazlnWmtZa3tvOWdbaztnuFrKGG8xLSlca1trOWd6b3pvm3N7b1tre29ba3tvW2t7b1pre29aa3tvWmt7b1prWmtaa1prWmt7b1pre29aa1prWmtaa1lrWmtZa1prWWtaa1lrWmtZa1prWWtaa1prWmtaa3tvWmt7b1pre29aa1prOWdaa1prWmtaa1prWmtaa1prWmtaa1prWmtaa1prWmtaa1prWmtaa1prWmtaa1prWmtaa1prWmtaa1prWmtaa1prWmtaa1prOWdaa1prWms5Z1prWmtaazlnWmtaa1prWmtaa1prWmtaa3tvWmtaazlnWmtaa1prWmtaa1prWmtaa1prWmtaa1prWmtaa1prOWd7b1prWmtaa3tvWmtaazlnWmtaa1prWmtaa1prWms5Z1prOWdaa1pre29aa1prOWdaazlnWms5Z1prOWdaazlnWms5Z1prOWdaazlnWms5Z1prOWdaazlnWms5Z1prOWdaazlnWms5Z1prOWdaazlnWmsAAFprem9aa3tvWmt7b1pre29aa3pvWmt6b1prWmtaa3pvWmtba1prW2taa1trW2tbb3xv+F4RQhFGt1pba1xrXG9ba1trOmt7b1tve29aa1prWmt7b1prWmtZa1prWWtZa1lrWWtZa1prOmdaazpnWms4ZzhnWms5ZxljO2fYWuocLSUMJTxrnXNaa3tvWWd6b1prW2tba1trWmtba1prWmtaa1prWmt7b1prWmtaa1prWmtaa1prWmtaa1prWmtaazlnWWs5Z1prOWdaa1lrWms5Z1prWWtaa1lrWmtZa1prWmtaa1pre29aa1prOWdaazlnWmtaa1prOWdaa1prWmtaa1prWmtaa1prWmtaa1prWmtaa1prWmtaa1prWmtaa1prWmtaa1prWmtaa1prWms5Z1prOWdaazlnWms5Z1prOWdaazlnWms5Z1prWmtaazlnWms5Z1prWmtaa1prWms5Z1prWmtaazlnWms5Z1prOWdaazlnWms5Z1prOWdaazlnWms5Z1prWmtaazlnWms5Z1prOWdaazlnWms5Z1prOWc5ZzlnWmtaa1prOWdaazlnOWc5Z1prOWc5ZzlnOWc5Z1prOWdaazlnWms5Z1prOWdaazlnWms5ZzlnOWdaazlnOWc5Z1prOWc5ZzlnWms5ZwAAe29aa3tvem97b3pve296b3tvWmt7b1pre29aa3tvWmt7b1pre29aa3tvW2t7b1trW2uVUq85jjF0ThpjXG98b31vfG98b1prW2tba3xvWmt7b1pre29aa3pvWWt6b1lrWWtZa1prWmtba1prW2taa3pvOGdaazlnW2tba9hehxQMJU0pXGt9c3tvem9aa1prem9aa3tvW2tbb1tre29aa3tvWmt7b1pre29aa1prWmtaa1pre29aa3tvWmt7b1prWmtZZ1prWmtaa1lrWmtZa1prWWtaa1prWmtaa3pvWmt7b1pre29aa3tvWmtaa1prWmtaa1prWmtaa1prWmtaa1prWmtaa1prWmtaa1prWmtaa1prWmtaa1prWmt7b1prWmtaa1prWmtaa1prWmtaa1prOWdaa1prWmtaa1prWmtaa1prWmtaa1prWmtaa1prWmtaa1prWmtaa1prWms5Z1prWmtaa1prWmtaa1prOWdaazlnWmtaa1prWmtaa1prWms5Z1prWmtaa1prWmtaa1prOWdaa1prWms5Z1prWmtaazlnWmtaa1prWmtaa1prWms5Z1prOWdaazlnWms5Z1prOWdaa1prWms5Z1prOWdaa1prWms5ZzlnOWdaazlnWms5Z1prOWdaazlnWms5Z1prAABaa3tvWmt7b1pre29aa3tvWmt6b1prem9aa3pvWmt6b1prWmtaa1prWmtbb1trW286Z/heM0oSQlRKllKWUrha+F5ba3xvW2s6Z1tvW29ba1prWmtaa1prWWt6b1lremtYa1lrWWdaazprW2s6Z1pre284Z1lrem9aa1trt1qHFCwl0jk7Z1xrWmtZa1lrem9aa1trWmtba1prW2taa1prWmt7b1prWmtaa1prWmtaa1prWmtaa1prWmtaa1prWms5Z1lrOWdaa1prWms5Z1prWmtaazlnWmtZa1prWWtaa1prWmtaa1prWmtaa1prWmtaa1prOWdaa1prWms5Z1prWmtaazlnWmtaa1prOWdaa1prWms5Z1prWmtaa1prWmtaa1prWmtaa1prWmtaa1prOWdaazlnWmtaa1prWmtaazlnWms5Z1prOWdaa1prWmtaa1prOWdaa1prWms5Z1prOWdaazlnWms5Z1prOWc5ZzlnWms5Z1prOWdaazlnWms5Z1prOWdaa1pre29aa1prOWdaazlnWms5Z1prOWdaazlnWms5Z1prWmtaa1prWms5Z1prOWc5ZzlnOWc5ZzlnOWc5ZzlnWms5Z1prOWdaazlnWms5Z1prOWc5ZzlnWms5Z1prOWc5ZzlnWms5ZzlnOWcAAHtve297b3pve296b3tvem97b1prem9aa3tvWmt7b1prem9aa3tvWmt7b1tre29ba1trW2s7Z7dadVLyQbA5sDlUSvlinXNcb1trfG98bzprW2taa1trWmt7b1pre296a1lrWWtaa1prW2taa1trWmt6bxdjem96b1prGWPYXsgY6yDyPTxrXGucc1lrem9ZZ3pvWmtba1trW29ba1trWmt7b1prWmtaa1prWmtaa1prWmtaa3tvWmt7b1prWmtaa1lrWWdaa1lrWmtaa1prOmdba1prWmtaa1prWmt6a1lrWmtaa1prWmt7b1prWmtaa1prWmtaa1prWmtaa1prWmtaa1prWmtaa1prWmtaa1prWmtaa1prWmtaa1prWmtaa1prWmtaa1prWmtaa1prWmtaa1prWmtaa3tvWmt7b1prWmtaa1prOWdaa1prWmtaa1prWmtaa1pre29aa1prOWdaa1prWmtaa1prWmtaazlnWmtaa1prWmtaa1prWms5Z1prWmtaa1pre297b3tvWmtaa1prWms5Z1prOWdaazlnWmtaa1prOWdaa1prWmtaa1prOWdaazlnWms5ZzlnOWc5ZzlnWms5Z1prWmtaa1prWmtaa1prOWdaazlnWms5Z1prOWdaazlnWms5Z1prOWc5ZwAAWmt6b1pre29aa3pvWmt7b1prem9aa3tvWmtaa1prWmtZZ1prWmt6b1prW2tba3xvOmtbaztnO2fYWlROjzUrJW0t0DlUThljO2tbazprW2s6a1trW297b1prWmtaa1prWWt5a1lrWmtaa1trOmc6azlnWms4Z3pvGGM5Z9dayRwMJbE5XGt8b1prem96a3prWmt7b1trW29ba3tvW2taa1prWmtaa3tvWmtaa1prWmtaa1prWmtaazlnWmtaa3pvOWdZZzlnWms6Z1trWmtbazlnW2s6Z1prWmtaa1lnm3NZa1prWmtaa1prWmtaa1prOWdaa1prWms5Z1prWmtaazlnWmtaa1prWmtaazlnWms5Z1prWmtaa1prWmtaa1prOWdaazlnWms5Z1prOWdaazlnOWc5Z1prWmtaazlnWms5Z1prOWdaa1prWmtaa1prWmtaa1prWms5Z1prWmtaazlnOWc5Z1prOWdaazlnWms5Z1prWmt7b1prWms5ZzlnOWdaa1prWmtaa1prWmtaazlnWms5Z1prOWdaazlnWms5Z1prOWdaazlnWms5Z1prGGM5ZzlnOWc5ZzlnOWdaazlnOWc5Z1prOWdaazlnWms5Z1prOWdaazlnOWc5ZzlnOWdaazlnOWc5ZzlnOWdaaxhjAAB7b1pre296b3tvWmt7b3pve29aa3tvem97b1prem9aa1prWmt7b1pre29aa3tvW298b1xrfG9caztr2F51UhJCKyVMLa41zzl0ThljfG86Zzpne298bzpnW2udd51zOWd6b3prWmtaa3xvO2c6Z3xvWmtaa1lrem85Zzpn+F7pHCwlkDV9b3xve29aa3pvWmt7b1pre29ba3tvW297b1prWmtaa3tvWmt7b1pre29aa3tvWmt7b1prWmtaa3tvWmtaa1lrWmtaa1prWmtba1trW2tba1trWmt7b1prWmtZa1prWmtaa1prWmtaa3tvWmtaa1prWmtaa1prWmtaa1prWmtaa1prWmtaa1prWmtaa1prWmtaa1pre29aa1prWmtaa1prWmtaa1prOWdaa1prWms5Z1prWmtaa1prWmtaa1prWmtaa1prWmtaa1prWmtaa1prWmtaa1prWmt7b1prWmtaa1prWmtaa1prWmtaa1prOWdaa1pre29aa1prOWdaa1prWmtaa1prWmtaa1prWmtaa1prWmtaa1prWmtaa1prWmtaa1prWmtaa1prWmtaazlnWmtaa1prOWdaazlnWms5Z1prWmtaazlnWms5Z1prOWdaazlnWms5Z1prOWdaazlnWms5Z1prOWdaazlnOWcAAFprem9aa3pvWmt6b1prem9aa3pvWmt6b1prem9aa1prWWt6a1premtaa1prWmt7b1trW2s6a1trW2tba/li+F5TSq41KiVMLY0x0D1UThpjfW86ZxljfG98bzpnOmd8bzhnem85Z1trfG/5XpVSGmM6a3xvOWd7bzlnWmv4Xgoh6yCQNVxrfG9aa3pvWWt6a1prW2s6a1trW2tbb1prWmtaa1prWmtaa1pre29aa1prWmt7b1prWmtaa1prWmtaa1lrWmtZa1prOmdaazpnW2tba1trOmc6a1prem9Za1lrOWdaazlnWmtaa1prWmtaazlnWmtaa1prWmtaazlnWms5Z1prWmtaa1prWms5Z1prOWdaazlnWmtaa1prWmtaa1prWms5Z1prOWdaazlnWms5Z1prOWdaazlnWms5Z1prWmtaa1prWmtaa1prOWdaazlnWms5Z1prWmtaa1prWmtaa1prWmtaa1prWmtaa1prOWdaazlnWmtaa1prOWdaa1prWmtaa1prWmtaa1prWmtaa1prOWdaa1prWms5Z1prOWdaazlnWms5Z1prOWdaa1prWmtaa1prOWc5ZzlnOWc5Z1prOWdaazlnWms5ZzlnOWdaazlnOWc5ZzlnOWc5ZzlnWms5ZzlnOWdaazlnWms5ZwAAe29aa3tvWmt7b1pre29aa3tvWmt7b1pre29aa3pvWmt6b1prem9aa3pvWmt7b1tre29aazprOmdba1prWms6ZxljGWO2Vo01KyltMdA5rzV0ThpjfW86ZztnfW+dczpne2+cc3tvW2s7axJCTCnQOVtrfG97b3tvW2taa/heKyXrIG8xXGt8b3tvWWt6a1pre29aa1trW2t7b1tre29aa1prWmtaa1pre297b3tvWmt7b1pre29aa1prWmtaa1lrWmtZa3prWmtbazpnXGtba3xvW2tba1prWmtaa3tvWWtaa1prWmtaa1prWmtaa1prWmtaa1prWmt7b1prWms5Z1prWmtaa1prWmtaa1prWmtaa1prWmtaa1prWmtaa1prWmtaa1prWmtaa1prWms5Z1prWmtaa1prWmtaa1prOWdaa1prWmtaa1prWmtaazlnWmtaa1prWmt7b1prWmtaa3tvWmt7b1pre29aa1prWmtaa1prWmtaa1prWmtaa1prWmtaa1prWmt7b1prWmtaa3tvWmtaa1prWmtaa1prWmtaa1prWmtaa1prWmtaa1prWmtaa1prWmtaazlnWms5Z3tvWmtaa1prWms5Z1prOWdaazlnWms5Z1prOWdaazlnWms5Z1prOWdaazlnWms5Z1prAABaa3pvWmt6b1prem9aa3pvWmtaa1pre29aa3pvWmt6b1lremtaa3pvWWtaa1pre29aa1prOWdaa1prWmtaa1prOmcYY/hiOWeVUq41KymNMW0tjjUzRjtnfW87Zztnvnc5Z3tvOmc7Z/lesDXJGG0t+V6cc1pre29aa1pr+F5tMcocTi0aY3xvWmtaa1lrem9aa1prOmdbb1trW2taa3tvOWdaa1pre29aa3tvWmt7b1pre29aa1prWmtaa1prWms4Z1lrWWtaazpnW2s7a1xr+F75YltrnHNaa1lrWmtZa1prWmtaa1prOWdaazlnWms5Z1prWmtaa1prWms5Z1prWmtaa1prWmtaa1prWmtaazlnWms5Z1prOWdaa1prWmtaa1prWmtaazlnWms5Z1prWmtaazlnWms5Z1prOWdaa1prWmtaa1prOWdaazlnWms5Z1prWmtaa1prWmtaa1prWmtaa1prWmtaa1prOWdaazlnWms5Z1prOWdaa1prWms5Z1prWmtaa1prWmtaa1prWmtaa1prWmtaa1prWmtaazlnWms5Z1prOWdaazlnWms5Z1prOWdaazlnOWc5Z1prWmt7b1prWmtaa1prOWdaazlnWms5Z1prOWc5ZzlnOWc5ZzlnOWc5ZzlnOWc5Z1prOWcAAHpvWmt7b1prem9aa3tvWmt6b1pre296b3tvWmt7b1prem9aa3tvemtaa1prem9aa3tvWmt6b1prem9aa3pvWmsYY1prfG8ZZxlj+F6VUtA5SyltLY41jzUzRtlaPGf5XlprW2tbaztr+mLROSwlbjHXWnxvfG9bb1trOmcaY7A56xwtKRpjW2t7b1prem9aa3tvWmtba3xvfHNba1tre29aa1pre29aa3tvWmt7b1pre29aa3tvWmt7b1prWmtZa1lrOWdaa1prW29ba1trO2fQOdA911p8c3tvWWt6b1lrem9aa3tvWmtaa1prWmtaa1prWmtaa1prWmtaa1prWmt7b1prWmtaa1prWmt7b1prWmtaa1prWmtaazlnWmtaa1prWmtaa1prWmtaa1prWmtaa1prWmtaa1prOWdaa1prWmtaa1prWmtaa1prWmtaa1prWmtaa1prWmtaa1prWmtaa1prWmtaa1prOWdaazlnWms5Z1prWmtaa1pre29aa1prWmtaa1prWmtaa1prWmt7b1pre29aa1prWmtaa1prWmtaa1prWmtaa1prWmtaazlnOWdaazlnWms5Z1prWmt7b1pre29aa1prWmtaazlnWms5Z1prOWdaazlnWms5Z1prOWdaazlnWms5Z1prWmtaawAAWmt6b1prWmtaa3pvWmtaa1prWmtaa3pvWmt7b1prem9aa3pvWmt6b1lrWmtZa3prWWtaa1lrWmtZa3pvWWtZa3tvOmcYY1trW2s6Z/heGWN1UvE9bS1uMW4xjzHRPXVOGWM6ZztnXGvZXtI9CyELJVVOXGtba3tvW2tbazpnE0bKHC0l2Fo6Z1prem9Za1prem9aa1prfHN8b3tvWmt7b1prWmtaa1prWmt7b1prWmtaa1prWmtaa1prWmtaa1prWWtZazhnWmtba1xrGmP5YuogCiESRltre29Za1prWmtZa1prWmtaa1prWmtaa1prWmtaazlnWms5Z1prWmtaa1prWmtaa1prWmtaa1prWmtaa1prOWdaazlnWms5Z1prWmtaa1prWmtaa1prOWdaazlnWms5Z1prOWdaazlnWms5Z1prOWdaa1prWms5Z1prWmtaa1prWmtaa1prOWdaa1prWmtaa1prOWdaazlnOWc5Z1prOWdaa1prWmtaa1prWmtaa1prWmtaa1prWmtaa1prWmtaa1prOWdaazlnWms5Z1prOWdaazlnWms5Z1prOWdaazlnWms5Z1prOWdaa1prWmtaa1prWmtaazlnOWc5Z1prOWc5ZzlnOWc5ZzlnOWc5ZzlnOWc5Z1prOWdaazlnAAB7b1prem9aa3tvWmt6b1prem9aa3pvWmt7b3pve29aa3tvWmt7b1prem9Za3prWWt7b3pvem9aa3pvWmt6b1lrWWtaa3tvWms6azpnOmcZYxlj+F63VhJCjjErJW0tjjWuNfA9llL6YvpeFEaQMU0tVEo7a1xvW2t8b1trW29UTusgDCXYWhpje296b3pvWWt7b1pre2+cc513e29ba1tre29aa3tvWmt7b1pre29aa1prWmt7b1pre29aa1trWmt6b1lrWWtaa3xvW2saZ9haTS0KIRJGW2t8bzlnemtZa1prWmtaa1pre29aa3tvWmt7b1prWms5Z1prWmtba1pre29aa1prWmtaa1pre29aa3tvWmtaazlnWms5Z1prOWd7b1prWmtaa1prWmtaa1prWmtaa1prOWdaa1prWmtaa1prWmtaa1prWmtaa1prWmt7b1prWmtaa1prWmtaa1pre29aa1prWmtaa1prWms5Z1prOWdaa1prWmtaa1prWmtaa1prWmtaa3tvWmtaa1prWmtaa1prWmtaazlnWms5Z1prWmtaa1prWmtaa1prWmt7b1pre29aa1prOWdaazlnWmtaa1prOWdaazlnWms5Z1prOWdaazlnWms5Z1prOWdaazlnOWc5Z1prOWdaa1prWmsAAFprem9aa3pvWmt6b1prem9Za1prWmtaa1prWmtaa3pvWmt6b1prWmtaa1prWmt6b1prem9aa3prWWtaa1lremtaa3tvWmtaa1prWmtaa1prOWc6Zxhj+F6UUhFCjDErJQslTSlOKZA10z3SPU4tLSWwNTtnGmN8b3xvWWt6a5RS6iAtKRNCfXNba3tvWWubb1lremtaa3pvWmt7a1tre29aa1prWmtaa1prWmtaa1prWmtaa1tre29aa1trOmtaa1lrWWs5Z1prOmtbaxpn+l5vMesgbi1dbzprWWt5a1lrOWdaa1pre29ba3tve297b1prW2taa1trOmdaazpnWmtaa1prWmtaa1prWmtaa1prOWdaa1prWms5Z1prWmtaazlnWmtaa1prOWdaa1prWms5Z1prWmtaa1prWms5Z1prWmtaazlnWms5Z1prWmtaa1prWmtaa1prOWdaazlnWms5Z1prOWdaazlnWms5Z1prOWdaa1prWms5Z1prWmtaa1prWmtaa1prOWdaazlnWmtaa1prWmtaazlnWms5Z1prOWdaazlnWms5ZzlnOWdaazlnWms5Z1prOWdaazlnWms5Z1prOWdaazlnWms5Z1prOWdaazlnWms5Z1prOWdaaxhjOWc5ZzlnGGM5ZzlnWmtaawAAe29aa3tvWmt7b1pre29aa1prWmt6b1prem9aa3tvWmt7b1pre29aa3pvWmt7b3pve29aa3tvWmtaa1prem9aa3tvWmt7b1prWmtaa1prWmtaa1pre29aa1pr917WWpVSM0YTQrE5LSkMIcoc6xzsIE4pdk7YWlxrnXM4Y1prtlbJHC0pM0Zcazpne29aazhnem9Za3pvWmt7b1pre29ba1trWmt7b1pre29aa3tvWmtba1tre29ba3tvWmtba1prWmtZa1prOWdba1trO2f5XpAxyhxOLTxnXGs5Z3lrWGtaa1pre29ba3tvW2t7b1pre29aa1tvW2tba1prW2s6a1trWmtaa1prWmtaa1prWmtaa1prWmtaa1prWmtaa1prWmtaa1prWmtaa1prWmtaa1prWmtaa1prWmtaa1prWmtaa1prWmtaa1prWmtaa1prWmtaa1prWmtaa1prWmtaa1prWmtaa1prWmtaa1prWmtaa1prWmtaa1prWmtaa1prWmtaa1prWmtaa1prWmtaa3tvWmtaa1prWms5Z1prWmtaa1prWms5Z1prOWdaazlnWmtaa1prWmtaazlnWms5Z1prWmtaa1prWmtaa1prWmtaazlnWms5Z1prOWdaazlnOWc5Z1prOWc5ZzlnWmtaa1prAABaa3pvWmt6b1prem9aa3pvWmtaa1prWmtaa3pvWmt6b1prem9aa1prWmt6b1prem9aa3pvWmtaa1prWmtaa1prWmtaa1prWmtaa1prWmtaazlnOWc5ZzlnOWc5ZxhjGGP4XvlellLyPW4tDCXKGMkY6xzROTRGG2ddaxpjOmcZY+sgTinROV1rGWOdczpnWmtZa3prWWt6a1pre2tba1trWmt7b1pre29aa3tvWmtaa1prW2taa1trWmtba1prWmtaa1prOWdaa1prW2saZ/pekDXrIAwl+l5bazlnOGdZa1lrW2taa1prWmtaa1prWmtaa1prWmtaa1prW2s6Z1prWmtaa1prWmtaa1prWmtaa1prWms5Z1prWmtaazlnWms5Z1prOWdaazlnWms5Z1prOWdaazlnWmtaa1prOWdaazlnWmtaa1prWmtaa1prWmtaa1prOWdaa1prWms5Z1prOWdaazlnWms5Z1prOWdaa1prWms5Z1prWmtaazlnWmtaa1prOWdaa1prWms5Z1prWmtaazlnWms5Z1prOWdaazlnWms5Z1prOWdaazlnWms5Z1prOWdaazlnWms5Z1prOWdaazlnWms5Z1prOWdaazlnWms5ZzlnOWc5ZzlnOWc5ZzlnOWc5ZzlnOWc5Z1prOWcAAHtvem97b1pre296b3tvWmt7b1prem9aa3tvWmt7b1pre29aa3tvWmt7b1pre29aa3tvWmt6b1prem9aa3pvWmt7b1prWmtaa3tvWmt7b1pre29aa1prOWdaazlnOWcYY1prOWc6Z/he2FpVSpA1qRRWSrE1LSmRNZhSG2M8Z7hWkDUtKZA1XW9ca3xvOmd7b3pvWmt6a1pre29aa3trW2t7b1pre29aa3tvWmt7b1pre29aa3tvWmt7b1prW2taa1prWmtaazlnW2tbaztn+mLyPQwlDCWXVn1vOmdZa1lrem9aa1prWmt7b1prWmtaa3tvWmtaa1prW2taa1prWmtaa1prWmtaa1prWmtaa1prWmtaa1prWmtaa1prWmtaa1prWmtaazlnWmtaa1prOWdaa1prWmtaa1prWmtaa1prWmtaa3tvWmt7b1prWmtaa1prWmtaa1prWmtaa1prWmtaa1prWmtaa1prWmtaa1prWmtaa1prWmtaa1prWmtaa1prWmtaa1prWmtaa1prWmtaa1prWms5Z1prOWdaazlnWmtaa1prOWdaazlnWms5Z1prWmtaazlnWms5Z1prOWdaa1prWmtaa1prWmtaa1prWms5ZzlnOWc5ZzlnOWc5Z1prOWdaazlnWms5Z1prOWdaawAAWmt6b1pre29aa3pvWmt7b1prem9aa3pvWmt6b1prem9aa3pvWmt6b1prem9aa3pvWmt6b1prWmtZa1prWmtaa1prWmtaa1prWmtaa1prWmtaa1prWmtaa1prWmtaa1prWGc3ZzhjOWcZY/leE0LrIG8t0z1XStQ9DSVwLdM9NkqRMQ0hTik8ZzxnfW8ZY1trWmtaa1prWmtaa1prWmtba1pre29aa3tvWmt7b1pre29aa1prWmtaa1prWmtaa1prOWdaa1lrWms6Z1trOmcbYxNCTinqHDRGXGtaa1lnem9Za1prWmtaa1prWms5Z1prWmtaa1prWmtaa1prWmtaa1prWmtaa1prWmtaa1prWms5Z1prWmtaazlnWmtaa1prOWdaazlnWms5Z1prOWdaazlnWmtaa1prWmtaazlnWms5Z1prWmt7b1pre29aa1prWmtaa1prWms5Z1prOWdaazlnWms5Z1prOWdaazlnWms5Z1prWmtaazlnWmtaa1prOWdaa1prWms5Z1prWmtaazlnWms5Z1prOWdaazlnWms5Z1prOWdaazlnOWc5Z1prOWdaazlnWms5ZzlnOWdaazlnWms5Z1prOWdaazlnWms5ZzlnOWc5ZzlnOWc5ZzlnOWc5ZzlnOWc5ZzlnOWc5ZzlnAAB7b3pve296b3tvem97b3pve29aa3tvem97b1pre29aa3pvWmt7b3pve29aa3tvWmt7b1pre29aa1prWmt6b1pre29aa3tvWmtaa1pre29aazlnOWdaa1prWms5Z1prWWdYazdneW9Zaxlj+F5VSgwhDSWSNbpW9UEPJVAtUC0OJQ4lyxxPLXdS+mJ9b51zW2tba1prW2taa1trWmtba1pre29aa3tvWmt7b1pre29aa3tvWmt6b1prWmtaa3pvWmtaa1prWmtZa1prWmtbaxpjVU6PMeocjzU7azprWmtZa3prWmt6b1prWmtaa1prWmtaa1prWmtaa1prWWt6a1prWmtaa1prWmtaa1prWmtaa1prWmtaa1prWmtaa1prWmtaa1prWmtaa1prWmtaa1prWmtaa1prWmtaa1prWmtaa1prWmtaa1pre29aa3tvWmtaa1prWmtaa1prWmtaa1prWmtaa1prWmtaa1prWmtaa1prWmtaa1prWmtaa1prWmtaa1prWmtaa1prWmtaa1prWms5Z1prOWdaazlnWmtaa1prWmtaazlnWms5Z1prOWdaazlnWms5Z1prOWdaazlnWmtaa1prWmtaa1prWmtaa1prOWdaazlnOWc5ZzlnOWdaazlnOWc5Z1prOWdaazlnWmsAAFpre29aa3tvWmt7b1pre29aa3tvWmt6b1prem9aa1prWmt6b1prem9aa3pvWmtaa1prem9aa1prWmtaa1prWmtaa3tvWmtaa1prWmtaa1prWmt7b1pre29aa1prOWdaa1hnWGuab5tvGWMaY1VKDCENJbM53F71QYoUDiUvKbM5LynMHA0lsTU1RthaXGtbazpnW2s6Z1prWmdbazpnWmtaa1trWmtba1prWmtaa1prWmt6b1lrWmtZa1prWWtaazlnWmtZa1lrOWdbazpnG2eXUtI9yRgsKRljW2taa1lrWWtaa1prWmtaa1prWmtaa1prWmtZa1prWWtaa1lrWmtZa1prWmtaa1prWmtaa1prWmtaazlnWmtaa1prOWdaa1prWmtaa1prWmtaa1prWms5Z1prOWdaa1prWms5Z1prOWdaazlnWmtaa1prWmtaa1prWms5Z1prWmtaazlnWms5Z1prOWdaazlnWms5Z1prWmtaazlnWmtaa1prOWdaazlnWms5Z1prWmtaa1prWms5Z1prOWc5ZzlnWms5Z1prOWdaazlnWms5Z1prOWdaazlnWms5ZzlnOWdaazlnOWc5Z1prOWdaazlnWms5Z1prOWc5ZzlnOWc5ZzlnOWc5ZzlnWms5ZzlnOWdaazlnOWc5ZwAAe296b3tvem97b3pve296b3tvem97b1pre29aa3tvWmt6b1pre296b3tvem96b1pre29aa3pvWmt6b1prem9aa3tvWmt7b1pre29aa1prWmtaa1prWmtaa1prWmt7b3pvmm84Z3lrWWs6Zztnl1ILIQ0lkTEeZ1dOLiUvKQ4lLikWRg4lDSUMJZAxjzGXUvleXGtba1trWmtba1prW2taa1trW2tba1pre29aa1trWmt7b1prWmtZa1prWWt6a1prWmtaa1prWWdaa1prW2saZ9laE0LqIAohGmNbb3tvWWt6a1prem9aa3tvWmtba1prW2taa1prWWt6a1lrWWtZa1prWmtaa1prWmtaa1prWmtaa1prWmtaa1prWmtaa1pre29aa1prWmt7b1prWmtaa1prWmtaa1prWmtaa1prWmtaa1prWms5Z1prWmtaa1prWmtaa1prWmtaa1prWmtaa1prWmtaa1prWmtaa1prWmtaa1prWmtaa1prWmtaa1prWmtaa1prWmtaa1prWmtaa1prOWdaazlnWms5Z1prWmtaa1prWms5Z1prOWdaazlnWms5Z1prOWdaazlnWms5Z1prWmtaa1prWmtaa1prWmtaazlnWms5Z1prOWc5ZzlnWms5ZzlnOWdaazlnOWc5Z1prAABaa3pvWmt6b1prem9aa3tvem97b3pve29aa3tvWmt7b3pvem9aa3tve297b1prWmtZa1prWmtaa1lrWmtaa1pre297b1prWmtaa1prWmtaa1prWmtaa1prWmtaa1prWms5Z3prOWdaZxpjO2e4Vk0pDCFOKbpa+17zPbE5kDFvLcscyxzsILE1FEJNKY4xTC3QOZZSGWM6ZxljW2t7a3xvGWNaa3tvfG9ba1prWmt7b1prWmtaa1prOWdZa1lrWms5Z1prWWtaazlnWms6ZztrG2fyQcocCyV1TltrOWd7bxhjnHMYY3tvW2sYY3xvOms6azlnWmt6bzhnWWtZa3prWWtaa1prWmtaa1prWmtaa1prWms5Z1prOWdaa1prWmtaa1prWmtaazlnWmtaa1prOWdaa1prWmtaa1prOWc5ZzlnWms5Z1prOWdaa1prWmtaa1prWmtaazlnWms5Z1prOWdaazlnWms5Z1prOWdaa1prWms5Z1prOWdaa1prWms5Z1prWmtaazlnWmtaa3tvOWdaazlnWms5Z1prOWdaazlnWms5Z1prOWdaazlnWms5Z1prOWdaazlnOWc5ZzlnOWc5ZzlnWms5ZzlnOWdaazlnWms5Z1prOWc5ZzlnOWc5ZzlnOWdaazlnOWc5ZzlnOWcAAHtvWmt7b1pre29aa3tve297b3tve297b3tvem97b3pve296b3tvem+bc3tve29aa1prWmt6b1prWmtaa3pvWmt7b3tve29aa1prWmtaa1prWmtaa3tvWmt7b1prWmtaa1prW2tbaztnO2c7Z9laTi0MJU0p2l48a7dWllKWUlRK6xwNJesc6xy4VvpeVUrxPY4xbS2uNTJG+F45ZzpnGWOec1trOmcZY1trW2t8b1trW2taa3tvWmtaazlnOWc4Z1prWWtaa1lrWms5Z1trO2c7ZzRGCyHqHDNGW2tbb1pre297bxhjWmtaazprW2t8b3tvWmucc3pvWWtZa3lvWWtaa1prWmtaa1prWmtaa1prWmtaa1prWmtaa1prWmtaa3tvWmtaa1prWmtaa1prWmtaazlnWms5ZzlnOWd7b3tvWms5Z1prWmtaa1prWmtaa1prWmtaa1prWmtaa1prWmtaa1prWmtaa1prWmtaa1prWmtaa1prWmtaa1prWmtaa1prWmtaa1prWmtaa3tvWmtaa1prWmtaa1prWmtaa1prWms5Z1prOWdaazlnWmtaa1prOWdaazlnWms5Z1prOWdaazlnWms5Z1prOWdaazlnWmtaa1prWmtaazlnWms5Z1prOWdaa1prWms5Z1prOWdaawAAWmt6b1prem9aa3tvWmt7b3pve296b3tvem97b1pre297b3tvWmt6b3tve29aa1prWmtaa1prWmtaa1prWmtaa1pre29aa1prWmtaa1prWmtaa1prWmtaa1prWmtaa1prOmdbazpnO2sbYzxn2VqPMesgTS23Vn1vGWMZY/he11puLescyhgMIbhWfm/ZWhpjllLxPUwpbC2NMa41EUK2VtheGmM7Z1xvW2tbazpnOmd7b3tvOmc5ZxljOWdaa5xzOWdaa1lnWWtZa1prOmc7axpjl1LqHMkYjzVca1trOmd7b1trOWdbbzpn+F7xQXROOmd7b1trWmtZa3lrWWtZa1lrWmtaa1prWmtaa1prWmtaa1prOWdaazlnWms5Z1prWmtaazlnWms5Z1prWmtaa1prWmtaa1prOWc5Zzlne285Z1prOWdaazlnWms5Z1prWmtaazlnWmtaa1prOWdaazlnWms5Z1prOWdaazlnWmtaa1prOWdaazlnWms5Z1prWmtaazlnWms5Z1prOWdaazlnWms5Z1prOWdaazlnWms5Z1prOWc5ZzlnWms5Z1prOWdaazlnWms5Z1prOWc5ZzlnWms5Z1prOWdaazlnWmtaa1prOWdaazlnWms5Z1prOWdaazlnWms5Z1prOWc5ZzlnAAB7b1pre29aa3tvem97b3pve297b3tvem97b3pve29aa3tvem97b1pre297b3tvWmt6b1prem9aa3pvWmt6b1pre29aa3tvWmt7b1pre29aa3tvWmt7b1pre29aa1prWmtba1trO2c7ZztnO2f6XtE56iBMKXVOfG9ba1prOWf3XnZS6hzqHG4tE0LZWn1vfm9ca/let1Z1TvE9TClsLa41rzUSQrdWGmM7aztrXG98bzpnOmt7b3tvfG9aa1prOWdaa1lrWmtZa1prWWtaaztnO2eXVusgyRxNLRpjfG86Z1tvWmt7b3xvW2vwPQkhCiH5YltrW2s5Z3prWWt6b1lremtaa1prWmtaa1prWmtaa1prWmtaa1prWmtaa1prWmtaa1prWms5Z1prWmtaa1prWmtaa1prOWdaa1prWmtaa1prWmtaa1prWmtaa1prWmtaa1prWmtaa1prWmtaa1prWmtaa1prWmtaa1prWmtaa1prWmtaa1prWmtaa1prWmt7b1prWmtaa1prWmtaa1prWmtaa1prWmtaa1prWmtaa1prWmtaazlnWms5Z1prOWdaa1prWms5Z1prOWdaazlnWms5Z1prOWdaazlnWms5Z1prWmtaazlnWms5Z1prOWdaazlnWms5Z1prOWdaazlnWmsAAFprem9aa3pvWmt6b1pre29aa3tvem97b1prem9aa3tvWmt7b1prem9aa3pvWmt6b1prWmtaa3pvWmtaa1prem9aa1prWmtaa1prWmtaa3tvWmtaa1prWmtaa1prWmtaazpnWms6Z1trGmM7Z/piE0aoFCsl8T18b3trnHNaa1pr+V7RPckcCyVNKXVOfm9caxpjOmc7Z1trGWO2VhJCzzltLW4tbi3QOTRK2FoaZ1xvW2tcb1trW286ZzpnOWdaazlnWmtZa1prWWtaa1prW2saZ5dW6hwLIQslt1Zba1trWmt7bztrO2fYXukc6iAKIZZSXGs6Z1prWmtZa3pvWWtZa1prWmtaa1prWmtaa1prOWdaa1prWms5Z1prWmtaazlnWms5Z1prOWdaazlnWms5ZzlnGGM5ZzlnWmtaa1prOWdaazlnWms5Z1prOWdaazlnWmtaa1prOWdaa1prWms5Z1prOWdaazlnWms5Z1prWmtaazlnWms5Z1prWmtaa1prWmtaa1prOWdaazlnWms5Z1prWmtaazlnWmtaa1prOWdaazlnWms5ZzlnOWdaazlnWms5Z1prOWdaazlnWms5ZzlnOWdaazlnWms5Z1prOWdaazlnWms5ZzlnOWdaazlnOWc5ZzlnOWc5ZzlnWms5ZwAAe29aa3tvWmt7b1pre297b3tvem97b3pve29aa3tvWmt7b3pve29aa3pvWmt7b1prem9aa3tvWmt6b1pre29aa3tvWmt7b1pre29aa3tvWmtaa1pre29aa3tvWmtaa1premtZZ1prW2s6ZxpjO2dUSsgYKyXPOVtrfG+cb3tvW2s6Z9daKyXpIG0trzW3Vn1vfW9cb1xrGmM7Z1trO2e3WnZSNEbRPW4xbjGvNRJCM0r5XvleOmc6Z1trW2t8b3xvWmtZa1prWWt6a1lrWmtbazxrl1YsJQwlKyU0SlxrW29ba1trXGs6Z3VOZgwsKUwpdU59b1xvW2t7bzlnmm9Za1prWmtaa1prWmtaa1prWmtaa1prWmtaa1prWmtaa1prWms5Z1prWmtaazlnWms5Z5xze29aazlnWmtaa1prWmtaa1prWmtaa1prOWdaazlnWmtaa1prWmtaa1prWmtaa1prWmtaa1prWmtaa1prWmtaa1prWmtaa1prWmtaa1prWmtaa1prWmtaazlnWmtaa1prWmtaa1prWmtaa1prWmtaa1prWms5Z1prOWdaazlnWmtaa1prWmtaazlnWms5Z1prOWdaa1prWmtaa1prWmtaazlnWms5Z1prOWdaazlnWms5Z1prOWc5ZzlnWms5Z1prAABaa3pvWmt6b1pre29aa3tvWmt7b1prem9aa3tvWmt6b1pre29aa1prWmtaa1prem9aa3pvWmt6b1prem9aa3pvWmt7b1prWmtaa1prWmtaa1prWmtaa1prWmtaa1prWWtZa1lrOGd6axljGWMaY5VSyBhMKY0xW2tba3xvOWdbazpnGWONMSslSyltLa81GWM7Z31vnXN8bztnW2s6ZxpjG2c8Z/ped1LRPY4xTS1uMW0x8T10TvliOmdbazpnOWc6Z1prWWdZa1lrWmtaa1trPGvYWk0pCyHqHPE9W2tcbztrW2tba1xrsDWHEOocTS3yQX1vW2tba3tvOWdZa1lrWWtaa1prWmtaa1prWmtaazlnWms5Z1prWmtaazlnWms5Z1prOWdaazlnOWc5Zzln9145ZzlnWms5ZzlnOWdaazlnWms5Z1prOWdaazlnOWc5Z1prOWdaa1prWmtaa1prOWdaazlnWms5Z1prOWdaa1prWms5Z1prOWdaazlnWms5Z1prOWdaazlnWms5Z1prWmtaa1prWmtaa1prWmtaa1prWms5Z1prOWc5ZzlnOWc5Z1prOWdaazlnWms5Z1prOWdaazlnWms5Z1prWmtaazlnWms5Z1prOWdaazlnWms5Z1prOWc5ZzlnOWc5Z1prOWcAAHtvWmt7b1pre296b3tvem97b3pve29aa3tvWmt7b1pre296b3tvWmt6b1prem96b3tvWmt7b1pre29aa3tvWmt7b1pre29aa3tvWmt7b1pre29aa3tvWmt7b1prWmtZa3pvWGtZa3prOWcZYzpnllLIGEwpjjE7Z3xvfG97a5xzfG/3WvE96RzpHBJCsDVuLRpjO2d9b1xrfW9cb31vXGtdazxrXWs8Zxtjl1YzRtA5TS1MLW0xjjUSQnVSGmNca1trWmtaa1prem9aa1trW2t9b/lejzXqHOkcrzV9b1trnXM6Z1xrXGsrJckY6iCwNdA5XGtbazpre284Z3tvWWtaa1prW2taa1tvWmtba1prWmtaa1trWmtbb1prWms6a1prWmtaazlrWms6ZzpnGWPwPVRK+V46Z1trOmdaa1prWmtZa1prWWdaazlnWms5Z1prWmtaa1prWmtaa1prWmtaa1prWmtaa1prWmtaa1prWmtaa1prWmtaa1prWmtaa1prOWdaazlnWmtaa1prWmtaa1prWmtaa1prWmtaa1prWmtaa1prOWdaazlnWms5Z1prWmtaa1prWmtaa1prOWdaazlnWms5Z1prWmtaa1prWmtaa1prOWdaa1prWmtaa1prWmtaazlnWms5Z1prWmtaawAAWmt7b1pre29aa3tvWmt7b1pre29aa3tvWmt7b1pre29aa1prWmtaa1prWmtaa3pvWmtaa1pre29aa3pvWmtaa1prWmtZa3pvem97b1prWmtaa3pvWmtaa1lrWmtZa1prWWtZazhnWWtZazln+GL4Xk0pCiGPMbdWfXNaa3tvem9ZazlnVE4KIeoc80GQNU4pbi1VTthaGmNca35vXWt+c31vfW9baztnOmc7Zxlj11p1TlRK8T2PMS0pTi2xNRRC+V4ZYxpjOmcaYzpnO2dcaztnGmPRPekcCiErJVtrW2t8b1trO2fYWocQCyELIbA10Dlba1trOmdaa1tre29bazprWms6a1trOmtaazprWms6a1prOmtbazprWms6a1prOWtZbzlrOms7a1xvGmO4Vgwl6hzRORtf+l47Y1xnGV9aZ1lnOWdaazlnWmc6Z1trOmdbazprWms5Z1prWWtaazlnWmtaa1prOWdaa1prWms5Z1prOWdaazlnWms5Z1prWmtaa1prWmtaa1prWmtaazlnWmtaa1prWmtaazlnWmtaa1prOWdaazlnWms5Z1prOWdaazlnWms5Z1prOWdaa1prWms5ZzlnOWdaa1prWms5Z1prOWdaazlnWms5Z1prOWc5ZzlnOWc5ZzlnOWc5ZzlnAAB7b1pre29aa3tvWmt7b1pre29aa3tve297b1pre297b3tvWmt7b1prem9aa3tvWmt6b1pre297b3tvem97b1pre29aa1prWmt7b3tve29aa3tvWmt6b1prWmtZa1prWmtZa1lrWWtZa1lrOWcZY/lesDnqHI81dk6ec1trm3N6b3pvGGO2VukcLCWxOVZKsjnzQW4xTS3xPflePGddb55zOmd7b713fG9bazpnW2s6Z1trGmf5XpdSNEaxNXAxLSksKa41dE75XlxrXGtcaztnXGsaYxJCpxTpHCslGmNca3tvOmdca3VOZhDJGLE5t1ZUSnxvfG9aZ3xvWmt8b1trW2s6a1tvWmtbbzprW2s6a1trOmtbbzprW2s6a1tvOms5azlrWm86a1trXG88Z9pacDFPKewcTim5Vn5rXWc7YzljWWubb1lnOWc6Z3trW2tba1prW2taa1prWmtaa1prWmtaa1prWmtaa1prWmtaa1prWmtaa1prWms5Z1prWmtaa1prWmtaa1prWmtaa1prWmtaa1prWmtaa1prWmtaa1prWmtaa1prWms5Z1prWmtaa1prWmtaa1prOWdaazlnWms5ZzlnOWdaa1prWmtaa1prOWdaazlnWms5Z1prOWc5ZzlnWms5ZzlnOWdaazlnWmsAAFpre29aa3tvWmt7b1pre29aa3tvWmt7b1pre29aa3tvWmt7b1prWmtaa1prWmtaa1pre29aa3tvem97b1prem9aa1prWWtaa3pve29aa1prWmt6b1prWmtZa1prWWtaazhnWWtZa1lrOWc5Z/hiGWMTQskcbi0TRn1vfG96b5tzem85Z9daCiEtJW8x2153TgwljzGwNW4xTCnyPdlafW9ba5xve297b3tvm296a1prGWM6ZxpjO2cbY9laVUoTQo4xjjFMKU0tjjETRpdWG2MbYzxndlLJHKgYCyFVTlxrW2tba1xrM0aHEMkY8j35XrdWfW9ba1pre2tbazpnW2s6a1prOmtaazprWms6azprOmtaazprWms6a1trOmtaazhnWWs5azprOmtcbztnG2N2TvI5DCHrGI8tmFI8Y31rOmNaZzlnWmc5Y1pnOmdba1pnWms6Z1prWmtaazlrWmtaa1prOWdaa1prWms5Z1prWmtaazlnWms5Z1prOWdaa1prWmtaa1prWmtaa1prWmtaa1prOWdaazlnWms5Z1prWmtaazlnWms5Z1prOWdaa1prWms5Z1prOWdaazlnWms5Z1prOWc5ZzlnWmtaa1prOWdaazlnWms5Z1prOWdaazlnWms5ZzlnOWdaazlnOWc5ZwAAe297b3tvWmt7b3tve29aa3tve297b1pre297b3tvWmt7b3pve29aa3pvWmt6b1pre296b3tvWmt7b3pve29aa3tvWmtaa1pre296b3tvWmt7b1prem9aa1prWmtaa1prWWtZa3prWWtZazlnOWcZY5ZSyRhuLdA5fG98b3pvem96bzlnGWNNLS0pLilea9teFEZNLU0trzWvNY4x8kFVTltrWmt7b3trm297b3tvWWd7a1pnWms6Z3xvO2saZ/let1pUSvE9bS1MKU0przXROTVKVk5WTuocyhzKHNI5HGdbazpnO2uOMckYDCG4VhtjGmNba1trOmd8b1trW2tba1trWmtbb1prW29aa1prOWtabzprWms6a1pvOmtaazprWWtZa1pvOmtba1trXGs7Zzxndk7ROU0l6xxOKXdOXWeebzpjGWNaZ3xvOmc5Z1pnWmtaa1prWWtaa1prWmtaa1prWmtaa1prWmtaa1prWmtaa1prWmtaa1prWmtaazlne29aa1prWmtaa1prWmtaa3tvWmtaazlnWmtaa1prWmtaa1prWms5Z1prOWdaazlnWmtaa1prWmtaa1prWms5Z1prOWdaazlnWmtaa1prWmtaazlnWms5Z1prOWdaazlnWms5Z1prOWdaazlnWms5Z1prAABaa3tvWmt7b1pre29aa3tvWmt7b1pre29aa3tvWmt7b1pre29aa3pvWmtaa1prem9aa1prWmtaa1prWmtaa3pvWmt6b1prem9aa3pvWmt6b1prem9aa1prWWtaa1lrWmtZa1lrOWdZa1lrWmsZYxljl1bqHCwljzUaY3xzWmt6bzlnWmv4XvFBDCVOKftiPWscZxJCTCltLa81E0byPW0t8D2VUjlnnHN6b1prWWubb5tvm29aa1prOWc6ZzpnOmcaYxpj+V7YWnVOE0KPNW4tLSUMJS0liBSqGMscLim6Wn1vfXM7ZwshiBAMJftiXGs7ZztnOmdaa1prW2s6Z3xvOmtaa1prWms5a1prOWdaazlnWms5a1prOWdaazlrWms5a1pvWmtaazlnWms6Z1trGmMbY/I9LSVOKS0hLiV3ShtjO2c7Z1trOmdaZzlnWWdZZ1lrWWtaazlnWms6a1prOWdaa1prWms5Z1prWmtaa1prWmtaa1prOWdaazlnWmtaa1prWmtaa1prWmtaa1prWmtaazlnWms5Z1prWmtaa1prWms5Z1prOWdaazlnWms5Z1prOWdaazlnWms5Z1prOWdaazlnWms5Z1prWmtaazlnWms5Z1prOWdaazlnWms5Z1prOWdaazlnWms5Z1prOWcAAHtve297b3tve297b3tve297b1pre297b3tvWmt7b3tve29aa3tvWmt7b1pre296b3pvWmt6b1prWmtaa3pvWmt7b1pre29aa3pvWmt7b1pre29aa3pvWmtaa1lrWmtaa3pvWWtZa1lrem9aazprGWPZXiwpLCWOMdhafG97b1lrWWtaaxlndVJNKU4pmFI9a/peXGvYWkwpxxiOMTNGrzUqJY0xdE45Y5xznHOcc3pvWWtZa3tve297b3pre297b1trW2tbazpnGmPYWrdWdk4TQk4tDSWpFOwc7BwNIdM9+l47ZxtnDCXKHAwhHGdca31vO2d8b1prW2t7a1trW2taa1lrWm9aa1prWWtaa1lrWmtZa1prWWtaa1lrWmtZa1pvWmtab1prWms5Z1prOmc6Y1tn2FryPZAxTykuJQ0hFEIbX79zXGcZY1prnG9ZZ1lrWWtZa1lrWmtaa1trWmtaa1prWmtaa1prWmtaa1prWmtaa1prWmtaa1prWmtaa3tvWmt7b1prWmtaa1prWmtaa1prWmtaa1prWmtaa1prWmtaa1prWmtaazlnWmtaa1prWmtaa1prWms5Z1prOWdaa1prWmtaa1prOWdaa1prWms5Z1prOWdaazlnWms5Z1prOWdaazlnWms5Z1prOWdaawAAWmt7b1pre29aa3tvWmt7b1pre29aa3tvWmt7b1pre29aa3pvWmtaa1pre29aa3tvWmt6b1prWmtaa1prWmt6b1pre29aa1prWmtaa1prem9aa3pvWmtaa1lrWmtZa1prWmtaazlnWWtZa1prOWc6Z/le0DnpHI4xdE58b3tvWmtZa1prOme3Wo8xbi3zQV5vXW9ca/ledE6NMQohbTGWVq41bC1sLTJG+F6cb3tvWmtaa3pve2+bc3pvemtZZ1prOWc6ZzpnW2s7ZztnGmP6XhtjuFYUQnAxDSHtIO0cTy2PMfE98j0LIS0lTikcY59zXGs6Z3tvWms6Z3xvOmdba1prWmtZa1prWWtaazlnWWtZZ1lrOWdZa1lnWWs5Z1lrWmtaazlnWWtZa1lrOWdZZ1pnOmdca/pe0jWyNZIxzBgMITVGG2M8ZxpjW2t6a1lnWGdZa1hnWWtZa1prOmtaa1prWms5Z1prWmtaazlnWmtaa1prWmtaa1prWms5Z1prWmtaa1prWmtaa1prOWdaazlnWms5Z1prWmtaazlnWmtaa1prOWdaazlnWms5Z1prWmtaazlnWms5Z1prOWdaazlnWmtaa1prOWdaazlnWms5Z1prOWdaazlnWms5Z1prOWdaazlnOWc5Z1prOWc5ZzlnAAB7b3tve297b3tve297b3tve297b3tvWmt7b3tve29aa3pvWmt6b1pre297b3tve297b3pvem9aa3pvWmt7b3pve296b3tvWmt6b1prem9aa3tvWmt6b1prWmtaa1prWmtaa1prem9Za1prOWdaazpnGmMSQuocbjFTSltvvXdaa3tvOWd8b9ha0j1OLdI5Xm9dbztrO2tba9darjXPOdhat1bxPUwpTCkSQrZWOmd8b3xvW2t6a1prem96a5tve297b3premtaa3tvW2tbaztnGmM8Z/tiFEYuJewcUClwLbE5bi0sJYgQDSXsIJhWG2NcaxljfG86ZzpnfG87ZzpnW2taa1prWmtaa1lrWms5Z1prWWtaa1lrWmtZa1lrWWtbazlnOWdZZ3pvWWtZazhnWWs5YzpjGl/6WlZK0zlxLaoULiVWSjxnnnNbZzlnWWd5a1hrWWtZa1prWmtba1prW2taa1prWmtaa1prWmtaa3tvWmtaa1prWmtaa1prWmt7b1pre29aa1prWmtaazlnWmtaa1prWmt7b1prWms5Z1prWmtaazlnWms5Z1prOWdaa1prWmtaa1prWmtaazlnWmtaa3tvWmtaazlnWmtaa1prOWdaazlnWms5Z1prOWdaazlnWms5Z1prOWdaazlnWmsAAHtve297b3tvWmt7b1pre29aa3tvWmt7b1pre29aa3tvWmt6b1prem9aa3pvWmt7b1pre29aa3pvWmt6b1pre29aa3tvem97b1pre29aa3pvWmtaa1lrWms5Z1prWWtaazlnWmtZa1prWWtZazlnOmv5YpdWqBhuLa41XG9aa5xzWmt7b1trO2dVSi0lbzEcZ31vXGtba1trGWMZYxljOmcaY7haM0avNSslbS0zRjtnXGt8b1tre29aa3trWmtaa1lnem96a3pvm297bzlnWms7Z31v+l77XsscyxztIC8pmFI1StE5yhjsIOwgkDFuMTNGtlY6Z3xvlVJUSlxrfG86ZzpnW2+dc1prOWc5Z3tvWmtaazlnOWc4Z1lrWWtaazpnWms5Z1lrOGdZa1lreWtZZ1pnOWM6YxtjHGN4TtM5cC2qFOscNEb6XjpnWmtZZzdjWWtZa3prWWdaazpnWms6Z1prWmtaazlnWms5Z1prOWdaa1prWms5Z1prWmt7b1prWmtaa1prWmtaa1prWms5Z1prWmtaa1prWmtaa1prOWdaa1prWms5Z1prWmtaa1prWms5Z1prOWdaazlnWmtaa1prOWdaazlnWms5Z1prOWdaazlnWms5ZzlnOWdaazlnWms5Z1prOWc5ZzlnOWc5ZwAAe297b3tve297b1pre297b3tvWmt7b3tve29aa3tve297b1pre29aa3tvWmt7b3pve296b3tvWmt6b1pre297b3tvem97b3tve29aa3tvWmt6b1prem9aa1prWmtaa1prWmtaa3pvWmt6a1lrWms6Zzpnl1bpHE0przU7a3xve297b1prW2s7Z5dSTi1vMZdWnnNcb3xve286azpnW2tbaztnG2P6YlVKrzUsJY4x8T0aYxpjW2tba3xvW2t8b3tvm296b3lrWWd6b3pre297a3xvW2tda9pe6xzLHMwcDSX7YvtimFINJQ0l7CAURvE9TCltLa41rjWNMUwpM0YaY1xvOmc6ZzpnW29ba1trOmtaazlnWmtaa3tvWmtaazlnWms6Z1prWWtZa1hneWtZa1lnWWdbazpnXGc8Z/ped06yNbE1qhQLIVVKfW86Zzlne285ZzlnWWdaa1lrW29bb1prWmtaa1prWmtaa1prWmtaa1prWmtaa1prWmtaa1pre29aa3tvWmtaa1prWmtaa1prWmtaa1prWmtaa1prWmtaa1prWmtaa1prWmtaa1prWmtaa1prWmtaazlnWmtaa1prWmtaazlnWms5Z1prWmtaazlnWmtaa1prOWdaazlnWms5Z1prOWdaazlnWms5Z1prAAB7b3tvWmt7b1pre29aa3tvWmt7b1pre29aa3tvWmt7b1pre29aa3pvWmt7b1pre29aa3tvWmt6b1pre29aa3tvWmt6b1prem9aa3tvWmt6b1prem9aa1prWmtaa1lrWmtaa1trWmt6a1lrWms5Z1prOme3WuogKyWONRpjW2t8b3pve286Z1truFqwNS0pE0J9b51zfG97b1pre29ba3xvW2tcaxtn+V6WUjNGjjErJY4xEkKWUhpjW2t8bztnWmdZa3pvWWtZa1lrm297b3tve2saY35vPGdOKS4lzRxPKbhWfnPaXk4p6xwMIblal1bQPdA5bC0qJSslCiEsJZdSGmNcaztnO2c7Z1trGmM6ZxljW2t7b3tvOWcZYxljWms5Z1prOWdZazlnWWtZZ1lrOGdaa1prOmc6Z1xrG2P6XphSby0tJcoYTCkSQlxrOmc5ZzpnWmt7b1prOWc5Z3pvWmtaa1prWmtaa1prOWdaazlnWms5Z1prOWdaazlnWmtaa3tvWmtaa1prWmtaa1prWmtaa1prWmtaa1prWmtaa1prWms5Z1prWmtaazlnWms5Z1prOWdaazlnWms5Z1prOWdaazlnOWc5Z1prOWc5ZzlnWms5Z1prOWdaazlnOWc5Z1prOWdaazlnOWc5ZzlnOWcAAHtve297b1pre297b3tve297b1pre29aa3tve297b3tve296b3tvWmt7b3pve296b3tvem97b1pre296b3tvWmtaa1prem9aa3tvWmt7b1pre29aa3tvWmt7b1prWmtaa1tvW2t7b1prem9aa1prWmtba9haTS3qIK8111p8b3tvm3N7b1trW2v6YtI9TSmPNVxrfHOcc1pre297b3tve298b1xrO2caZ1xrGmN2UtA5rzWOMW4tbS3QOVRKGWN8b3pre2+cc3pvWmt6a3tvOmd0ThJC2V48Z9M97SDuIC8pFEZ+cxtjLSnKHAwhXmsaYxpn11qVUo4xTCksJesgTi0sJdE9llLZXl1rfW9cazpnnXM7ZxljGWNba3xvfG9aZ1prWmtaa1lrWmtZa1prOWdaa1pre286ZzpnOmdbZzpj+lp3Tk0pLCGoFE0p8j1ca1trW2t8b1prWmtZa1lrOWtaa1prWmtaa1prWmtaazlnWmtaa1prWmtaazlnWmtaa3tvWmt7b1pre29aa3tvWmtaa1prWmtaa3tvWmtaa1prWmtaa1prWmtaa1prWmtaa1prOWdaazlnWmtaa1prWmtaazlnWms5Z1prOWdaazlnWmtaa1prOWdaazlnWms5Z1prWmtaazlnWms5Z1prOWdaawAAWmt7b1pre29aa3tvWmt7b1pre29aa3tvWmt7b1pre29aa3pvWmt6b1prem9aa3tvWmt6b1pre29aa3pvWmt7bzlnWmtaa3pvWmtaa1prem9aa1prWmt6b1prWmtaa1prWmtba1prem9Za1lrWWtaaztr+F6vNekcjjF1UnxvfG9aa3tvW2tca/piFEZNLY4x+V58b5xzem9aa3tvWmt7bzlne297a1prGmM6Z/le2FoTQvE9jjFMKSslbC2vNRFC+F5aa5xvfG85Z1trOmfXWislTSnSPR1nWE7NHO8gDiWxOZ5zHGdOLckYLCVebzxnXGsaYxpn8kHqHJA1Ty2JFAwlTSksJQwhbi00RthWPGcbY1xrXGt8bztnO2c6Z1pnWmd6a1premtaZ1pnOWdaZ1prW2taZ1pnOWdZazhnOWc6Y9laVEbqHAshqBRuLRNCPGt9bztnGWM5Z5tzem84ZzlnWmtaa1prOWdaazlnWms5Z1prOWdaazlnWms5Z1prWmt7b1pre29aa1prWmtaazlnWmtaa1prWmtaa1prWms5Z1prWmtaazlnWmtaa1prOWdaazlnWms5Z1prWmtaazlnWms5ZzlnOWc5ZzlnWms5Z1prOWdaazlnWms5Z1prOWdaazlnWms5ZzlnOWc5ZzlnAAB7b1pre29aa3tvWmt7b3tve29aa3tve297b1pre297b3tvWmt7b1pre29aa3tvem97b1pre296b3tvWmt7b1prWmtaa3pvWmt7b1pre29aa1prWmt7b1pre29aa1prWmtba1tre29aa3pvWWtaa1prW2v5XhNGyBiOMTJGnXN8b3pve297bztrPGdVTrA1bjGWVltrvXd6b5tze296b3tvemt5a3pvWWdaa1pnW2saY1tr+V51TtA5jjFMKUwpTCnwPVNKGmN9b31vnXNba1NKyRgMJXAxulbdXs4cMSnuIJAxO2c8a24t6xwtKV5vPGt9bxpjnnNUSuocsjlXTuwgDSFvLTVGFEJvLSwlbi1NKfI9dU4bY1xrXGcaY1xrfG9aa1lnemtaa3trWmdbazpnW2taZ1prWWd6a1lreWtYZ5xv+Fq3VrdWCyHKGOscDCE1StlafW9ca1prWmt6b1hrWmtaa1prWmtaa1prWmtaa1prOWdaa1prWms5Z1prWmt7b1pre29aa3tvWmt7b1prWmtaa1prWmtaa1prWmtaa1prWmtaa1prWmtaa1prWmtaazlnWms5Z1prWmtaa1prWms5Z1prOWdaazlnWms5Z1prOWdaazlnWms5Z1prWmtaa1prWmtaa1prOWdaazlnWmsAAFpre29aa1prWmt7b1pre297b3tvWmt7b1pre29aa1prWmt7b1prem9aa3tvWmt7b1prem9aa3tvem97b1prWmtaa3pvWmt6b1prem9aa1prWWtaa1prem9aa1prOWdaazprW2taa1prWWtZazlnWms6ZxljVEqoGG0x8T18b3xvWmucc1prO2s8a7hWsDVtLRJCOmecc3pvm3Obc1prm3Oab3hrN2d5a3tvm29aazpn+V46ZzpnO2f4XnROrzVMKSwlbi0TRthaGmOecztn8kGIFC0lLiXUOZtW8CTPHK0YLSnYWhtjbi3KHE4pHGd+b1xrO2dca5ZSyhhPLZpS1D0OJXAxeFL8YjVG0jmxNU4pLSUsJU0p8j24VlxrPGc6YzhjWGc4Z1pnWmdbazpnW2c7Z1prOWdZa1lreWtYa3lrOWNbZzpj2Fa4Vi0liBAtJewg8j3ZXn1vW2s5ZzdnWWtZa1prWmtaa1prWms5Z1prOWdaa1prWmtaa1prWmtaa1prWmtaa1prWmtaa1prWmtaa1prWmtaa1prWmtaa1prWmtaazlnWmtaa1prOWdaa1prWms5Z1prOWdaazlnWmtaa1prOWdaazlnWms5Z1prOWdaazlnWms5Z1prOWdaa1prWms5Z1prOWdaazlnOWc5ZwAAe29aa3tvWmt7b1pre297b5xze297b3tve29aa3tvWmt7b3pve29aa3tvem97b3pve29aa3tvem97b3pve29aa3tvem97b1pre29aa3pvWmtaa1prem9aa3tvWmtaazlnWmtaa1prWWt6a1lrWms5Z1trGWOWUqcUjjHPOX1zfG97b5tzW2s6Z31z2V7xPUwp0DkZY51zWmucc5tvWmuac5pzeW+ab5pvem84ZzlnW2ucb1trOmcZYzpn+F7XWpZS0T1tLW4trzU0ShtnPGcTQgwhcC2SMVEpnFZzMRElzhxPLZdWXWtvMesgLSn6Yn1vfW9ba3xv2FosJQ0l3Fq7WpIxDSEUQj1nXms9Z7lWTi2xNbE1sTVOKS0lTSnSOVRKGWMYYzpnOmdba1trXGtbZ1xrOmdba1lnWWtYZ3lreW9aazpjOmc7Z9lal1KwNYcQDCULIbA5t1Z8b1trWWtZa1prWmtaa1prWmtZa1prOWdaa1prWmtaa1trWmtba1pre29aa1trWmtba1prWmtaa1prWmtaa1pre29aa1prWmtaa1prWmtaa1prWmtaa1prWmtaa1prOWdaazlnWms5Z1prWmtaazlnWmtaa1prOWdaazlnWms5Z1prWmtaa1prWmtaa1prWmtaazlnWms5Z1prAABaa1prWmt7b1pre297b3tve297b3tve29aa3tve297b1prem9aa3pvWmt6b1prem9aa3pvWmt6b1prem9aa3pvWmtaa1prWms5Z1prWmtaa1lrem9aa3pvWWtaa1pre29ZZ1lrWWtaa1lrWmtaa1trGWM7Z3VS6RxtLfA9Gmd8b1tre29aa3tvW2s6Z3ZSTS2wOVVOn3dba3xvm3NYZ7t3em+bc3pve29aa1prWmtaa1tre29aa1trOmc5ZxljOWf4XnVOjjFNKW0t8j13TjVGDSEPJdU5lDGuFHxOrhQQIewcNUY9Z7E56hxNKTpnnXN7a1prOWcZYyslLSl4Uh5nszWSMXAtXmsbY3ZOCyHrHOwc7RwOIXEtkTFwLS0lDCULIW4x8j12UtleXGtcazxr+WJca3xvfG9aZ1prWmt7bzpnWmdaa1trOmc5Z5VSzzmFEEspKyVMKXROXGs7Z1trOmdaazlnOWc5Z3pvem9aazlnWmtaa1trWmtba1prW2s6Z1trOmtbazprW2taa1trWmtaa1prWmtaa1prWmtaazlnWmtaa1prWmtaa1prWmtaa1prOWdaazlnWms5Z1prOWdaa1prWms5Z1prOWdaazlnWms5ZzlnOWc5ZzlnWmtaa1prWmtaazlnWms5ZzlnOWcAAHtvWmt7b3tve297b5xze297b3tve297b3tve297b3tve29aa3tvWmt7b1pre29aa3tvWmt7b1pre29aa3tvWmt6b1prem9aa1prWmtaa1prWmtaa3tvWmtaa1lrWmtaa1prWWt6b1prWmtaa1tvW2s6aztrt1YJIW0t0DkaZ3xvfG97b1prWmt7bzlnt1aOMZA1NEafdzxrfHObb3lrmnObc3tvnHN7b3tvWmt7b1pre29aa3tvWmtaazlnWms5ZxhjGWP4WlRKrzUtJY8tLiXMGHEtOUa1NVMptjXwHBAh7SDTOV5rsTnrIEwpW2ucc5tvemtaaxljbTEsJVdKHWOZUm8pNUK4Vn1r8TnKGE4pTykOIc0czRwvJZIxNkqZVjVKby0MIS0pjzGPMRNCllJcaztnO2c6Z1trW2t8b3tve29aa1trOWc5Z1pnWmv3XpVSZAzoHK85CiGwNX9vXW+dczlnOmd7b5xzOWc4Z1lrWWtZa1prWmt7b1trW29ba1trWmtba1trW2taa1tvW2tba1prW2taa1prWmtaa1pre29aa3tvWmtaa1prWms5Z1prWmtaa1prWms5Z1prWmtaa1prWmtaa1prOWdaa1prWms5Z1prOWdaazlnWmtaa1prWmt7b1prWmtaa1prOWdaawAAWmt7b1pre297b3tve297b3tve297b3tvWmt7b1pre29aa3pvWmt6b1prem9aa3pvWmt6b1prem9aa3pvWmt6b1prWmtaa1prWmtaa1lrWmtZa1prWmtaa1lrWmtZa1prWWt6a1lrWmtaa1trWmtbazpnW2u3WkwpSymvOdhanXN7b5xzWWt7b1prOmvXWtA5LCkTQl1rXGtba5tzWGuac3pve297b3tvWmt7b1pre29aa3tvWmtaa1prWms5Z1prOWd7bzpnGWNUStA1TSmpFKoUcS04RvY9cy1zLa4UECHMGC8p/GKyNaoYTSkaZ3xve2+bczlnOWfQOSwl0z0dY/xesTXzOZdOf29vLcoYFELaWnhOkjUOJasY7CBwLfRBuVb7XphS0j0tKU0pLCksJW4trzUSQrZW+V46ZzpnW2saY1trXGt8b1trW2s6Zzpn+F63ViwlqBhOLS0lDSF3UvpiW2t7b1prOWd7b3pvem9ZZ1lrWWtaa1lrWmtZa1prOmtbazpnW2taa1trWmtaa1prWmtaa1prWmtaa1prWmtaa3tvWmtaa1prWms5Z1prWmtaazlnWms5Z1prOWdaazlnWms5Z1prOWdaazlnWms5Z1prOWc5ZzlnWms5Z1prOWdaazlnWms5Z1prOWc5ZzlnAAB7b3tve297b3tve2+cc3tvnHN7b3tve297b3tve29aa3tvem97b1pre296b3tvWmt7b1pre29aa3tvWmt7b1pre29aa3tvem97b1prem9aa3pvWmt7b1pre29aa3tvemt6b1prem9aa3tvWmt7b1trW2tba/lerjUrJY4xl1Z9c5xznHN6b3pve29aaxljE0YLJdE5HGdca3xvm3N6b3pve297b3tve297b3tve297b3tve297b1pre29aa1prWmt7b1prGWM6Zztn2FpVSi0lDSEuJRZCWUpSKbU1rhjvIO4gzBz9XrM5yhgtKTxnfG97b5tzWms5Z1RKCyGRNRxjHGOYUm8puVZeZ04pDSF3Tn5rHGO5VhRCkDUNJQ0h7CCyORRCuVocZ/peNEbROdE5bi1NLW0tbS2OMa41EUJ0ThpnO2dca1xrfG87ZztnXGs8a/pe2VrSOcsc7BxQLewgE0LZXn1vO2c6Z3tvnHNaa1prWWtZa1lremtZa1prWWtaa1prWmtaa1prWmtba1prW2taa1prWmtaa1prWmtaa1prWmtaa1prWmtaa1prWmtaa1prWms5Z1prOWdaazlnWmtaa1prOWdaazlnWmtaa1prOWdaazlnWms5Z1prOWc5ZzlnWms5Z1prWmtaazlnWmsAAFpre297b3tve297b3tve297b3tve297b1pre29aa3tvWmt6b1pre29aa3pvWmt7b1prem9aa3pvWmt6b1prem9aa3tvem97b3pve29aa3pvWmtaa1prem9aa3tvWmt6b1lrem9aa3pvWmtaa1prW2s6azpr+WIRQukcbS00Sp1ze2+cc1pre29aa1trGmd2UusgjzW4Vn1vW2ubc3pvmm9aa3tvWmt7b1pre297b3tvWmt7b1pre29aa3tvWmt7b1pre286Z3tvO2caY9laNUYtJQ0l0zUeY7Q1tDVyLc4cDyXNHHpS9UGqGE4pPGd9b1prnHM5ZzpnllIsJU4t+15cazxnby13TplScS3sHHdOG2M7ZztnGmO4VlVK0jmRMQwlDCFOLTVK2l4bY/piG2N2UlVK8T2vNUwpKyUqJUwpCiGOMfE9dlLZWrhal1L7YhxjXmt/c9xeUC3MHO4gDiUtJbE1dk48a11vW2sZYzlnWWtZa1lrWWtYa1lrWGtZa1lnWmtZa1prWWtaa1prWmtaa1prWmtaa1prWmtaa1prOWdaa1prWmtaa1prWmtaazlnWms5Z1prOWc5ZzlnWms5Z1prOWdaazlnOWc5Z1prOWdaazlnOWc5ZzlnOWdaaxhjWms5Z1prOWdaa1prWms5ZwAAe297b3tve297b3tve297b3tve297b3tve29aa3tve297b3pve296b3tvem97b3pve29aa3tvWmt7b1pre29aa3tve297b3tve296b3tvem9aa1prWmtaa3pvWmt7b1prem9aa3pvWmtaa1prWmtaa1trOWc6Z1RK6RxMLRJCfW98c5xze297b3tvW2tca7dWTSluLVVOXW98b3tvm3N6b3pvWmt7b3tve297b3tve297b3tve297b3tvWmt7b1prWmt6b3tve29baxpjO2e3Uk0pLSWyNT9nu1YvJThGixAxKc4c9kH2QasYLik8Z1xre297b1prOmf5XiwlTim4Vp5z+Fp2SrI1N0bUOe0cd059b3xvnHN6a1tr+l65VldOFEbyPW8xDCWQNZdSPGc8ZzxnG2P6Xtha2Fp1ThJCjzFtLW0tbi2PMbA1CyGpGAwlNkqZUh5nP2u7WtU9MSmrFO0g7CBwMRRG+l48a31vW2t7b1premtZa1lrWGt5a1lrWmtZa1prWWtaa1prem9aa1prWmtaa1prWmtaa1trWmt7b1pre29aa1prWmtaazlnWms5Z1prOWdaazlnWms5Z1prOWdaa1prWms5Z1prWmtaazlnWms5ZzlnOWdaazlnOWc5Z1prOWdaa1prWms5Z1prAABaa3tvWmt7b1pre29aa3tvWmt7b1pre29aa3tvWmt7b1pre29aa3tvWmt7b1pre29aa3pvWmt6b1prem9aa3pvem97b1prem9aa3pvWmt6b1prWms5Z1prWmt7b1prWmtaa3pvWmtaa1lrWms5Z1prW2s6ZxpnllboHG0t0Dl9b3tvnHN6b5xzem9ba1tr2F6OMU0p0Tlca1tre296b3pvWmt7b1pre29aa3tvWmt7b1pre29aa3tvWmt7b1prWmtZa3prOGdaa1pnW2tba9hajzEsIW8t+14dY7M10zmsGBAlECUxKfdBahAuJfpeXGt7a5tvWWdaaxljTCktJVVKfGv4WvpesTX2QfZB7RxWSnxve29Za1hrOWdbaxxnHGf7YlVKsDWPMU0pTSnRPdlaXW+ec11rO2cbYzxn+mLYWnVONEqOMW0tbi0LJS0lNUrsHHAtszk3SrtavFq1Oc4c7iDuJM0cDSWxNZhWO2d9b1trW2taa1lrWWdZa1lnWWtZa1lrWWdZa1lrWmtZa1prWWtaa1prWmtaa1prWmtaa1pre29aa1prWmtaazlnWms5Z1prOWc5ZzlnOWc5ZzlnOWdaazlnWms5ZzlnOWdaazlnWms5ZzlnOWc5ZzlnWms5Z1prWmtaazlnWmtaa1prOWcAAHtvWmt7b1pre297b3tve297b1pre29aa3tve297b3tve296b3tvem97b3pve296b3tvWmt7b1pre29aa3tvWmt7b3pvem9aa3pvWmt6b1pre29aa1prWmt7b3tve296b3tvWmtaa1prWmtZa1prOWd7bxlnW2u3WukgbS3ROV1vfG+bc3tvm3N7b1prfG/4XtA5LCWPNTxrfG97b3pvWWt7b3tve297b3tve297b3tve297b3tvWmt7b1pre29aa1prem96b1prWms6Z3xv+WJVSgshbi13Th1j+14uJS8lUi0yLfAgGEarGC8pHGd9b51ze296a1pnOmdMKS0pE0J7a3trPGdWSjhK1T0OIdI5fG96b5lveGtZa1trXWscZ35vG2eXVtE9jjFNLW4tbi1USvpefnNdazxrXGtdbztnO2c6Z/le2Fq4VtE5bzE1RrE5DSUOJS8pMClxMbQ5cjFSLe4gziAPJS8pTykURvpifW9ca1trWmtaa1lrWmtZa1prWWtaa1lremtaa3prWWtaa1prWmtaa1trWmtba1prWmtaa1prWmtaa1prWmtaa1prOWdaazlnWms5Z1prOWdaazlnWms5Z1prOWdaazlnWms5ZzlnOWc5ZzlnWms5Z1prWmtaa1prWmtaa1prOWdaawAAWmt7b1pre29aa3tvWmt7b1pre29aa3tvWmt7b3tve29aa3tvWmt7b1prem9aa1prWmt6b1prem9aa1prWmt7b1prem9aa3pvWmtaa1prWmtaa1prWWtaa1pre296b3tvWmt7b1prWms5Z1lnOWdZazpnWmsZY9he6SBMKdE5O2d8b3tve2+bc3tve286ZxpnVU4KIW4xdU47Z957WWt6b1pre29aa3tvWmt7b1pre29aa3tvWmt7b1pre29aa3pvWWt6b1lrem9aa1trOmc6Z9daTCksJbA1PWccY1ZKyxgQJTIpUzH3QWoQUC0cY31vfG9aa5xzW2sZY9E5TSmwNVpnems7YxxjOEqTMXEtLSUYX3pvunNXZ5pzWms7Z11r+l47ZztnG2OXUhJCbi0rJU0pjzUzRvpeXWtdazxnXGs7Z1trOmcaYxpj+l4TQiwlkDHTPbE1sjkNJQ0lqxjtIBAlzxxsFJQ1szmSNS4pTilVStleO2tbazpnW2tbb3xvOGdaa3pvm29Za1lrOWdaa1prWmtaa1prOWdaa1pre285Z1prWmtaazlnWmtaa1prWmtaa1prWms5Z1prOWdaazlnWmtaa1prOWdaazlnWms5ZzlnOWdaazlnOWc5ZzlnOWdaazlnWms5Z1prOWdaazlnAAB7b3tve297b3tve297b3tve29aa3tve297b3tve297b3tvWmt7b3tve296b3tvem97b1pre29aa3pvWmt7b3pve29aa3tvWmt6b1prem9aa3pvWmt6b1pre296b3tvem97b1pre29aa1prWWtaa1lrWmtaazpn+F5MLQsh0T35Xnxze297b3tvm3N6b1trOme3VuogjzUSQnxvnHN7b3pve297b3tve297b3tve297b3tve297b3tve29aa3tvWmt6b1lrem9ab3tvWmtbazpn+V7xPQsh0DX6XjxnuVYuKc4cdDEyKXQ17iAOJTxnfW+dc1prvXdbaxpj8kEsJY4xe2tZZ51vPWe6VvU9UC0tKZVSem94b3hvem85a31vPGuedztn+V4aY1xrGmN1Tq81jjEsJSwprzVVTtlaXWuec1tre2+dc1trW2saY5dS0T2QMbE1uVpWSjVGby2QMYoU7yQyKRAl7yTuIFAt0z3SOakYjzXYWlxrfW87ZztnOmedc1prOGcYYzlnWmt7b3tve29aa1prWmtaa1pre29aa1prWmtaa1prWmtaa1prWmtaa1prWmtaa1prOWdaazlnWmtaa1prWmtaazlnWms5Z1prOWdaa1prWms5Z1prOWdaazlnWmtaa1prWmtaa1prWmsAAFpre29aa3tvWmt7b1pre29aa3tvWmt7b1pre29aa3tvWmt6b1pre296b3tvem97b1prem9aa3pvWmt6b1prem9aa3pvWmtaa1prWmtaa1prWmtaa1prem96b3tvWmtaa1prW2taa3pvWmt6b1lrWmtaa3tvGWMZY681yRywObdWW2t7b3prem96b3tvWms6Z9haCyVuLbA1XG9bb3tvem9aa3tvWmt7b3tve29aa3tve297b3tve297b3tvWmt6b1lrWW9Za1pvWmt7bzpnOmsZY9da6RzQNXZOXWv6XvM9axCVNe8gECUvKQ0hG2N+b3xve2+cc3trGmN2Tuscbi0YX1lnnnM9Z/xieFIuKU0pzzl6bzdnmnM4Z1lrnHM7a3xvW2sZYzpnXGtca/hetlbxPa81TCkLJQohbjFVSjtnfG+cb1trXGt8b31v+l6WUgwlLSk1Rj1r2lrZWndOsjnuIO8grRwPJXExUC1PLQ0lsDUtKQoh0DnZWp5zfW87axljOmtba3xvWmtaazpnW2taa1trOWdaazlnWmtZa1prWmtaazlnWmtaa1prOWdaa1prWms5Z1prOWdaazlnOWdaa1prWmtaazlnWms5ZzlnOWc5ZzlnOWc5ZzlnOWc5ZzlnOWc5Z1prWmtaa1prWms5ZwAAe297b3tve297b3tve297b3tve297b3tve297b3tve297b3pve297b5tze297b3tve296b3tvWmt7b3pve29aa3tvem97b1pre29aa3pvWmt6b1prem96b3tve297b1prW2tba3tvem97b3prem9Za3pvWms5ZxljM0qnFLA1VEp8b3tvm3N6b3tvem97bzpnGmNMKUwpbjE7a1trnHNaa3tve297b3tve297b3tvWmucc3tve297b3tvWmt7b1prem9Za1prWWt7b1prW2s6azpnGWNtLW0tM0ZdazxnmFLNHDItESXOHDApDSEcZ31vfG97a5xzW2tba/leLCVuLZVSWmedcztnXm/aXrE5CyVtLfheem+bczhnWmuddzprOmdba5xze2s6ZxljOmc7Z1trllLQOU0tbS1NLW4tbS2VUvhenXOdc31vO2c8Zxtn8j0sJU0p+l48Z11r2Vq5VnhOkjXsIMscsTVvMbE5TSlNLU0tbjFNLU0pjzGWUn1vfW9baztrOmdba1trW2s6a1tvWmtaa1prWmtaa1prWmtaa1prWmtaa1prWmtaa1prWmtaa1prWmtaa1prWms5Z1prWmtaa1prWms5Z1prOWdaazlnWms5Z1prOWc5ZzlnWms5Z1prWmtaa1prWmtaa1prAABaa3tvWmt7b1pre29aa3tvWmt7b1pre29aa3tvWmt7b3pve297b3tvem97b1pre29aa3pvWmt7b1pre29aa3pvWmt6b1prem9aa1prWmt6b1lrWmtaa3tvem97b1prWmtaa1trW2t7b1prWmtZa1lrWWtaaxljGmd1TqgYbi3yPTpne2+bb5tvWWt6b1prW2v4Xq816hyPMbdWfXNba3tve297b3tve297b3tvWmt7b1pre29aa3tvWmtaa1prWmtZa1lvWWtab1prWm9aa1trOmcZYxJCKynQOTxrGmP7YlEtzhxRLe4g7SAuKRtjXG9ba3tve297bztnG2dOLU0p8D2cb1trO2d9bxtnVU4KIUwpVEqdd3tvOWt7c3pvWmtaa3tve297b1prWms6Zzpn+F46Zxpjt1bxPW0tKyVNLUwtzzlTSvleXGuec11rPGfZWpA16yCPMV1rXWs7Zzxn+2L7YlZOjzHQOTNGt1p1TvE9rzVMKSwpCyELJU0tsDmWUvleXGt9bztrOmc6Z1tvWmtba1prWms5Z1prWWtaazlnWmtaa1prOWdaa1prWms5Z1prOWdaazlnWms5Z1prOWdaa1prWms5Z1prOWc5ZzlnOWc5ZzlnOWc5ZzlnOWc5Z1prOWdaazlnWms5Z1prOWcAAHtve297b3tve297b3tve297b3tve297b3tve297b3tve297b5tze297b3pve29aa3tvWmt7b3tve296b3tvWmt7b1pre296b3tvWmt7b1prem9aa3tvem97b3pve29aa3tvW2t7b3pvem9Za1lrWWt6b1lrOmcaY7daCyFNKY81Omd7b5xze296b3pve29aa/liM0bqHI4xVEqdc1trfG97b3tvnHN7b3tve297b3tve29aa3tvWmt7b1pre29aa3pvWWtab1lrem9aa1tvWmtba/he11orJa81+V47YzxnN0qMFHIxDyXMHE8tPGdca5xve297b1prXGsbY/M9LCXPNZ1zW2tba31vO2caY0wpTS2vNZ5zO2t8b5tzeW9Za3tvemt7b3pre29ba1trOmdbaxpjGmMaYxpjt1YTRo4xTCkKIQshjzWXUhxjXm89axxjmFZvLQwhuVqfc35zXWsaY1trW2sZYxlj+F5aa/he+F6WVlRO8T2OMSslCyHqICwl0Tm4WjtnXW87a1xrW2tba1prW2taa1prWWt6a1lrWmtaa1prWmtaa1prWmtaa1prWmtaa1prWms5Z1prWmtaa1prWmtaa1prOWdaazlnWms5Z1prOWdaazlnWms5Z1prWmtaa1prWms5Z1prOWdaawAAWmt7b1pre29aa3tvWmt7b3tve29aa3tvWmt7b1pre29aa3tvWmt7b3pve29aa3pvWmt7b1pre297b3tvWmtaa1pre29aa3pvWmt6b1prem9aa3pvWmtaa1pre29aa1prW2t7b1prem9aa3pvWWt6b1prWmsZZxpnt1puMQshbjH4Xlpre296b1lrem9aa1trGWOXVuocbS3xPX1vOmt8b3tve297b3tve297b1pre29aa3tvWmtaa1pre29aa3pvWm96b1lrWmtaa1pvOmtaazpnOmf4Xo0xbS2WUjtnPWuaVu4g7iAvKewcTy07Z3xvnHOcc1pre2tcaxtjd04tKY4xOmdba3trWmdaaztnEkILJU4tuFpdb1tvnHNYa3lvWGt6a3prem9ZZ1prOmdbaxljW2tca1xrGmP5XrdWt1awNZA1bi1OKS0pkTVWSh1julo+a/RBbzGQMRxnG2M7Z3tvWWvWWnpvem9Za1lnemsXYxlj+GLYXnVSEkJNLeocbi0tKQshjzFVThtnW2tbazprW2s6a1prWmtaa1lrWWtZa1prOWdaa1prWms5Z1prOWdaazlnWms5Z1prOWdaazlnWms5Z1prWmtaazlnWmtaa1prOWc5ZzlnWms5Z1prOWdaazlnWmtaa1prOWdaazlnAAB7b3tve297b3tve297b3tve297b3tve297b3tve29aa3pvWmt7b1pre296b3tvem97b3pve297b5tze297b1pre296b3tvWmt7b1pre29aa3tvWmt6b1pre296b3tvWmt8b1tre29aa3tvem+bb3pvm29Za1prGmPYXtA5CyFuLdhaOWd7b3pvem96b3tvWms6Z9haLCUsJdA5W2tba3xvnHN7b5xze2+cc3tve29aa3tvWmt7b1pre297b3tvem97c3pvWm9aa1pvWmtaazlrWmtbaxhfzzlsLVNKfG9ca9taMCnMGC4lLiUuKTxrfG+9d5xze297b51zGmMcZ04tbi2XVn1ve285Z1pne2+3VuogLSkURn5vfG97b3lveW+bc3prWmtZa3pvemt7b1prnG9bazpnGmNba1trO2f5YhpjVUqwNU4tjzFvLU8tLinSOTVGVk4tKW4tNEZ+b31zem+bczhneW9Za5tzm284Z1prWmtbaxlnOmcZY7dWM0YsJU0tbjFNKU0pjzWWUlxrXGtba1trW2tbb1prWmtaa1prWmtaa1prWmtaa1prWmtaa1prWms6Z1prWmtaa1prWms5Z1prWmtaa1prWmtaa3tvWmtaazlnWms5Z1prWmtaazlnWmtaa1prWmtaa1prWmsAAFpre29aa3tvWmt7b1pre29aa3pvWmt7b1prem9aa3tve297b1pre29aa3tvem97b1pre296b3tvWmt7b1prem9aa3tvWmt6b1prWmtaa3pvWmt6b1pre29aa3pvWmtaa1trW2taa3tvWmt6b3pvem85Z3pvOmc6Z9le8kGHEI81dVK3WpxznHNZZ5tzWWt7b1tr+F6OMekcrzUZX3xrfG9ba3tve297b1pre29aa3tvWmt7b1pre297b3tvWmt7b1prWmtaa1prWWtaa1lrWmtZazlnOWcxRowxrjX4Xnxv+l5WTokU7CDsIC4pG2Oec3xvfG97b3tvOmc6Z9heVUpPLTZKXW+dcxhjvHf3XjpnbjHrHJE1PWsaZ5xzmnNZa1lrWms5Z1lrOWdaa1pre29aa1prOmdaazpnWms5ZzpnGmcaZ9hadU7QOW4xTClNKSwpLCULIQwlCyFvMVZOXW+cc1lrem+cc1lnWmt7a1trW2tba1pnWmc5YzlnGGM5Z/heM0ZtMUwpCyULJW0t8kG4WjtnXGs7aztnfG9bazpnOWdaa1pre285ZzlnOmd7b1prWms5ZzpnOmdaa1prW2s5Z1prOWdaazlnWmtaa1prOWdaazlnWms5ZzlnOWc5ZzlnWmtaa1prWmtaazlnOWc5ZwAAe296b3tvem97b3pve296b3tvWmt7b3pve29aa3tvem97b1prem9aa3tvem97b1pre296b3tve297b3pve29aa3tvWmt7b1prem9aa3tvWmt6b1pre296b3tvWmt6b1prfG9ba3tvW2t7b3pve296b1lrWmtbazpnGmMTRqkYjzFUSthenXd8b3pvem96a1pre2v5XvE96RyvMZZSfGt8b3xve297b3tve297b3tve297b3tve297b5xze297b1prW2taa1prWmtaa1lremtZa1prOGdZa1JKCCFsLVJKW2s7Z5dWCyHKGAwhDCX6Xl1vfXN8b5xze29ba1prGWN2UpEx1D1ea1xrWmubb1lnOmcTQusckDHaXn1vW2ubc1lrem9aa1prOWdaa1pre29aa3tvWmtaa1prWmtaa1prOmdaaxlnOmcZYxljt1YzRq85jjEsKQslCyHqIOsg0TmWUnxvWmubc3tve298b5xvWmd7b1trW2taa1prOWdZazlnWmv4YthelVLxPSwpCyUsJU0tNEYbZ11vXGs7a1xrW2tbb1prW2taa1prOWdaazpnW2s6Z1prOmdaa1prW2taa1prOWdaa1prWmtaa1prWmtaa1prWmtaa1prOWdaazlnWms5Z1prWmtaa1prWms5Z1prAAB6b3tvWmt7b3pve29aa3tvWmt7b1pre29aa3tvWmt7b1prWmtZa1prWmt7b1prWmtaa3tvWmt7b3pve29aa3pvWmt7b1prWmtaa3pvWmt6b1pre29aa3tvWmt6b1prWmtba3tvWmtaa1pre29aa3pvWWd6bzpnO2saY1VOyRyPNdA9GmN8b3tvem96b1prWmtbaxpjNEbqHG0pEkI6Y51ze297b3tve297b3tvWmt7b3tve297b3tve297b1prWmtaa1trWmtaa1lrWmtZa1lrOWc4ZzlnlFKFFCopbC1bazxr+mJuLYgU6yAMJbhaXGt8b3xve297b1pre286Z7haszmSNftiXGt7b3pvWmtaZ5dSLSktKVVKfW9aa3lreWt6a1prOWdaa1pre29aa3tvWmtaa1prWmtaa3tvWmtaazpnW2tba3xvW2s6Z/he2Fp1UjNG8T3RPW4xLCksKY81GWN8b3xvW2t7a51ze2taa1prW2taa1prWmtaa1prWmtaa1trOmtba/ledU6vNU0pCyEsJW4tM0b5Xn1zXG87a1trWms6Z1prOmt7b3tve29aa1prOWc6ZzpnWms6a1prOWdaazlnWms5Z1prOWdaazlnWms5Z1prOWdaazlnOWc5Z1prOWdaa1prWms5ZzlnOWcAAHtve297b3pve297b3tvem97b3pve296b3tvem97b3pvem9aa1prWmt7b3tve29aa3pvWmt7b3pve297b3tvem97b1pre29aa3tvWmt7b1pre296b3tvWmt7b1pre29aa3xvW2t7b1pre296b3pvWWt6b1prW2s6Zztnl1YsKY81jzUaZ3tvWmubc1lre29aa3xvGmO3UgohTCmvNTpjnW98b3tve297b3tve297b3tvnHN7b3tve297b3tve29aa3tvWmtaa1prem9aa1prWWs5ZzlnOmfWWgkh6BxsLTpnXW87Z/NBZxAMJS0l2Vpdb51zW297b3pve297b1tr+V4VRlAtuVZcb5xzWmt6bzlnGmOxNS0lsTUbZ1trem9Za3tvWmtaa1pre297b3tve297b1pre29aa3tve297b1pre29ba1trOmc6ZzpnW2tca1xrO2caY9leuFYzRo81KyWWUlxrnnNba3xvfG97b1tre29aa3trWmt7b1pre29ba1trOmc6ZzprfW9ca/ledU7QOW4xbS1MKY4x8T3YWn1zW2tba3tvOms6azpnW2taa3tvWmtaazlnWmtaa1prWmtaa1prWms5Z1prWmtaa1prWmtaa1prOWdaazlnWms5Z1prWmtaa1prWmtaa1prOWdaawAAem97b3pve296b3tvem97b1pre296b3tvWmt7b3pve29aa1prWmt7b3pve296b3tvWmtaa1pre29aa3tvWmt7b1prem9aa3pvWmt6b1pre29aa3tvWmt7b1prem9aa3tvW2t7b1tre29aa3pvWWtaa1prWms6ZzpnGmPYXm4tsDWOMRpnW2taa3pvWWt6a3tve2s6Z7hWTCkrJY4xGV+db3tve297b3tve297b3tve29aa3tvWmt7b3tve297b3tvWmtaa1prWmtZa1prWWtaazlne28ZYxljzzmnGG4x2Fo8azxrVUqIFOscLSmXUlxvfG97b1pre29aa1tvW2sbYzZGUC0TQn1ve2ubb1lnOmcaY1ZOLSVuLVVKfG96a3prWmtaa1prWmtaa3tvWmt7b1pre29aa3tvWmt7b3tve297b1prGGM6a3tvnHNaaxljGmdca1trO2cbZxpjM0ZNKY8xuFpda31vfG97b1pre29aa3prWmt6a1prW2taa1trWmt8b3tvW2s6Z1trO2tba/lillLwPY0xKiUrKa41Mkb4XltrnXOdc1trWms6Z1prWmtaazlnWms5Z1prWWtaazlnWms5Z1prOWdaazlnWms5Z1prOWdaazlnWms5Z1prOWdaazlnWms5Z1prOWdaazlnAAB7b3tve297b3tve297b3tve296b3tve297b3pve297b3tvem97b3tvnHN7b5tze296b1pre296b3tvWmt7b1pre29aa3tvWmt6b1pre296b3tvem97b3pve29aa3tve298b1tre29aa3tvWmt6b1lre29aa1trOmc7Z/lejzVuMa85+F58b3pvem9Za3pvemt8bzpn+V6PMUwlji0ZX3xvfG97b5xze297b3tve297b3tvWmt7b3tve297b3tve297b1pre29aa3pvWWtaa1prWmt7bzpnGWOWUqcUjzU0RlxvO2e4VsocyhwtKVVOG2edc1tre296b1prW2tbbxpjV05wLbA1O2d7b5xze2tbaztn2VqQNS0lsDk7Z3xvWmt7b1pre29aa3tve297b1pre29aa3tvWmt7b3tve297b3tvWmtaa1pre297b3tvOmc6Z1trW2sZYztrW2vXWtE9LSXzQfpefm++d3xve2t7b3tvemt7b1prW2taa1trW2t7b3tve29ba3tvW2tbbztn+WI6Z3xv+F4RQkspSylsLa41EkK2VvheW2t8b5xzW2t7b1prWmtZa1prWWtaa1lrWmtaa1prWmtaazlnWmtaa1prOWdaazlnWms5Z1prOWdaa1prWmtaa1prOWdaa1prWmsAAHtve296b3tve297b3pve296b3tvWmt7b3pve29aa3tvem97b3pve297b5tzem97b1prem9aa3pvWmt6b1prWmtaa3pvWmtaa1prem9aa3tve297b1prem9aa3tvWmt7b3tve29aa1prWmtaa1lrWWtaa1prWmtbazpnGmNtLQolbTF0Tjpre29Za3pvWWt7b1trXGv6XvI9KyGOMdhWfGt7b3tve297b3tve297b3tve297b1pre29aa3tvWmt7b1pre29aa1prWmtaa1prWmtba3tvOmcaY7haCyFNLfJBXGs7a9haTS2oGG4tM0YaY3xve29aa3tvWmt7b1trO2eYVpExTi23Vnxve29aa3tvO2cbYxNCLCVNKbdWfG97b1prWmtaa1prWmt7b1prWmtaa1prWmtaa1pre29aa1prOWd6b1prWmsYYzlnWmucc3tvfG9aazpnOmdba/hel1ZvMZExFUY8Z35vfG9aa3tvemt6b1premtaa1trW2tba1prWWs4Z3tvnHOcc1trOmdbazpnGWM6Zzpn914RQo0xCiErJUspzzmVUltrW2s6Z1prWms5Z1prWWtaa1lnWWtZa1prOWdaazlnWms5Z1prOWdaazlnWms5Z1prOWdaazlnWms5Z1prOWdaazlnWms5ZwAAm3N7b3tve2+bc3tve297b3tve297b3pve297b3tvem97b3tve297b5xze297b1pre296b3tvWmt7b1prem9aa3tvWmt6b1pre29aa3tvem+bc3tve29aa3tvem97b3tvnHN7b3tvWmt7b1prWms5Z3tvWmt7b1trW2sZY2wtxxhMKc85OWdaa1lrm3N6a3tvfGt8azxnNEYsJY4x2FZca5xze297b3tve297b3tve2+cc3tve29aa3tve297b1pre296b3tvWmt6b1prWmtaa3xvOmdcbxpj2V5OLU0p8kF9bzpnGmOvNckcjzFUShpnnXNaa3tve297b3tvfG87Z/tisTVuLVRKnXNaZ3tve2tcaxpjl1IsJU0pNEZ9b3xve29aa1prWmt7b3tve29aa3tvWmtaa1pre29aa3tvWmt7b1prWmtaa3tve29aazpne29aa1trW2tbazlnOmc7ZzZKcC2xOblaXWtca3xvem97b3pre29aa3tvW2t8b1xre296b5tze297bzlnWmt7b3tvW2taazlnOmcZZxlj+F51UvE9bTGOMZVSW2+dczlne29aa1prWWt6b1lrWWs5Z1prWmtaa1prWmtaa1prOWdaazlnWms5Z1prWmtaazlnWmtaa1prOWdaa1prWmtaa1prAABaa3tvWmt7b1pre296b3tvWmt7b3pve29aa3tvWmt7b1pre296b3tve297b3pve29aa3tvWmt7b1pre296b3tvOWdaa1pre29aa3tvWmt6b1prem9aa3pvWmt6b1pre297b3xve297b1prWmtZa1prWmtaazpnW2s6Z7ZarjXHGColU0paa5tzWWt6b3pve298b3xr+V6XUiwlji3xPZ1ve297b3tve297b3tve297b3tve29aa1prWmt7b1pre29aa3pvWmtaa1lrWmtaa3tvOmdbaztnO2f5XtE56hzxPbdWnXM7ZxJG6RwrJZZSfXN7b3tvem97b1pre29ba1xvG2PzQQshEUKdc1prWmt7bzpnGmPYWrA5CyWwNTxrnnNba3tvWmt7b1prWmtaa3tvWmt7b1pre29aa3tvWmt7b1lrWmtaa3prWWtaa1pre29aa1prWmtaa1prW2s6ZztnHGP0PS4psDXZXlxrfG9aa1prWmtaa3tvW2tba1trfG9aa3pvem96b1lrWms5Z1prWmt7b1prW2s6ZzpnOWc6Zxlj+WL4XhpjOmdba1prWmtaa1prWWtaa1lnWWtZa1prWWtaazlnWms5Z1prOWdaazlnWms5Z1prOWdaazlnWms5Z1prOWdaazlnWms5Z1prOWcAAHtve297b3tve296b3tve297b3pve297b3tvem97b3pve296b3tve297b3tve296b3tvem97b3pve296b3tve297b1pre296b3tvWmt7b1pre29aa3tvWmt7b1pre297b3xve298b3tve29aa3pvWmtaa1prWmtaa1trGWO2VjJGtlY6Z713m3N5a1lrem9aa51vXGsaY5dSTSluLRI+fW+cb3tvnHN7b5xze2+cc3tvnHN7b3tvWmt7b1pre29aa3tvWmt6b1prWmtaa3tvWmt8b1trW2s7Zxpj0T0LIdA5+F58bzpnEkIsKU0tt1Z8b3xve297b3pve29aa3tvXGs8Z1ZOLCltLfheW2udc1prfG87Zxpj0T1NKY8x+2J+c3xvWmt7b1pre29aa3tvWmt7b1pre297b3tvWmt7b1prWmtaa3pvWmtaa1prem9aa3tvWmtaa1pre29aa1prOmf7XrpasjmPMa81GmN8b3tve2t7b3xvWmt7a3tvfG9aa3tvem+bb3pvem9Za1prWWt6b1pre29aa3tvWmtbazprO2caZzpnOmdba1trW2taa1trWmtaa1lrWmtZa3prWWtaa1prWms5Z1prOWdaa1prWms5Z1prWmtaazlnWmtaa1prOWdaa1prWms5Z1prOWdaawAAe2+bc3tve296b3tvem97b1pre29aa3tvem97b1pre29aa3tvWmt7b3pve29aa3tvem97b1prem9aa3tvWmt7b3pve29aa3pvWmtaa1prWmtaa3pvWmt6b1pre29aa3tvW2t7b1pre29aa3tvWmt7b1pre29aazpnOWc6ZxljOWd7b5xze296b1hreWtZa3tvfGt8a/peuFZNKW4t0Tl9b3tve297b3tve297b3tve297b3tvWmtaa1pre29aa1prWmtaa1lrWmtZa1prWWtaa1prW2s6ZztnGmMSQuogjjHWWnxvW2vYXlROllI7a513e297b1prem9aa1prWmtbaztnuFpMKSslU0p8b5xvWmtba3xv+V7yQU0pTilWSn5vW2t7b1pre29aa3tvWmtaa1prWmtaa3tvWmt7b1prWmtZa1prWmtaa1lrWmtaa1prWmtaa1prWmtaa1prOWc6axpjHGe5WiwlTSnxPTtnfG9ba3tvW2t7a1tre29ba1trWmt7b1pre29Za1prWWdZa1lrem9aa3tvW2t7b1trW29ba1trO2dbazpnW2s6Z1prWmtaazlnWWtZa1prWWtaa1lrWms5Z1prOWdaazlnWms5Z1prOWdaazlnWms5Z1prOWdaazlnWms5Z1prOWdaazlnAACcc3tve297b3tve297b3pve297b3tve297b3tve296b3tvem97b3pve297b3tvem97b3tve29aa3tvem97b3pve297b3tvWmt6b1pre29aa3tvWmt7b1pre296b3tvem97b3tve29aa3tvWmt7b1pre297b3tvWms5ZxhjOWc5Z3xvWmtaa1lrem95a3pve298b1xrO2PZWo4tbi3ROVxrnHN7b3tve2+cc3tve297b5xze297b1pre29aa3tvWmt7b1prWmtaa1prWWtaa1lrWms6Z1trOmtba1RKTC1tMddaWmtbazpnGmcaY31ze297b3pvem9aa3pvWmtbaztrXGvYWm4tbC1TSntve29aa3tre286ZzNGsDUtJfQ9f3N8b3tve29aa3tvWmt7b1prWmtaa3tvWmt7b1prWmtaa1prWmt7b1prWmtaa1prWmt7b1pre29aa3tvWmtaazprXGs8a9leVEptLW4xVEpca51zO2dba3xvnHM6Z1pre297b3tve29aa3pvWmt6a1lrem9aa3tvW2t8b3tvfG9ba3xvW2t8b1trW2s6a1trWmtba1prWmtZa1prWmtaa1prWmtaa1prWmtaa1prWmtaa1prWmtaa1prWmtaa1prWmtaa1prWms5Z1prWmtaazlnWmsAAHpve296b3tvWmt6b1pre29aa3tvem97b3pve296b3tvWmt7b1pre29aa3tvWmt7b3pve296b3tvWmt6b1pre29aa3pvWmt6b1prem96b3tvWmt6b1prem9aa3pvWmt7b3tve297b3tvWmtaa1prW2taa1prWmt7b1prWmtaa3tvW29ba1prem95b3lvWWt7b1trXGsbY/pebi1uLbA1fWt7b3tve297b3tve297b3tve297b1prWmtaa1prWmtaa1prWmtaa1prWWtZa1lrWWtaa1prWmtba1tr2F4SRlNKOWd7bzlnOmcZYxpnXGtba1prem9Za3pvWWtaazprW2s7Z/lejjVMKfA9W2tba3tvWmt7bzpnllLROW8tsjmfd1xre29aa3tvWmtaa1pre29aa1prWmtaa1prWmtaa1prWmtaa1prWmtaa1prWmt7b1prWmtaa3tvWmtaa1prWmtbazpn+F4aZxJCbS1tLXVOO2dca3xvfG9aa1prWmt6b1tre29aa3tvWmt6b1lrWmtZa3prWmt7b1trW2tba1xrWmtba1trW2s6Z1prOmtbazpnWms6Z1prOWdaa1prWmtaa1prWmtaazlnWms5Z1prOWdaa1prWms5Z1prWmtaazlnWms5Z1prOWdaazlnWms5ZwAAe296b3tvem97b3pve297b3tve2+bc3tve297b3tve297b3pve29aa3tvWmt7b3tve297b3tvem97b1pre296b3tvWmt7b1pre296b3tve297b1pre29aa3tvWmt7b3tve297b3tve297b1pre29aa3tvWmtaa1pre296a3tve298b1tve296b3pvWWt6b3tve2tca1xnG2OPMU0p0Tlca5xve2+cc3tve297b3tve297b1pre29aa3tvWmt7b1prW2taa3tvWmt6b1lrWmtZa3tvWWtaazlnWms6Z/hiOmd7b5tzW2tbb3xvW2udc1tre296b3pvWWt6b1prW2tba1trO2czRgohrzU6Z5xze296a1prW2vXWhNCkTGyNX9vfG9aa3tvWmt7b1pre29aa1prWmt7b1pre29aa3tvWmtba1pre29aa1trWmt7b1trW2taa3tvWmt7b1pre29aa3pvGGOcbxljGmOvNY8xTSm3Vlxrv3dbazlnm2+bczhje29ba3tve297b3pvem9Za3pvWmt7b1tre29ba1xrW2tba1prW2taa1trWmtba1prWms6Z1prWmtaa1prW2taa1prWmt7b1prWmtaa1prWmtaa1prWmtaa1prWmtaa1prWmtaa1prWmtaazlnWmtaa1prAABaa3tvWmt7b3pve296b3tvem97b3pve297b3tvem97b3pve29aa3pvWmt7b1pre297b3tvWmt7b1prem9aa3pvWmt7b1pre296b3tvWmt7b1prem9aa3pvWmt7b1pre296b3tvWmt7b1tre29aa1tre29aazlnWmtaa1prOWdaa1pre29aa1lrWWt5b3pre29ba3xrPGcbY28tTSmwMX1rfG97b3tve297b3tvWmt7b1prWmtaa1prWmt7b1prWmtaa1trWmt6b1premtZa1lrWWtZZ1lrOWcYY1prOWeccxhjWWs5Z3xvfG9ba1trOmt6b3pvWWt6b1prWms6a1trO2dba7dWrzVTSlxre2t7b1prWmtaa/le80GyOVEtHWdca3tvWmt7b1pre29aa1prWmtaa1prWmtaa1prWmtaa1prW2taa1trWmtba1prW2taa1trWmt7b1prWmtaa3pvOGd6bxhjnG/YWtlesDUtKbE5uFY7Z1trOWd7b3pvWGd7b3tvWmt7b3pve29Za1prWmt6b1pre29ba1trO2tba1prWms5ZzlnWmtbazpnWms6Z1prOmc6azpnW2s6a1trWmtaa1prWmtaa1prOWdaazlnWms5Z1prOWdaazlnWmtaa1prOWdaazlnWms5Z1prWmsAAHtvem97b3pvm3N7b5xze297b3tve297b5tze297b3tve296b3tvWmt7b1pre296b5tze297b3pve29aa3tvWmt7b3tve297b3tvem96b1pre29aa3tvWmt7b3pve296b3tvWmt7b1pre297b3tve297b1prWmt6b3tvWmtaa1prW297b5xzem96b3pvem85Z3tvXGtcaxpjjzFMKbA1fGucc3tve297b3tve297b1pre29aa1prWmt7b3tve29aa3tvW2t7b1pre29aa3prWWtZZ1lnnHNaa1prWms6Z1prnHN7b1prW2tbazpnfG97b3tvem96b3pre29aa1trWmtbaxpjW2u2VlxrfG9aa3prnHNaa3xvGWMzRtI5kDH6Xnxve297b1pre29aa3tvWmt7b1pre29aa3tvWmt7b1prW2tba3tvWmtba1prW2taa1trWmt7b1tre29aa3tvWmt6a1lnWmsYY3xvGmOXUpA1LSmxObhWXG+dczlnWWuab3tvW297b1pre297b3pvWWt6b1pre29ba3xvW2t8b1tre29aazlnOWdaa1prWms5Z1prOmdaazpnW2taa1trWmtba1pre29aa3tvWmtaazlnWms5Z1prOWdaazlnWms5Z1prWmtaa1prWmtaa1prWmtaawAAem97b3pve296b3tve297b1pre297b5tzem97b3pve29aa3tvWmt7b1pre297b3tvWmt7b3tve297b3tve297b3tve297b3tve297b3tve29aa1prWmtaa1pre29aa1pre297b3tve29aa3tve297b1pre297b3tvWmtaa1pre29aa3tvWmt6b1prWmtaa3tvWmtba1trGWPPOegcrjU5Z3tve297b3tve297b1pre29aa3tvWmt7b1pre29aa3tvWmt7b1pre29aa1prOWdZazhnWmtaa1prOWd7b3tvWmtaa1prWmtba1prW2taa1prWmt6b1pre29aa3tvW2t7bzpnOmcZZ1prW2t8b1trWmtaa5xzOWc6Z9dajjFMKfleWmtaa1pre29aa1prWmtaazlnWmtaa3tvWmt7b1prWmtaa1prWmt7b1pre29aa3tvWmt7b3tve29aa1prWmt7bzlnWmtaa1prOmc7a/leuVrLHC4pTi0bY11vW2taa3tvWmt7b1pre29aa1prWmtaa1lrWmtaa1prWmtaa1prW2taa1prWmtaa1prWmtaa1prOWdaazpnWms6Z1prWmtaa1prWmtaa1prOWdaa1prWmtaa1prOWdaazlnWmtaa1prOWdaa1prWms5Z1prWmtaazlnAAB7b3tve297b3tve2+bc3tve297b5xze2+bc3tve297b3tve297b3tve297b3tve297b3tve297b3tve297b3tve297b3tve297b3tvnHN7b3tvWmt7b1pre297b3tve2+cc3tve297b3tve297b3tvWmtaa5xze2+cc3tve297b3tvWmt7b1pre29aa3tve297b1prWmsYY7VWUkrWWntve297b3tve297b3tve29aa3tvWmt7b3tve29aa3tve297b1pre297b3tvWmtaa1prWmtaa3tvWmtaa3tvnHNaa3tvWmt7b1pre29aa3tvWmt7b1pre29aa3tvWmt7b1prWms5Z1prWmt7b3tve29aa3tvnHN7b1prWmtzTnNOe297b1pre29aa3tvWmt7b1prWmtaa3tve297b1pre29aa1prWmt7b1pre29aa3tvWmtaa1pre29aa3tvWmtaa1prWmtaa1prWmtba1trO2fZXtI96yCxOdI9XWt9b3xvWmt7b1pre29aa3tvWmt7b1prWmtaa3tvWmtaa1pre29aa1prWmtaa1prWmtaa1prWmtaa1prWmtaa1prWmtaa1prWmtaa1prWmtaa1pre29aa1prWmtaa1prWmtaa1prWmtaa1prWmtaa1prWmtaa1prWmsAAHpve296b3tve297b3tve297b5tze2+bc3tve296b3tve297b1pre29aa3tvWmt7b1pre29aa3tve297b3tve29aa3tvWmt7b3tve297b3tve297b1pre29aa3tvWmt7b3tve297b3tvWmt7b1pre285Z3tve2+cc5xznHNaa3tvWmt7b1pre29aa1prWmt7b3tve285ZzlnGGNaa3tve297b3tvWmt7b3tve29aa3tvWmt7b1pre29aa3tvWmt7b1pre29aa3tvWmtaazlnWmtaa3tvWmtaa1pre297b1prWmtaa1prWmtaa1prWmtaa1pre29aa1prWmtaa1prWmtaa1prOWdaa1prWmtaa3tvOWd7b1prWmtaazlnOWecc1pre29aa1prWmtaa1pre29aa1prWmt7b1pre29aa1prWmtaa1prWmtaa3tvWmtaa1prWmtaa1prWmtaazlnWms5Z1prWWtaa1pre287ZxtnmFbSPU4tby00Sp1zW2t7b1pre29aa1prWmt7b1prWmtaa1prWmtaa1prWmtaa1prWmtaa1prWmtaa1prWmtaazlnWms5Z1prOWdaazlnWmtaa1prOWdaa1prWmtaa1prWmtaazlnWms5Z1prOWdaa1prWms5Z1prWmtaazlnWmtaawAAe297b3tve2+bc3tvm3N7b5tze2+cc3tvm3N7b3tve297b3tve29aa3tve297b3tve297b3tve297b3tve297b3tve297b3tve297b5xze297b3tve29aa1prWmt7b3tvnHN7b3tve297b1pre29aa1pre2+cc5xznHN7b3tvWmt7b3tve29aa3tvWmt7b3tve297b5xzWmtaa1pre29aa3tve297b3tve297b3tvWmt7b3tve29aa3tve297b1pre297b3tvWmt7b1prWmtaa1pre297b1pre297b3tvWmt7b1pre29aa3tvWmt7b1pre297b3tvWmt7b1prWmtaa3tvWmt7b1prWmtaa3tve297b1pre29aa1prWmt7b1pre297b3tvWmtaa1pre297b3tvWmt7b1pre29aa3tvWmt7b1pre29aa3tvWmt7b1prWmtaa3tvWmt7b1prWmtaa1prWmtaa1lre29ba1trO2cbZ/pebzFuLY81t1acc3tve29aa3tvWmt7b1pre29aa3tvWmtaa1pre29aa1prWmt7b1prWmtaa1prWmtaa1prWmtaa1prWmtaa1prWmtaa1prWmtaa1prWmtaa1prWmtaa1prWms5Z1prWmtaazlnWmtaa1prWmtaa1prWmtaa1prAAB6b3tvem97b3pve297b3tvWmt7b3tve29aa3tvWmt7b1pre29aa3tvWmt7b3tve29aa3tvWmt7b1pre297b3tvWmt7b1pre297b3tve297b1pre29aa3tvWmtaa1pre297b3tve297b1prWmtaa3tve297b3tvnHN7b3tvWmt7b1pre297b3tvWmtaa1pre29aa3tve297b1prWmt7b5xzWmt7b1pre297b3tvWmt7b1pre29aa3tvWmt7b1pre29aa3tvWmt7b1prWmtaa1prWmtaa1prWmtaa1prWmtaa1prWmtaa3tvWmtaa1pre297b3tvWmt7b1prWmtaa1prWmt7b1prWms5Z1prWmt7b3tvWmtaa3tvOWdaa1prWmtaa3tvWmtaa1prWmtaa3tvWmtaa1pre29aa1prWmtaa1prWmtaa3tvWmtaa1prWmtaa3tvWmt7b1prWmtaa3tvWmtaa1lrWmtZa1prOmtbaxtnG2dVSm4x0T1TSpxzWWtaa1prWmtaa1prWmtaa3tvWmtaa1prWmtaa1prWmtaa1prWmtaa1prWmtaa1prWms5Z1prOWdaazlnWms5Z1prOWdaazlnWms5Z1prWmtaazlnWms5Z1prOWdaazlnWms5Z1prWmtaazlnWmtaa1prOWcAAHtve297b3tve297b5tze297b3pvm3N7b3tvWmt7b3pve297b3tve297b3tve297b3tvWmt7b3tve297b3tve297b3tve297b3tve297b3tve297b5xze297b1pre297b5xze297b3tve29aa3tvWmucc3tvnHN7b3tvWmt7b3tve297b3tve297b1pre297b3tvWmtaa3tvnHN7b5xznHN7b1pre297b3tve297b1pre29aa3tve297b1pre297b3tvWmt7b1prWmtaa3tvWmt7b1pre29aa1prWmtaa1prWmtaa3tve29aa1pre297b3tve297b3tve29aa3tvWmt7b3tve29aa1prWmt7b3tve29aa3tve297b1pre297b3tvWmt7b1pre29aa3tve297b1pre29aa3tvWmt7b1pre29aa3tvWmt7b1pre29aa3tvWmt7b3tve29aa3tvWmt6b1lrWmtZa3prWWdaa1trXGv6YhtnVEqWUjpnWWtaa1prWmt7b1pre29aa3tvWmtaa1pre29aa1prWmt7b1pre29aa3tvWmtaa1prWmtaa1prOWdaa1prWmtaa1prWmtaazlnWmtaa1prWmtaa1prWmtaa1prWmtaa1prWmtaa1prWmtaa1prWmtaa1prWmtaawAAem97b3pve297b3tve297b1pre297b3tvem97b1pre297b3tvWmt7b1pre29aa3tvWmt7b1pre29aa3tvWmt7b3tve29aa3tvWmt7b1pre29aa3tve2+cc3tve29aa3tve297b1pre29aa3tvWmt7b3tve297b3tvWmt7b1pre29aa3tvWmt7b1pre29aa3tve297b1prWmt7b5xzWmtaa1pre29aa3tve297b1pre29aa3tvWmt7b1pre29aa3tvWmt7b1prWmtaa1prWmtaa1pre29aa1prWmtaazlnWmtaa3tve297b1prWmtaa3tvWmt7b1pre29aa3tvWmt7b1pre29aa3tvWmt7b1pre285Z1prWmtaa1pre29aa3tvWmt7b1pre29aa3tvWmt7b1pre29aa1prWmtaa1prWmtaa3tvWmt7b1prWmtaa1prWmt7b1pre29aa1prWmtaa1prWWtZZ3lvWWtZazlnW29ca1trGmdba/he3ns4Y3pvWWtaa1prWmtaa1prWmtaa1prWmtaa1prWmtaa1prWmtaa1prWmtaa1prWms5Z1prOWdaazlnWms5Z1prOWdaazlnWms5Z1prOWdaazlnWmtaa1prWmtaa1prWmtaa1prWmtaazlnWmtaa1prOWdaazlnAAB7b3tve297b5tze2+bc3tve297b5xze2+bc3tve297b3tve297b1pre297b3tve297b1pre29aa3tve297b3tvnHN7b3tve297b3tve29aa1pre2+cc3tve29aa1prWmt7b3tve29aa3tvWmt7b1pre297b3tve297b3tve29aa3tve297b3tve29aa3tve29aa3tvnHN7b3tvnHOcc1pre29aa3tvWmt7b3tve29aa3tve297b1pre297b3tvWmt7b1pre29aa1prWmt7b1pre297b3tvWmt7b1prWmtaa1pre297b3tve29aa3tve297b1pre29aa3tvWmt7b1pre297b3tve297b3tve29aa1prnHN7bzlnWmt7b1prOWd7b1pre297b3tve297b1pre29aa3tvWmt7b1pre29aa3tvWmt7b1pre29aa1prWmtaa1pre29aa3tvWmtaa1prWmtZa1lreW96b1lremt7b1trXG87azpnfG/3XptzWWtaa1prWmtaa3tvWmt7b1pre29aa1prWmt7b1prWmtaa3tvWmt7b1prWmtaa1prOWdaazlnWms5Z1prWmtaazlnWmtaa1prOWdaa1prWmtaa1prWmt7b1pre29aa1prWmtaa1prWmtaa1prWmtaa1prWmsAAHtve297b3tvem97b3tve297b3tve297b3pve297b5tzWmt7b1pre29aa3tvWmt7b3tve29aa3tve297b1prWmtaa3tve297b1pre29aa3tvWmt7b1pre29aa3tvWmt7b1prWmtaa1prWmt7b3tve297b3tve297b3tve29aa3tvWmt7b1pre29aa3tvWmt7b1pre29aa3tvWmt7b3tve29aa3tvWmt7b1pre29aa3tvWmtaa1pre29aa3tvWmt7b1pre29aa3tvWmtaa1pre29aa1prWmt7b1prWmtaa1prWmt7b3tve29aa1prWmt7b1pre29aa3tvWmt7b1pre29aa1prWmtaa1prWmtaa3tvWmtaa1prWms5Z1prWmt7b1pre297b3tvWmt7b1prWmtaa3tvWmtaa1prWmtaa3tvWmt7b1pre29aa1prWmtaa1prWmtaa1prWmtaa1prWms5Z1prWWt5a1hrWWtZa1prWmtbaztnW2taa1prWWt6b1pre29aa1prOWdaa1prWmtaa1prWmtaa1prWmtaa1prWmtaa1prWms5Z1prOWdaazlnOWc5Z1prOWdaa1prWms5Z1prOWc5ZzlnWmtaa1prWmtaa1prWmtaa1prWmtaazlnWmtaa1prOWdaa1prWms5ZwAAm3N7b5tze297b3tvnHN7b5tze2+bc3tve297b5tze297b3tve297b3tve297b3tve297b3tvWmt7b1pre29aa3tve297b3tve297b3tvWmt7b3tve297b3tvWmt7b1pre29aa1prWmt7b3tve297b3tve297b3tve297b3tve297b3tve297b3tve297b3tve29aa3tve297b3tve297b3tvWmt7b3tve297b3tvWmt7b1pre29aa3tvWmt7b3tve29aa3tvWmt7b1pre29aa3tvWmt7b1pre29aa3tvWmt7b3tvnHN7b1prWmt7b3tve29aa3tvWmt7b1pre29aa1prWmt7b1pre29aa3tvWmtaa1pre29aa1prWmt7b1pre297b3tvWmtaa1pre29aa3tvWmt7b1prWmtaa3tvWmt7b1pre29aa3tvWmt7b1pre29aa3tvWmtaa1prWmtaa1prWmt6b1lreWtZa3prWWt7b1trW2taa1trWmt6b1lrem9aa3tvWmtaa1prWmtaa3tvWmt7b1pre29aa3tvWmtaa1prWmtaa1prWmtaa1prWms5Z1prWmtaa1prWmtaa1prWmtaazlnWms5Z1prWmtaa1prWmtaa1prWmtaa1prWmtaa1prWmtaa1prWmtaa1prAAB6b3tvem97b3tve297b5tze297b3tve297b3tve297b1pre29aa3tvWmt7b1pre297b3tvWmt7b1pre29aa3tvWmt7b1pre297b3tvWmt7b3tve297b3tve297b1pre29aa3tvWmtaa1pre29aa3tve297b3tve297b3tvWmt7b3tve29aa3tvWmt7b1prWmtaa3tvWmt7b3tve29aa3tvWmt7b1pre297b3tvWmt7b1pre29aa3tvWmt7b1pre29aa3tvWmtaa1pre29aa3tve297b1prWmtaa1prWmtaa1pre29aa3tvWmtaa1pre29aa1prWmtaa1prWmtaa1prWmtaa1prWmtaa3tvWmtaa1prWmtaa1prWmtaa1pre297b3tvWmtaa1pre29aa1prWmtaa1prWmtaa1prWmtaa1pre29aa1prWmtaa1prWmtaa3tvWmtaa1prWmtaa1prWmtaa1lrWWtZa3lrWGtaa1prW2s6Z1prWmt6a1lrWWtZa1prWmtaa1prWmtaa1prWmt7b1prWmtaa3tvWmtaa1prWms5Z1prOWdaazlnWms5Z1prOWdaa1prWms5Z1prOWdaazlnOWc5Z1prOWdaa1prWms5Z1prWmtaazlnWmtaa1prOWdaa1prWms5Z1prOWcAAHtve297b3pvm3N7b5xze2+bc3tvm3N7b5xze2+bc3tve297b3tve297b3tve297b5xze297b3tvnHN7b5xze297b3tve297b3tve297b1pre297b3tve297b3tve297b3tve297b1pre297b3tvWmt7b3tve297b3tve297b1pre297b3tve297b1pre29aa3tvWmt7b3tve297b3tvWmt7b3tve297b3tve297b3tve29aa3tvWmt7b1pre29aa3tvWmt7b1pre29aa3tve2+cc3tve29aa3tvWmt7b1prWmtaa3tvWmt7b1pre29aa3tvWmtaa1pre29aa1prWmt7b1pre29aa3tvWmt7b1prWmtaa1prWmtaa1pre297b3tve297b1pre297b3tvOWdaa1prWmtaa3tvWmtaa1pre29aa3tvWmt7b1pre29aa3tvWmt7b1pre29aa1prWmtba1prWmtZa3lvWWt5a1lre29ba1trWmt7b1prWWtZa1prWmtaa1pre29aa1prWmt7b1pre29aa3tvWmt7b1pre29aa1prWmtaa1prWmtaa1prWmtaa1prWmtaa1prWmtaa1prWms5Z1prWmtaa1prWmtaa1prWmtaa1prWmtaa1prWmtaa1prWmtaa1prWmtaawAAWmt7b1pre296b3tve2+cc3pve297b5tze297b3tve29aa3tvWmt7b1pre29aa3tvWmt7b3tvnHOcc5xze297b1pre29aa3tvWmt7b1pre297b3tve297b3tve29aa3tvWmt7b1pre29aa3tvWmt7b1pre29aa3tvWmt7b1pre29aa3tve297b1prWmtaa1prWmtaa1pre29aa3tvWmt7b1pre297b3tvWmt7b1pre29aa3tvWmt7b1pre29aa3tvWmtaa1prWmtaa3tvWmt7b3tve29aa1prWmtaa1prWmtaa1prWmt7b1prWmtaa3tvWmtaa1prWmtaa1prWmtaa1prWmtaa3tvWmtaa1prWms5Z1prWmtaa1prWmtaa3tvWmt7b1prWmtaa3tvWms5ZzlnWmtaa1prWmtaa1prWmtaa1prWmtaa1prWmtaa3tvWmt7b1pre29aa1prWmtba1prW2taa3prWWt5a1lrWmtaa1trWmtba1prWmtZa1lrOWdaa1prWmtaa1prWmtaa1prWmtaa1prWmtaa1prWmtaa1prWmtaazlnWms5Z1prOWdaa1prWmtaa1prWmtaazlnWms5Z1prOWdaa1prWms5Z1prWmtaazlnWmtaa1prOWdaa1prWms5Z1prWmtaazlnAAB7b3pve297b3tve2+bc3tve297b5xze2+cc3tvm3N7b3tve297b3tve297b3tve297b1pre297b5xze297b1pre29aa3tve297b3tve297b3tve297b3tve297b3tve297b3tve297b3tvWmt7b3tve29aa3tve297b3tve297b3tve297b3tve29aa3tvWmt7b1pre297b3tvWmt7b3tve29aa3tve297b1pre29aa3tvWmt7b1pre29aa3tvWmt7b1pre29aa3tvWmt7b3tve29aa3tvWmtaa1pre29aa3tvWmt7b1pre29aa3tvWmt7b1pre29aa3tvWmt7b1pre29aa3tvWmt7b1pre29aa1prWmt7b1prWmtaa3tve297b1pre29aa3tve29aaxhjWmtaa3tvWmt7b1pre29aa3tvWmt7b1pre29aa3tvWmt7b1pre29aa3tvWmt7b1prW2tba3tvWmt6b1lrem9Za3tvWmtba1tre29aa3prWWtaa1prWmtaa1prWmtaa1prWmtaa3tvWmtaa1pre29aa1prWmtaa1prWmtaa1prWmtaa1prWmtaa1prWmtaa1prWms5Z1prWmtaa1prWmtaa1prWmtaa1prWmtaa1prWmtaa1prWmtaa1prWmtaa1prWmsAAHpve29aa3tvem97b3pve296b3tve2+bc3tvm3N6b3tvWmt7b1pre29aa3tvWmt7b1pre29aa3tve297b3tve29aa3tvWmt7b3tve29aa3tvWmt7b1pre29aa3tvWmtaa1pre297b3tvWmt7b1pre29aa3tvWmt7b1pre29aa3tvWmt7b1pre29aa3tvWmtaa1pre29aa3tvWmt7b1pre29aa3tvWmt7b1pre29aa1prWmt7b1pre29aa3tvWmtaa1pre29aa1prWmt7b1pre29aa1prOWdaa1prWmtaa1prWmt7b1prWmtaa1prWmtaa1pre29aa1prWmt7b1prWmtaa3tvWmtaa1prWmtaa1prWmtaa1prWmtaa1prWmt7b1pre29aa1prWmt7bzlnGGNaa1prWmt7b3tve29aa3tvWmtaa1prWmtaa3tvWmt7b1pre29aa3tvWmt7b1prW2tba1xrWmtaa1lreW9Za1prWmtbazprW2taa3pvWWtZazlnWms5Z1prOWdaa1prWmtaa1prWmtaa1prWmtaa1prWmtaazlnWms5Z1prOWdaa1prWmtaa1prWmtaazlnWms5Z1prOWdaazlnWms5Z1prOWdaazlnWms5Z1prOWdaa1prWms5Z1prWmtaazlnWms5ZwAAm3N7b3tvem97b3tve297b3tve2+bc3tvnHN7b3tvem97b3tve297b3tve297b3tvnHN7b3tvWmt7b3tvnHN7b3tvWmt7b3tve297b3tve297b3tve297b3tvWmt7b1pre297b5xze297b1pre29aa3tvWmt7b3tve297b3tve297b1pre29aa3tve297b1pre29aa3tvWmt7b3tve29aa3tvWmt7b1pre29aa3tvWmt7b3tve29aa3tvWmt7b1pre297b3tvWmt7b1pre29aa1prWmtaa1pre29aa1prWmt7b1pre29aa3tvWmtaazlne29aa3tvWmt7b1pre29aa3tvWmt7b1pre29aa1prWmt7b1pre29aa1prWmtaa1pre29aa1prOWd7b3tvWmsYY1prWmt7b3tvnHN7b3tvWmt7b1pre29aa3tvWmt7b1pre297b3tvWmt7b1pre29aa1tvW2t7b1prem9Za3pvWWtaa1prW2tba3tvem96b1lrWmtaa1prOWdaa1prWmtaa1prWmtaa1prWmtaa1prWmt7b1prWmtaa1prWmtaa1prWmtaa1prWmt7b1prWmtaa1prOWdaa1prWmtaa1prWmtaa1prWmtaa1prWmtaa1prWmtaa1prWmtaa1prWmtaa1prAAB7b3tve297b1pre297b3tve297b3tve297b3tve2+cc1pre29aa3tvWmt7b1pre29aa3tve297b3tve297b3tvWmt7b3tve297b3tve297b1pre29aa3tvWmtaa1prWmtaa3tve297b3tve29aa3tve297b1pre29aa3tve297b1prWmt7b3tve297b1prWmtaa1prWmt7b1pre29aa3tvWmtaa1prWmtaa1prWmtaa1prWmtaa3tvWmt7b1pre29aa1prWmt7b1pre29aa3tvOWdaa1pre29aa1prWmtaa1prWmtaa3tvWmtaa1prWmtaa1prWmtaa1prWmtaa1prWmtaa1pre29aa1prWmtaa1prWmtaa1prWmtaa1pre29aa1prWmtaa1prWmtaa3tvWmt7b1pre29aa1prWmtaa1prWmtaa3tvWmt7b1pre29aa3tvWmt7b1prWmtaa1prWmtba1tre29aa3pvWmtaa1prWms5Z1prWmt7b1prWmtaa1prWmtaa1prWmtaa1prWmtaa1prWms5Z1prOWdaa1prWmtaa1prWmtaa1prWms5Z1prWmt7bzlnWms5Z1prOWdaazlnWms5ZzlnOWdaazlnWms5Z1prOWdaazlnWmtaa1prWmtaazlnWmtaa1prWmsAAHtve297b3tve297b3tve297b3tvnHN7b5xze2+cc3tve29aa3tvWmt7b1pre297b3tve297b3tve297b3tve297b3tve297b3tve297b3tve297b3tve297b1pre29aa3tve297b3tve297b3tvWmt7b3tve297b3tve297b3tvWmtaa3tve297b3tve29aa3tvWmt7b3tve297b3tve297b1pre29aa3tvWmt7b1pre29aa3tvWmt7b1pre297b3tvWmt7b3tve29aa3tvWmtaa1pre29aa1prWmt7b1pre29aa3tvWmt7b1pre29aa3tvWmt7b1prWmtaa1prWmt7b1pre29aa3tvWmt7b1pre29aa3tvWmtaa1pre29aa3tvWmt7b1prWmtaa3tvWmt7b3tve297b3tvWmt7b1prWmtaa3tvWmt7b1pre297b3tvWmt7b1pre29aa3tvWmt7b1pre297b3tvWmt7b1prWmtaa1prWmt7b1pre29aa1prWmtaa1prWmtaa1prWmtaa1prWmtaa1prWmtaa1prWmtaa1prWmtaa1prWmtaa1prWmt7b1prWms5Z1prWmtaa1prWms5Z1prOWdaazlnWmtaa1prWmtaa1prWmtaa1prWmtaa1prWmtaa1prWmtaawAAWmt7b1pre297b3tve297b3tve297b3tve297b3tve297b3tvWmt7b1pre29aa3tvWmt7b1pre29aa3tvWmt7b3tve29aa3tve297b1pre29aa3tvWmt7b3tve29aa3tvWmt7b1pre29aa3tvWmt7b3tve29aa3tvWmt7b1pre29aa3tvWmt7b3tve29aa1prWmt7b1pre29aa3tvWmt7b1prWmtaa1prWmtaa1prWmtaa3tvWmt7b1pre29aa3tvWmt7b1pre29aa3tvWmtaa1prWmtaa1prWmtaa1prWmtaa1prWmtaa1pre29aa1prWmt7b1prWmtaa1prWmtaa1prWmtaa1prWmt7b1pre29aa1prWmtaa1prWmtaa1prWmtaa1prWmtaa1prWmtaa1pre29aa3tvWmt7b1pre29aa1prWmtaa1pre29aa3tvWmt7b1prWmtaa1prWmtaa1pre29aa3tvWmt7b1prWmtaa1prOWdaa1pre29aa1prWmtaa1prWmtaa1prWmtaa1prWms5Z1prOWdaazlnWmtaa1prWmtaa1prWmtaa1prOWdaa1prWmtaa1prOWdaa1prWms5Z1prOWdaazlnWms5Z1prOWdaazlnWms5Z1prWmtaazlnWmtaa1prWmtaa1prAAB7b3tve297b3tve2+cc3tve297b3tve2+cc3tvnHN7b3tve297b1pre297b3tve297b1pre29aa3tve297b3tve297b3tve297b3tve297b3tve297b3tvnHN7b3tve297b1pre29aa3tve297b1pre297b3tve297b3tve297b3tvWmt7b3tve297b3tvWmt7b1pre29aa3tve297b1pre29aa3tvWmt7b1pre29aa3tvWmt7b1pre29aa3tvWmt7b1pre29aa3tvWmt7b1pre29aa3tvWmt7b1prWmtaa3tvWmt7b1pre29aa3tvWmt7b1pre29aa3tvWmtaa1prWmtaa1prWmt7b1pre29aa3tvWmtaa1pre29aa3tvWmt7b1prWmtaa3tvWmt7b1pre29aa3tvWmt7b3tve297b3tvWmt7b1pre29aa3tvWmt7b1pre29aa3tvWmt7b1pre29aa3tvWmt7b1prWmtaa3tvWmt7b1pre29aa1prWmtaa1prWmtaa1prWmtaa1pre29aa1prWmtaa1prWmtaa1prWmtaa1prWmtaa1prWmtaa1prWmtaa1prWmtaa1prWmtaa1prOWdaa1prWmtaa1prWmtaa1prWmtaa1prWmtaa1prWmtaa1prWmtaa1prWmsAAFpre29aa3tve297b3tvnHNaa3tve297b3tve297b3tve297b3tve29aa3tvWmt7b1pre29aa3tvWmt7b1pre297b3tve297b1pre29aa3tvWmt7b1pre297b5xze297b1prWmtaa3tvWmt7b1pre29aa3tvWmt7b1pre29aa3tvWmt7b1pre29aa3tvWmt7b1prWmtaa3tvWmt7b1prWmtaa1prWmtaa1prWmtaa1prWmt7b1pre29aa3tvWmt7b1prWmtaa3tvWmt7b1pre29aa3tvWmt7b1prWmtaa3tvWmtaa1pre29aa1prWmtaa1pre29aa3tvWmtaa1prWmtaa1prWmtaa1prWmtaa3tvWmtaa1prWmtaa1prWmtaa1prWmtaa1prWmtaa1pre285Z1prWmtaa1pre29aa3tvWmtaa1prWmtaa1prWmt7b1prWmtaa1prWmtaa1pre29aa1prWmt7b1prWmtaa1prWmtaa1prWmtaa1prWmtaa1prWmtaa1prWmtaa1prWmtaa1prWmtaazlnWms5Z1prWmtaa1prWmtaa1prWmtaazlnWms5Z1prOWdaa1prWms5Z1prOWdaazlnWms5Z1prOWdaazlnWms5Z1prOWdaazlnWms5Z1prOWdaa1prWms5ZwAAe297b3tve297b3tvnHN7b3tve297b3tve297b5xze2+cc3tve297b3tvWmt7b3tve29aa3tve297b3tve297b3tve297b3tve29aa3tvWmt7b1pre297b5xze2+cc3tve29aa3tvWmt7b1pre297b3tve297b3tve297b3tve297b1pre297b3tvWmt7b1pre29aa3tvWmt7b1pre29aa1prWmt7b1prWmtaa3tvWmt7b1pre29aa3tvWmt7b1pre29aa3tve297b1pre29aa3tve297b1prWmtaa3tve297b1pre29aa3tvWmt7b1pre29aa3tvWmt7b1pre29aa3tvWmt7b1pre29aa3tvWmt7b1prWmtaa1prWmt7b1prWmtaa1prWmtaa1pre29aa1prWmtaa1pre29aa3tvWmt7b1pre29aa3tvWmt7b1pre29aa3tvWmt7b1pre29aa3tvWmt7b1prWmtaa3tvWmt7b1pre29aa1prWmtaa1prWmtaa1prWmtaa1prWmtaa1prWmtaa1prWmtaa1prWmtaa1prWmtaa1prWmtaa1prWmtaa1prOWdaa1prWmtaa1prWmtaa1prWmtaa1prWmtaa1prWmtaa1prWmtaa1prWmtaa1prWmtaa1prWmtaa1prAAB7b3tvWmt7b3tve297b3tve297b1pre297b3tve297b3tve297b3tvWmt7b1pre29aa3tvWmt7b3tve297b3tve297b1pre29aa3tvWmtaa1prWmtaa3tve2+cc3tve297b3tvWmt7b1pre29aa3tvWmt7b1pre297b3tvWmt7b1pre29aa3tvWmt7b1pre29aa3tvWmt7b1prWmtaa1prWmtaa1prWmtaa1prWmtaa1pre29aa3tvWmt7b1prWmtaa3tvWmt7b1pre29aa1pre297b1prWmtaa1prWmt7b1prWmtaa1prWmt7b1prWmtaa3tvWmt7b1pre29aa1prWmt7b1prWmtaa1prWmtaa1prWmtaa1prWmtaa1prWmtaa1prOWdaa1prWmtaa3tvWmtaa1prWmtaa3tvWmt7b1prWmtaa1prWmtaa1prWmtaa1prWmtaa1pre29aa3tvWmt7b1prWmtaa1prWmtaa1prWmtaa1prWmtaa1prWmtaa1prWmtaa1prWmtaa1prWmtaazlnWms5Z1prOWdaa1prWmtaa1prWmtaa1prWmtaa1prOWc5Z1prWmtaa1prOWdaazlnWms5Z1prWmtaazlnWms5Z1prOWdaazlnWmtaa1prOWdaazlnWms5Z1prOWcAAHtve297b3tve297b3tve297b3tve297b3tve297b3tvnHN7b3tve297b3tve297b3tve297b3tve297b3tve297b3tve297b3tvWmt7b1pre29aa1prWmucc5xznHN7b5xze297b1pre297b3tve297b3tve297b3tve297b1pre297b3tvWmt7b3tve29aa3tvWmt7b1pre29aa1prWmtaa1prWmtaa1prWmtaa1pre297b3tvWmt7b1pre29aa3tvWmt7b1pre29aa3tvWmt7b3tve29aa1prWmt7b1pre29aa3tvWmt7b1pre29aa3tve297b1pre29aa3tvWmt7b3tve29aa3tvWmtaa1pre29aa1prWmtaa1prWmtaa1prWmtaa1prWmtaa3tvWmt7b1pre29aa3tvWmt7b1pre29aa3tvWmt7b1prWmtaa3tvWmt7b1pre29aa3tvWmt7b1pre29aa1prWmtaa1prWmtaa3tvWmtaa1prWmtaa1prWmtaa1prWmtaa1prWmt7b1prWmtaa1prWmtaa1prWmtaa1prWmtaa1prWmtaa3tvWmtaazlnWmtaa3tvWmtaa1prWms5Z1prWmtaa1prWmtaa1prWmtaa1prWmtaa1prWmtaazlnWms5Z1prOWdaawAAWmt7b3tve297b3tve297b1pre29aa3tvWmt7b3tve297b3tve297b3tve29aa3tve297b3tve297b5xze297b3tve297b3tvWmt7b1pre297b3tvWmt7b3tvnHN7b3tve297b3tve29aa3tvWmt7b1pre297b3tve297b3tve29aa3tvWmt7b1pre297b3tvWmt7b1pre29aa1prWmt7b1prWms5Z3tvWmtaa1pre29aa1prWmtaa1prWmtaa3tvWmt7b3tve29aa3tvWmt7b1pre29aa3tvWmt7b1pre29aa3tvWmt7b1prWmtaa3tvWmt7b1pre29aa1prWmt7b1pre29aa3tvWmtaa1pre29aa1prWmtaa1prWmtaa1prWmtaa1prWmtaa1prWmt7b1prWmtaa1prWmtaa1prWmtaa1prWmtaa1prWmtaa1prWmtaa1prWms5Z1prWmtaa1prWms5Z1prOWdaa1pre285Z1prWmtaa1prWmtaa1prWmtaa1prWmtaa1prWmtaa1prWms5Z1prOWdaa1prWmtaa1prOWdaazlnWms5Z1prOWdaazlnWms5Z1prWmtaazlnWmtaa1prOWdaa1prWms5Z1prOWdaazlnWms5Z1prOWdaazlnWms5Z1prOWdaazlnAAB7b3tvnHN7b5xze2+cc3tve297b3tve297b3tvnHN7b3tve2+cc3tve297b3tvWmt7b3tve297b5xze2+cc3tve297b3tve297b1pre297b3tve297b3tvnHN7b5xze2+cc3tvnHN7b3tve297b3tve29aa3tve297b3tve297b3tve297b3tve297b3tve297b1pre29aa1prWmt7b1pre29aa1prWmt7b1prWmt7b1prWmt7b1pre29aa3tvWmt7b1pre297b3tve297b3tve29aa3tvWmt7b1pre29aa3tvWmt7b1pre29aa3tvWmt7b1pre29aa3tvWmt7b1pre29aa3tvWmt7b1pre29aa1prWmt7b1prWmtaa3tvWmtaa1prWmtaa1prWmt7b1prWmtaa3tvWmt7b1pre29aa1prWmt7b1prWmtaa3tvWmtaa1prWmtaa1prWmt7b1prWmtaa1prWmtaa1pre29aa1prWmt7b1pre29aa3tvWmt7b1pre29aa1prWmt7b1pre29aa1prWmtaa1pre29aa1prWmtaa1prWms5Z1prWmtaazlnWmtaa1prWmtaa1prWmtaa1prWmtaa1prWmtaa1prWmtaa1prWms5Z1prOWdaazlnWms5Z1prOWdaazlnWmsAAHtve297b3tve2+cc3tve297b3tve297b3tve297b5xze297b3tve297b3tvWmt7b3tve29aa3tve297b3tve297b3tvWmt7b1pre29aa3tve297b1pre297b3tve297b3tve297b3tve297b1pre29aa3tvWmt7b1pre29aa3tvWmt7b1pre29aa3tvWmt7b1pre29aa1prWmtaa1prWmtaa1prOWdaa1prWmtaa3tvWmtaa1prWmtaa3tvWmtaa1pre29aa3tvWmt7b1pre29aa3tvWmtaa1pre29aa1prWmt7b1prWmtaa3tvWmt7b1pre29aa1prWmt7b1pre29aa3tvWmtaa1prWmtaa1prWmtaa1prWmtaa1prWmtaa1prWmtaa1prWmtaa1prWmtaa1prWmtaa1prWmtaa1prWmtaa1prWmtaa1prWmtaa1prWmtaa1prWmtaa1prWmtaa1prOWdaa1prWmtaa1prWmtaa1prWmtaa1prWmtaa1prWmtaa1prWmtaa1prWmtaa1prWmtaazlnWmtaa1prWmtaazlnWms5Z1prOWdaazlnWms5Z1prOWdaazlnWmtaa1prOWdaa1prWms5Z1prWmtaazlnWms5Z1prOWdaazlnWms5Z1prOWdaazlnOWc5ZwAAe297b3tve2+cc3tve297b5xze297b3tve297b3tve297b3tve297b3tve297b1pre297b3tvWmt7b3tve29aa3tve297b3tve297b3tve297b3tve297b3tve297b3tve297b3tve297b3tve29aa3tvWmt7b1pre29aa3tvWmt7b3tve29aa3tve297b1pre29aa3tvWmt7b1prWmtaa3tvWmtaa1pre29aa1prWmtaa1prWmtaa3tvWmt7b1pre29aa3tvWmt7b3tve29aa3tvWmt7b1pre29aa3tvWmt7b1pre29aa3tvWmt7b1pre29aa3tvWmt7b1pre29aa3tve297b1pre29aa1prWmtaa1prWmtaa3tvWmt7b1prWmtaa1prWmtaa1prWmtaa1prWmt7b1pre29aa1prWmtaa1prWmtaa3tvWmt7b1prWmtaa1prWmt7b1prWmtaa1prWmtaa1prWmtaa1prWmtaa1prWmtaa3tvWmt7b1prWmtaa1prWmtaa1pre29aa3tvWmtaa1prWmtaa3tvWmtaa1prWms5Z1prOWdaazlnWms5Z1prOWdaa1prWmtaa1prWmtaa1prWmtaa1prWmtaa1prWmtaa1prWmtaazlnWmtaa1prOWdaazlnWms5Z1prAABaa3tvWmt7b3tve297b3tve297b1pre29aa3tvWmt7b1pre297b3tve297b1pre297b3tvWmt7b1pre29aa3tvWmt7b1pre29aa3tve297b1pre297b3tvWmt7b3tve29aa3tvWmt7b1pre29aa3tvWmt7b1pre29aa1prWmt7b1pre29aa3tvWmt7b1pre29aa3tvWmt7b1pre29aa1prWmtaa1prWmtaa1prWmtaa1prWmtaa1prWmtaa1prWmtaa1prWmt7b1pre29aa1prWmtaa1prWmtaa1prWmtaa1prWmtaa1prWmtaa1pre29aa3tvWmt7b1pre29aa3tvWmt7b1prWmtaa1prWmtaa1prWmtaa1prWmtaa1prWmtaa1prWmtaa1prWmtaa1prWmtaa1prWmtaa1prWmtaa1prWmtaa1prWmtaa1prWmtaa1prWmt7b1prWmtaa1prOWdaa1prWmtaa1prWmtaazlnWmtaa1prWmtaa1prWms5Z1prWmtaazlnWmtaa3tvWmtaa1prWmtaa1prWmtaa1prWms5Z1prOWdaazlnWms5Z1prOWdaazlnWmtaa1prOWdaa1prWms5Z1prWmtaazlnWms5Z1prOWdaazlnWms5Z1prOWdaazlnWms5Z1prOWcAAHtvWmt7b3tve297b3tve297b3tve29aa3tvWmt7b3tve297b3tve297b3tve297b3tve297b3tve297b3tvWmt7b1pre297b3tve297b3tve297b5xze297b1pre297b3tve297b3tve29aa3tve297b1pre29aa3tvWmt7b1pre297b3tve297b1pre29aa3tve297b3tve297b3tvWmtaa1pre29aa1prWmt7b1prWmtaa1prWmtaa1pre29aa1prWmt7b1pre29aa3tvWmt7b1pre29aa3tvWmt7b1prWmtaa1prWmtaa1pre297b3tvWmt7b1pre29aa3tve297b1pre29aa1prWmtaa1prWmtaa3tvWmtaa1pre29aa1prWmtaa1prWmtaa1prWmtaa1pre29aa3tvWmt7b1prWmtaa3tvWmtaa1pre29aa1prWmt7b1pre29aa3tvWmtaa1prWmtaa1prWmt7b1prWmtaa3tvWmt7b1pre29aa1prWmt7b1prWmtaa3tve29aa1pre29aa1prWmt7b1prWmtaa1prWmtaazlnWmtaa1prOWdaa1prWmtaa1prWmtaa1prWmtaa1prWmtaa1prWmtaa1prWmtaazlnWms5Z1prOWdaazlnWms5Z1prOWdaawAAWmt7b1pre297b3tvWmt7b3tve29aa3tvWmt7b1pre29aa3tve297b3tve29aa3tve297b1pre297b3tvWmt7b1pre29aa3tve297b1pre29aa3tve297b1pre29aa3tvWmt7b1pre29aa3tvWmt7b1pre29aa3tvWmt7b1prWmt7b3tvWmt7b1prWmtaa1prWmt7b1pre297b3tvWmtaa1pre29aa1prWmt7b1prWmtaa1prWmtaa1prWmtaa1prWmtaa1prWmtaa1prWmtaa1prWmtaa1prWmtaa1prWmtaa1prWmtaa1pre29aa3tvWmt7b1prWmtaa3tvWmt7b1pre29aa1prWmtaazlnWmtaa1prWmtaa1prWmtaa1prWmtaa1prWmtaa1prOWdaa1prWmtaa1prWmtaa1prWmtaa1prWmtaa1prWmtaa1prWmtaa1pre29aa3tvWmtaazlnWmtaa1prWmtaa1prWmtaa1prWmtaa1prWmtaa1prWmt7b1prWms5Z1prWmt7b1prWmtaa1prWmtaazlnWmtaa1prOWdaazlnWms5Z1prOWdaazlnWms5Z1prOWdaa1prWms5Z1prWmtaazlnWmtaa1prOWdaazlnWms5Z1prOWdaazlnWms5Z1prOWc5ZzlnAAB7b3tve297b5xze297b3tvnHN7b3tve297b3tve297b3tve297b3tvnHN7b3tve2+cc3tve297b3tve297b1pre297b3tve297b3tve297b3tve2+cc3tve29aa3tve297b3tve29aa3tve297b3tve297b3tve297b1pre29aa3tve297b1pre29aa1prWmt7b1pre297b3tvWmtaa1prWmt7b3tvWmtaa1pre285Z1prWmtaa1prWmtaa1prWmtaa1pre29aa3tvWmtaa1pre29aa1prWmt7b1prWmtaa1prWmtaa1pre29aa3tvWmt7b1pre29aa3tvWmt7b3tve297b3tvWmtaa1prWmtaa1prWmtaa1pre29aa3tvWmtaa1prWmtaa1prWmtaazlnWmtaa3tvWmt7b1prWmtaa1prWmtaa1pre29aa3tvWmtaa1pre29aa3tvWmtaa1prWmtaa1prWmt7b1prWmtaa1prWmtaa1pre29aa3tvWmtaa1pre29aa1prOWdaa1prWmtaa1prWmtaa1prWms5Z1prWmtaazlnWms5Z1prOWdaazlnWms5Z1prWmtaa1prWmtaa1prWmtaa1prWmtaa1prWmtaa1prWmtaa1prOWdaa1prWms5Z1prOWdaazlnWmsAAEYAAAAUAAAACAAAAEdESUMDAAAAIgAAAAwAAAD/////IgAAAAwAAAD/////JQAAAAwAAAANAACAKAAAAAwAAAAEAAAAIgAAAAwAAAD/////IgAAAAwAAAD+////JwAAABgAAAAEAAAAAAAAAP///wAAAAAAJQAAAAwAAAAEAAAATAAAAGQAAAAAAAAAfAAAAKgBAADMAAAAAAAAAHwAAACpAQAAUQAAACEA8AAAAAAAAAAAAAAAgD8AAAAAAAAAAAAAgD8AAAAAAAAAAAAAAAAAAAAAAAAAAAAAAAAAAAAAAAAAACUAAAAMAAAAAAAAgCgAAAAMAAAABAAAACcAAAAYAAAABAAAAAAAAAD///8AAAAAACUAAAAMAAAABAAAAEwAAABkAAAADgAAAHwAAAA/AQAAkgAAAA4AAAB8AAAAMgEAABcAAAAhAPAAAAAAAAAAAAAAAIA/AAAAAAAAAAAAAIA/AAAAAAAAAAAAAAAAAAAAAAAAAAAAAAAAAAAAAAAAAAAlAAAADAAAAAAAAIAoAAAADAAAAAQAAAAlAAAADAAAAAEAAAAYAAAADAAAAAAAAAASAAAADAAAAAEAAAAeAAAAGAAAAA4AAAB8AAAAQAEAAJMAAAAlAAAADAAAAAEAAABUAAAAqAAAAA8AAAB8AAAAnAAAAJIAAAABAAAAVVWPQSa0j0EPAAAAfAAAAA8AAABMAAAAAAAAAAAAAAAAAAAA//////////9sAAAASAB1AG0AYgBlAHIAdABvACAAQwBvAGwAbQBhAG4AAAAMAAAACgAAAA8AAAAKAAAACQAAAAYAAAAGAAAACgAAAAUAAAALAAAACgAAAAQAAAAPAAAACQAAAAoAAABLAAAAQAAAADAAAAAFAAAAIAAAAAEAAAABAAAAEAAAAAAAAAAAAAAAqQEAANEAAAAAAAAAAAAAAKkBAADRAAAAJQAAAAwAAAACAAAAJwAAABgAAAAEAAAAAAAAAP///wAAAAAAJQAAAAwAAAAEAAAATAAAAGQAAAAOAAAAmQAAAD8BAACvAAAADgAAAJkAAAAyAQAAFwAAACEA8AAAAAAAAAAAAAAAgD8AAAAAAAAAAAAAgD8AAAAAAAAAAAAAAAAAAAAAAAAAAAAAAAAAAAAAAAAAACUAAAAMAAAAAAAAgCgAAAAMAAAABAAAACUAAAAMAAAAAQAAABgAAAAMAAAAAAAAABIAAAAMAAAAAQAAAB4AAAAYAAAADgAAAJkAAABAAQAAsAAAACUAAAAMAAAAAQAAAFQAAACgAAAADwAAAJkAAAB+AAAArwAAAAEAAABVVY9BJrSPQQ8AAACZAAAADgAAAEwAAAAAAAAAAAAAAAAAAAD//////////2gAAABWAGkAYwBlAHAAcgBlAHMAaQBkAGUAbgB0AGUACwAAAAQAAAAIAAAACQAAAAoAAAAGAAAACQAAAAcAAAAEAAAACgAAAAkAAAAKAAAABgAAAAkAAABLAAAAQAAAADAAAAAFAAAAIAAAAAEAAAABAAAAEAAAAAAAAAAAAAAAqQEAANEAAAAAAAAAAAAAAKkBAADRAAAAJQAAAAwAAAACAAAAJwAAABgAAAAEAAAAAAAAAP///wAAAAAAJQAAAAwAAAAEAAAATAAAAGQAAAAOAAAAtgAAAJoBAADMAAAADgAAALYAAACNAQAAFwAAACEA8AAAAAAAAAAAAAAAgD8AAAAAAAAAAAAAgD8AAAAAAAAAAAAAAAAAAAAAAAAAAAAAAAAAAAAAAAAAACUAAAAMAAAAAAAAgCgAAAAMAAAABAAAACUAAAAMAAAAAQAAABgAAAAMAAAAAAAAABIAAAAMAAAAAQAAABYAAAAMAAAAAAAAAFQAAABQAQAADwAAALYAAACZAQAAzAAAAAEAAABVVY9BJrSPQQ8AAAC2AAAAKwAAAEwAAAAEAAAADgAAALYAAACbAQAAzQAAAKQAAABGAGkAcgBtAGEAZABvACAAcABvAHIAOgAgAEgAVQBNAEIARQBSAFQATwAgAEEAUgBJAEUATAAgAEMATwBMAE0AQQBOACAAQwBBAFMAVABJAEwATABPAAAACAAAAAQAAAAGAAAADwAAAAkAAAAKAAAACgAAAAUAAAAKAAAACgAAAAYAAAAEAAAABQAAAAwAAAAMAAAADwAAAAoAAAAJAAAACgAAAAkAAAANAAAABQAAAAsAAAAKAAAABQAAAAkAAAAIAAAABQAAAAsAAAANAAAACAAAAA8AAAALAAAADQAAAAUAAAALAAAACwAAAAkAAAAJAAAABQAAAAgAAAAIAAAADQAAABYAAAAMAAAAAAAAACUAAAAMAAAAAgAAAA4AAAAUAAAAAAAAABAAAAAUAAAA</Object>
  <Object Id="idInvalidSigLnImg">AQAAAGwAAAAAAAAAAAAAAKgBAADQAAAAAAAAAAAAAAC/HQAAqw4AACBFTUYAAAEArCEBANIAAAAFAAAAAAAAAAAAAAAAAAAAgAcAADgEAABYAQAAwgAAAAAAAAAAAAAAAAAAAMA/BQDQ9QIACgAAABAAAAAAAAAAAAAAAEsAAAAQAAAAAAAAAAUAAAAeAAAAGAAAAAAAAAAAAAAAqQEAANEAAAAnAAAAGAAAAAEAAAAAAAAAAAAAAAAAAAAlAAAADAAAAAEAAABMAAAAZAAAAAAAAAAAAAAAqAEAANAAAAAAAAAAAAAAAKkBAADRAAAAIQDwAAAAAAAAAAAAAACAPwAAAAAAAAAAAACAPwAAAAAAAAAAAAAAAAAAAAAAAAAAAAAAAAAAAAAAAAAAJQAAAAwAAAAAAACAKAAAAAwAAAABAAAAJwAAABgAAAABAAAAAAAAAP///wAAAAAAJQAAAAwAAAABAAAATAAAAGQAAAAAAAAAAAAAAD8BAADQAAAAAAAAAAAAAABA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8PDwAAAAAAAlAAAADAAAAAEAAABMAAAAZAAAAAAAAAAAAAAAqAEAANAAAAAAAAAAAAAAAKkBAADRAAAAIQDwAAAAAAAAAAAAAACAPwAAAAAAAAAAAACAPwAAAAAAAAAAAAAAAAAAAAAAAAAAAAAAAAAAAAAAAAAAJQAAAAwAAAAAAACAKAAAAAwAAAABAAAAJwAAABgAAAABAAAAAAAAAPDw8AAAAAAAJQAAAAwAAAABAAAATAAAAGQAAAAAAAAAAAAAAKgBAADQAAAAAAAAAAAAAACpAQAA0QAAACEA8AAAAAAAAAAAAAAAgD8AAAAAAAAAAAAAgD8AAAAAAAAAAAAAAAAAAAAAAAAAAAAAAAAAAAAAAAAAACUAAAAMAAAAAAAAgCgAAAAMAAAAAQAAACcAAAAYAAAAAQAAAAAAAADw8PAAAAAAACUAAAAMAAAAAQAAAEwAAABkAAAAAAAAAAAAAACoAQAA0AAAAAAAAAAAAAAAqQEAANEAAAAhAPAAAAAAAAAAAAAAAIA/AAAAAAAAAAAAAIA/AAAAAAAAAAAAAAAAAAAAAAAAAAAAAAAAAAAAAAAAAAAlAAAADAAAAAAAAIAoAAAADAAAAAEAAAAnAAAAGAAAAAEAAAAAAAAA////AAAAAAAlAAAADAAAAAEAAABMAAAAZAAAAAAAAAAAAAAAqAEAANAAAAAAAAAAAAAAAKkBAADRAAAAIQDwAAAAAAAAAAAAAACAPwAAAAAAAAAAAACAPwAAAAAAAAAAAAAAAAAAAAAAAAAAAAAAAAAAAAAAAAAAJQAAAAwAAAAAAACAKAAAAAwAAAABAAAAJwAAABgAAAABAAAAAAAAAP///wAAAAAAJQAAAAwAAAABAAAATAAAAGQAAAAAAAAAAAAAAKgBAADQAAAAAAAAAAAAAACpAQAA0QAAACEA8AAAAAAAAAAAAAAAgD8AAAAAAAAAAAAAgD8AAAAAAAAAAAAAAAAAAAAAAAAAAAAAAAAAAAAAAAAAACUAAAAMAAAAAAAAgCgAAAAMAAAAAQAAACcAAAAYAAAAAQAAAAAAAAD///8AAAAAACUAAAAMAAAAAQAAAEwAAABkAAAAAAAAAAQAAAA/AQAAHQAAAAAAAAAEAAAAQAEAABoAAAAhAPAAAAAAAAAAAAAAAIA/AAAAAAAAAAAAAIA/AAAAAAAAAAAAAAAAAAAAAAAAAAAAAAAAAAAAAAAAAAAlAAAADAAAAAAAAIAoAAAADAAAAAEAAAAnAAAAGAAAAAEAAAAAAAAA////AAAAAAAlAAAADAAAAAEAAABMAAAAZAAAAA4AAAAEAAAAJwAAAB0AAAAOAAAABAAAABoAAAAaAAAAIQDwAAAAAAAAAAAAAACAPwAAAAAAAAAAAACAPwAAAAAAAAAAAAAAAAAAAAAAAAAAAAAAAAAAAAAAAAAAJQAAAAwAAAAAAACAKAAAAAwAAAABAAAAFQAAAAwAAAADAAAAcgAAAKAJAAAPAAAABAAAACYAAAAbAAAADwAAAAQAAAAYAAAAGAAAAAAA/wEAAAAAAAAAAAAAgD8AAAAAAAAAAAAAgD8AAAAAAAAAAP///wAAAAAAbAAAADQAAACgAAAAAAkAABgAAAAYAAAAKAAAABgAAAAYAAAAAQAgAAMAAAAACQAAAAAAAAAAAAAAAAAAAAAAAAAA/wAA/wAA/wAAAAAAAAAAAAAAAAAAAAAAAAAAAAAAAAAAAAAAAAAAAAAAAAAAAAAAAAAAAAAAAAAAACkrprMeH3eAAAAAAAAAAAAAAAAAAAAAAAAAAAAAAAAAAAAAAAAAAAAeH3eAKSumswAAAAAAAAAAAAAAAAAAAAAAAAAAAAAAAAAAAAAYGRluAAAAAAAAAAAAAAAAAAAAAB4fd4A7Pe3/Hh93gAAAAAAAAAAAAAAAAAAAAAAAAAAAAAAAAB4fd4A7Pe3/Hh93gAAAAAAAAAAAAAAAAAAAAAAAAAAAAAAAAAAAAAA5OjrRODo63gsLCzEAAAAAAAAAAAAAAAAeH3eAOz3t/x4fd4AAAAAAAAAAAAAAAAAAAAAAHh93gDs97f8eH3eAAAAAAAAAAAAAAAAAAAAAAAAAAAAAAAAAAAAAAAAAAABERUXdQ0VF/jw+PvgVFhZgAAAAAAAAAAAAAAAAHh93gDs97f8eH3eAAAAAAAAAAAAeH3eAOz3t/x4fd4AAAAAAAAAAAAAAAAAAAAAAAAAAAAAAAAAAAAAAAAAAAAAAAABERUXdkZKS/5ucnP84Ojr/ISIilyEiIpc6OztvAAAAAB4fd4A7Pe3/Hh93gB4fd4A7Pe3/Hh93gAAAAAAAAAAAAAAAAAAAAAAAAAAAAAAAAAAAAAAAAAAAAAAAAAAAAABERUXdkZKS//r6+v/HyMj/S01N/EtNTfzAwcH4VFRUVgAAAAAeH3eAOz3t/zs97f8eH3eAAAAAAAAAAAAAAAAAAAAAAAAAAAAAAAAAAAAAAAAAAAAAAAAAAAAAAAAAAABERUXdkZKS//r6+v/6+vr/5eXl/+Xl5f/w8PD1VFRUVgAAAAAeH3eAOz3t/zs97f8eH3eAAAAAAAAAAAAAAAAAAAAAAAAAAAAAAAAAAAAAAAAAAAAAAAAAAAAAAAAAAABERUXdkZKS//r6+v/6+vr/+vr6//Dw8PVUVFRWAAAAAB4fd4A7Pe3/Hh93gB4fd4A7Pe3/Hh93gAAAAAAAAAAAAAAAAAAAAAAAAAAAAAAAAAAAAAAAAAAAAAAAAAAAAABERUXdkZKS//r6+v/6+vr/8PDw9VRUVFYAAAAAHh93gDs97f8eH3eAAAAAAAAAAAAeH3eAOz3t/x4fd4AAAAAAAAAAAAAAAAAAAAAAAAAAAAAAAAAAAAAAAAAAAAAAAABERUXdkZKS//r6+v/w8PD1VFRUVgAAAAAeH3eAOz3t/x4fd4AAAAAAAAAAAAAAAAAAAAAAHh93gDs97f8eH3eAAAAAAAAAAAAAAAAAAAAAAAAAAAAAAAAAAAAAAAAAAABERUXdkZKS//Dw8PVUVFRWAAAAAB4fd4A7Pe3/Hh93gAAAAAAGBgYcAAAAAAAAAAAAAAAAAAAAAB4fd4A7Pe3/Hh93gAAAAAAAAAAAAAAAAAAAAAAAAAAAAAAAAAAAAABERUXde319/4OEhOYAAAAAAAAAACkrprMeH3eAAAAAAExNTYJAQUHOAAAAAAAAAAAAAAAAAAAAAAAAAAAeH3eAKSumswAAAAAAAAAAAAAAAAAAAAAAAAAAAAAAAAAAAABERUXdODo6/2ZnZ/+np6fQAAAAAAAAAAAAAAAAT09PdkNFRf5ERUXdAAAAAAAAAAAAAAAAAAAAAAAAAAAAAAAAAAAAAAAAAAAAAAAAAAAAAAAAAAAAAAAAAAAAAAYGBhw8Pj74e319//r6+v/6+vr/wcHBxQAAAABUVFRW8PDw9Xt9ff88Pj74BgYGHAAAAAAAAAAAAAAAAAAAAAAAAAAAAAAAAAAAAAAAAAAAAAAAAAAAAAAAAAAAAAAAAB4fH4phYmL6+vr6//r6+v/6+vr/+vr6/8vLy8/w8PD1+vr6//r6+v9hYmL6Hh8figAAAAAAAAAAAAAAAAAAAAAAAAAAAAAAAAAAAAAAAAAAAAAAAAAAAAAAAAAAAAAAAD5AQO6mp6f/+vr6//r6+v/6+vr/+vr6//r6+v/6+vr/+vr6//r6+v+mp6f/PkBA7gAAAAAAAAAAAAAAAAAAAAAAAAAAAAAAAAAAAAAAAAAAAAAAAAAAAAAAAAAAAAAAADg6Ov+9vb3/+vr6//r6+v/6+vr/+vr6//r6+v/6+vr/+vr6//r6+v+9vb3/ODo6/wAAAAAAAAAAAAAAAAAAAAAAAAAAAAAAAAAAAAAAAAAAAAAAAAAAAAAAAAAAAAAAADg6Ov+9vb3/+vr6//r6+v/6+vr/+vr6//r6+v/6+vr/+vr6//r6+v+9vb3/ODo6/wAAAAAAAAAAAAAAAAAAAAAAAAAAAAAAAAAAAAAAAAAAAAAAAAAAAAAAAAAAAAAAADk6OtGHiIj/+vr6//r6+v/6+vr/+vr6//r6+v/6+vr/+vr6//r6+v+RkpL/OTo60QAAAAAAAAAAAAAAAAAAAAAAAAAAAAAAAAAAAAAAAAAAAAAAAAAAAAAAAAAAAAAAABgZGW5BQ0P81dXV//r6+v/6+vr/+vr6//r6+v/6+vr/+vr6/+Xl5f9BQ0P8GBkZbgAAAAAAAAAAAAAAAAAAAAAAAAAAAAAAAAAAAAAAAAAAAAAAAAAAAAAAAAAAAAAAAAAAAAAyMzPKVFZW+tXV1f/6+vr/+vr6//r6+v/6+vr/1dXV/1RWVvoyMzPKAAAAAAAAAAAAAAAAAAAAAAAAAAAAAAAAAAAAAAAAAAAAAAAAAAAAAAAAAAAAAAAAAAAAAAAAAAAGBgYcMTIyvjg6Ov94enr8kZKS/5GSkv94enr8ODo6/zEyMr4GBgYcAAAAAAAAAAAAAAAAAAAAAAAAAAAAAAAAAAAAAAAAAAAAAAAAAAAAAAAAAAAAAAAAAAAAAAAAAAAAAAAAAAAAABISElEkJiamREVF3URFRd0kJiamEhISUQAAAAAAAAAAAAAAAAAAAAAAAAAAAAAAAAAAAAAAAAAAAAAAAAAAAAAAAAAAAAAAAAAAAAAAAAAAAAAAAAAAAAAAAAAAAAAAAAAAAAAAAAAAAAAAAAAAAAAAAAAAAAAAAAAAAAAAAAAAAAAAAAAAAAAAAAAAAAAAAAAAAAAAAAAAAAAAACcAAAAYAAAAAQAAAAAAAAD///8AAAAAACUAAAAMAAAAAQAAAEwAAABkAAAANgAAAAUAAACrAAAAGwAAADYAAAAFAAAAdgAAABcAAAAhAPAAAAAAAAAAAAAAAIA/AAAAAAAAAAAAAIA/AAAAAAAAAAAAAAAAAAAAAAAAAAAAAAAAAAAAAAAAAAAlAAAADAAAAAAAAIAoAAAADAAAAAEAAABSAAAAcAEAAAEAAADv////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NgAAAAUAAACsAAAAHAAAACUAAAAMAAAAAQAAAFQAAACoAAAANwAAAAUAAACqAAAAGwAAAAEAAABVVY9BJrSPQTcAAAAFAAAADwAAAEwAAAAAAAAAAAAAAAAAAAD//////////2wAAABGAGkAcgBtAGEAIABuAG8AIAB2AOEAbABpAGQAYQAAAAgAAAAEAAAABgAAAA8AAAAJAAAABQAAAAoAAAAKAAAABQAAAAgAAAAJAAAABAAAAAQAAAAKAAAACQAAAEsAAABAAAAAMAAAAAUAAAAgAAAAAQAAAAEAAAAQAAAAAAAAAAAAAACpAQAA0QAAAAAAAAAAAAAAqQEAANE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kAAAAAAAAAFAAAAAhAPAAAAAAAAAAAAAAAIA/AAAAAAAAAAAAAIA/AAAAAAAAAAAAAAAAAAAAAAAAAAAAAAAAAAAAAAAAAAAlAAAADAAAAAAAAIAoAAAADAAAAAMAAAAnAAAAGAAAAAMAAAAAAAAAAAAAAAAAAAAlAAAADAAAAAMAAABMAAAAZAAAAAAAAAAAAAAA//////////8AAAAAJAAAAEABAAAAAAAAIQDwAAAAAAAAAAAAAACAPwAAAAAAAAAAAACAPwAAAAAAAAAAAAAAAAAAAAAAAAAAAAAAAAAAAAAAAAAAJQAAAAwAAAAAAACAKAAAAAwAAAADAAAAJwAAABgAAAADAAAAAAAAAAAAAAAAAAAAJQAAAAwAAAADAAAATAAAAGQAAAAAAAAAAAAAAP//////////QAEAACQAAAAAAAAAUAAAACEA8AAAAAAAAAAAAAAAgD8AAAAAAAAAAAAAgD8AAAAAAAAAAAAAAAAAAAAAAAAAAAAAAAAAAAAAAAAAACUAAAAMAAAAAAAAgCgAAAAMAAAAAwAAACcAAAAYAAAAAwAAAAAAAAAAAAAAAAAAACUAAAAMAAAAAwAAAEwAAABkAAAAAAAAAHQAAAA/AQAAdQAAAAAAAAB0AAAAQAEAAAIAAAAhAPAAAAAAAAAAAAAAAIA/AAAAAAAAAAAAAIA/AAAAAAAAAAAAAAAAAAAAAAAAAAAAAAAAAAAAAAAAAAAlAAAADAAAAAAAAIAoAAAADAAAAAMAAAAnAAAAGAAAAAMAAAAAAAAA////AAAAAAAlAAAADAAAAAMAAABMAAAAZAAAAAAAAAAkAAAAPwEAAHMAAAAAAAAAJAAAAEABAABQAAAAIQDwAAAAAAAAAAAAAACAPwAAAAAAAAAAAACAPwAAAAAAAAAAAAAAAAAAAAAAAAAAAAAAAAAAAAAAAAAAJQAAAAwAAAAAAACAKAAAAAwAAAADAAAAJwAAABgAAAADAAAAAAAAAP///wAAAAAAJQAAAAwAAAADAAAATAAAAGQAAAALAAAARQAAACcAAABzAAAACwAAAEUAAAAdAAAALwAAACEA8AAAAAAAAAAAAAAAgD8AAAAAAAAAAAAAgD8AAAAAAAAAAAAAAAAAAAAAAAAAAAAAAAAAAAAAAAAAACUAAAAMAAAAAAAAgCgAAAAMAAAAAwAAAFIAAABwAQAAAwAAANb///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RQAAACYAAABzAAAAAQAAAFVVj0EmtI9BDAAAAHQAAAABAAAATAAAAAQAAAALAAAARQAAACgAAAB0AAAAUAAAAFgAAAAbAAAAFgAAAAwAAAAAAAAAJQAAAAwAAAACAAAAJwAAABgAAAAEAAAAAAAAAP///wAAAAAAJQAAAAwAAAAEAAAATAAAAGQAAAA2AAAAKAAAADQBAABzAAAANgAAACgAAAD/AAAATAAAACEA8AAAAAAAAAAAAAAAgD8AAAAAAAAAAAAAgD8AAAAAAAAAAAAAAAAAAAAAAAAAAAAAAAAAAAAAAAAAACUAAAAMAAAAAAAAgCgAAAAMAAAABAAAACcAAAAYAAAABAAAAAAAAAD///8AAAAAACUAAAAMAAAABAAAAEwAAABkAAAANgAAACgAAAA0AQAAbwAAADYAAAAoAAAA/wAAAEgAAAAhAPAAAAAAAAAAAAAAAIA/AAAAAAAAAAAAAIA/AAAAAAAAAAAAAAAAAAAAAAAAAAAAAAAAAAAAAAAAAAAlAAAADAAAAAAAAIAoAAAADAAAAAQAAAAnAAAAGAAAAAQAAAAAAAAA////AAAAAAAlAAAADAAAAAQAAABMAAAAZAAAADYAAAAoAAAANAEAAG8AAAA2AAAAKAAAAP8AAABIAAAAIQDwAAAAAAAAAAAAAACAPwAAAAAAAAAAAACAPwAAAAAAAAAAAAAAAAAAAAAAAAAAAAAAAAAAAAAAAAAAJQAAAAwAAAAAAACAKAAAAAwAAAAEAAAAIQAAAAgAAABiAAAADAAAAAEAAABLAAAAEAAAAAAAAAAFAAAAIQAAAAgAAAAeAAAAGAAAAAAAAAAAAAAAqQEAANE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IJ20/AAAAAAAAAAB+P2w/AABYQgAAIEIkAAAAJAAAAAgnbT8AAAAAAAAAAH4/bD8AAFhCAAAgQgQAAABzAAAADAAAAAAAAAANAAAAEAAAADYAAAAoAAAAUgAAAHABAAAE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BGAAAAKAAAABwAAABHRElDAgAAAAAAAAAAAAAAlQAAAE0AAAAAAAAAIQAAAAgAAABiAAAADAAAAAEAAAAVAAAADAAAAAQAAAAVAAAADAAAAAQAAABRAAAAePoAADYAAAAoAAAAvwAAAG4AAAAAAAAAAAAAAAAAAAAAAAAA+QAAAIAAAABQAAAAKAAAAHgAAAAA+gAAAAAAACAAzACVAAAATQAAACgAAAD5AAAAgAAAAAEAEAAAAAAAAAAAAAAAAAAAAAAAAAAAAAAAAAA5Z1prWmt7b1prWmtaa3tvWmtaa1pre29aa3tvWmt7b3tve29aa3tvWmtaa1prWmtaa3tvWmt7b1prWmtaa1prWmtaa1pre29aa3tvWmt7b1prWmtaa1prOWdaa1prWmtaa1prWmtaa1pre29aa3tvWmtaa1prWmtaa1prWmtaa1prWms5Z1prOWdaa1prWms5Z1prWmt7b1prWmtaa1prWmt7b1prWms5Z1prOWdaa1prWmtaa1prWmtaa1prWms5Z1prOWdaazlnWmtaa1prWmtaa1pre29aa1prWmtaazlnWmtaa1prWmtaa1prWms5Z1prWmtaazlnWms5Z1prWmtaazlnWms5Z1prOWdaazlnWms5Z1prOWdaazlnWms5Z1prWmtaa1prWms5Z1prOWc5ZzlnWms5Z1prOWdaa1prWmtaa1prWmtaa1prWms5Z1prOWdaazlnWms5Z1prOWdaazlnWms5Z1prOWdaazlnWms5Z1prOWdaa1prWms5Z1prWmtaazlnWms5Z1prWmtaazlnWms5ZzlnOWdaazlnOWc5ZzlnOWc5ZzlnWmtaazlnOWd7b3tve285Z1prOWc5ZzlnOWc5ZzlnOWc5ZzlnWmtaa1prOWc5Zzlne285Z1prOWc5ZzlnOWc5Z1prGGMAAHtvWmt7b3tve29aa3tve297b1pre297b3tvWmt7b1pre297b3tvWmtaa1pre29aa3tvWmt7b1pre29aa3tvWmtaa1pre29aa3tvWmt7b1pre29aa1prWmtaa1prWmtaa3tvWmt7b1pre29aa3tve297b1pre29aa1prWmt7b1prWmtaa1prWmtaa1prWmtaa1prWmt7b1pre29aa3tvWmt7b3tve29aa1prOWdaa1prWmtaa3tvWmt7b1pre29aa1prOWdaa1prWmtaa1prWmtaa1pre29aa3tvWmt7b1prWmtaa3tvWmt7b1pre29aa1prWmt7b1prWmtaa1prWmtaa1prWmtaa1prWmtaa1prWms5Z1prWmtaa1prWmtaa1prWmtaa1prWmtaa1prWmtaazlnWms5Z1prWmtaazlnWmtaa1prWmtaa1prWmtaa1prWmtaa1prWmtaa1prWmtaa1prWmtaa1prWmtaa1prWmtaa1prWmtaa1prWmtaa1prWmtaa1prWms5Z1prWmtaazlnWmtaa1prOWdaa1prWms5Z1prOWc5ZzlnWmtaa1prOWdaa3tve29aa1prOWdaazlnOWc5ZzlnOWdaazlnWmtaa3tvWmtaazlnWmtaa1prOWdaazlnWms5Z1prOWdaawAAWmt7b3tve29aa3tvWmt7b1pre29aa3tvWmt7b1prWmtaa3tvWmtaa1prWmtaa1prWmt7b1prWmtaa1prWmtaa1prWmtaa1prWmtaa1prWmtaa1prWmtaa1prWmtaa1prWmt7b1prWmtaa3tvWmt7b1pre29aa1prWmtaa1prWmtaa1prWmtaa1prWmtaa1prWmt7b1prWmtaa1prWmtaa1pre29aa1prOWdaazlnWms5Z1prWmtaa1prWms5Z1prWmtaazlnWmtaa1prWmtaa1prWmtaa1prWmtaa1prWmtaa1prWmtaa1pre29aa3tvWmtaa1prWmtaa1prOWdaa1prWmtaa1prWmtaa1prWms5Z1prWmtaa1prWmtaa1prWmtaazlnWms5Z1prOWdaazlnWms5Z1prOWdaazlnWmtaa1prOWdaa1prWms5Z1prOWdaazlnWms5Z1prOWdaazlnWms5Z1prOWdaazlnWmtaa1prWmtaazlnWms5Z1prOWdaazlnWms5Z1prOWdaa1prWms5Z1prOWc5ZzlnWms5Z1prOWc5ZzlnWms5Z1prOWdaa1pre29aa1prOWdaazlnOWc5ZzlnOWc5ZzlnOWc5Z1prOWdaazlnOWc5Z1prOWdaazlnOWc5ZzlnOWc5ZzlnAAB7b1pre297b3tvWmt7b1pre29aa3tvWmt7b1pre29aa1prWmtaa1pre29aa3tvWmt7b1pre29aa3tvWmt7b1prWmtaa1prWmtaa1prWmtaa3tvWmtaa1prWmtaa1prWmt7b1prWmtaa3tve297b1pre29aa3tvWmt7b1pre29aa3tvWmt7b1pre29aa3tvWmt7b1prWmtaa1prWmtaa1pre29aa3tvWmtaa1prWmtaa1prWmtaa1pre29aa1prOWd7b1prWmtaa3tvWmt7b1prWmtaa1prWmtaa1prWmtaa3tvWmt7b1pre29aa3tvWmtaa1pre29aa1prWmtaa1pre29aa1prWmtaa1prWmtaa1prWmtaa1pre29aa1prWmtaa1prWms5Z1prOWdaa1prWmtaa1prOWdaa1prWms5Z1prWmtaa1prWmtaa1prWmtaa1prWmtaa1prWmtaa1prWmtaa1prWmtaa1prWmtaa1prWmtaa1prWmtaa1prOWdaazlnWms5Z1prWmtaa1prWmtaa1prWmtaazlnWms5Z1prWmtaazlnWmtaa1prWms5ZzlnWmtaa1prOWdaazlnWms5ZzlnOWdaazlnWms5Z1prWmtaazlnWms5Z1prWmtaazlnWms5Z1prOWdaazlnWmsAAFpre297b3tvWmtaa1pre29aa1prWmt7b1pre29aa3tvOWdaa1prWmtaa1prWmt7b1prWmtaa1prWmtaa1pre29aa1prWmtaazlnWmtaa1prWmtaa1prWms5Z1prWmtaa1prWmtaa3tvWmt7b1pre29aa1prWmtaa1prWmtaa3tvWmtaa1prWmtaa1prWmt7b1prWmtaa1prOWdaazlnWmtaa1prWmt7b1prWmtaa1prWmtaa1prWmtaa1prOWdaa1prWmtaa1prWmtaa1prWms5Z1prOWdaa1prWmtaa1prWmtaa1prWmtaa1prWmtaazlnWmtaa1prOWdaazlnWms5Z1prOWdaazlnWmtaa1prOWdaazlnWms5Z1prOWdaazlnWms5ZzlnOWdaa1prWmtaa1prOWdaazlnWms5Z1prOWdaa1prWms5Z1prWmtaazlnWms5Z1prOWdaazlnWms5Z1prOWdaazlnWms5Z1prOWdaazlnWms5Z1prWmtaazlnWms5Z1prOWdaa1prWms5Z1prWmtaazlnOWc5Z1prOWdaazlnWms5Z1prOWdaaxhjWmtaa1prOWc5ZzlnWms5ZzlnOWc5ZzlnOWc5Z1prOWdaazlnWms5ZzlnOWdaazlnWms5ZzlnOWc5ZzlnWms5ZwAAe297b5xze297b1pre297b3tvWmt7b3tve29aa3tvWmtaa1pre29aa3tvWmt7b1pre29aa3tvWmt7b1pre29aa1prWmt7b1prWmtaa1prWmtaa1prWmtaa1prWmt7b1pre29aa3tvWmt7b3tve29aa3tvWmt7b1pre29aa3tve297b1pre29aa3tvWmt7b1prWmtaa1prWmtaa1prWmtaa1prWmt7b1prWmtaa1prWmt7b1pre29aa1prWmtaa1pre29aa3tvWmtaa1prWmtaa1prOWdaa1prWmtaa1prWmtaa1prWmtaa1prWmtaa1prWmtaa1prWmtaazlnWmtaa1prOWdaazlnWms5Z1prWmtaa1prWmtaa1prOWdaazlnWmtaa1prWmtaa1pre29aa1prWmtaa1prWmtaa1prOWdaa1prWmtaa1prWmtaa1prWmtaa1prWmtaa1prWmtaa1prWmtaa1prWmtaa1prWmtaazlnWms5Z1prWmtaa1prWms5Z1prWmtaa1prWmtaa1prWmt7b1prWms5Z1prOWdaa1prWmtaa1prOWdaazlnOWdaa1prOWc5ZzlnWms5Z1prOWdaazlnOWc5Z1prOWdaazlnWms5ZzlnOWc5ZzlnWms5Z1prOWdaazlnWms5Z1prAAB7b3tve297b3tve29aa3tvWmt7b1pre29aa3tvWmtaa1prWmtaa3tvWmt7b1prWmtaa1prWmtaa1pre29aa3tvWmtaa1prWmtaa1prWmtaa1prWms5Z1prWmtaa1prWmtaa1prWmt7b3tve29aa1prWmt7b1prWmtaa3tvWmt7b1prWmtaa1prWmtaa1prWmtaa1prWmtaa1prWmtaa1prWmtaa1pre29aa1prOWdaa3tve29aa1prWmtaa1prWmtaa1prWmtaa1prWms5Z1prOWdaazlnWmtaa1prWmtaa1prWmtaa1prWmtaa1prWms5Z1prWmtaa1prWms5Z1prOWdaazlnWms5Z1prWmtaa1prWmtaa1prWmtaazlnWms5Z1prOWdaa1prWmtaa1prWmtaazlnWmtaa1prOWdaazlnWms5Z1prOWdaazlnWms5Z1prOWdaazlnWms5Z1prOWdaazlnWms5Z1prOWdaazlnWms5Z1prOWdaazlnWms5Z1prOWdaazlnWms5Z1prOWd7b1prWms5Z1prOWc5ZzlnWms5Z1prOWdaazlnOWc5Z1prOWc5ZzlnWms5ZzlnOWdaazlnOWc5ZzlnOWdaazlnWms5ZzlnOWc5ZxhjOWc5Z1prOWc5ZzlnOWc5ZzlnOWcAAHtve297b3tve29aa3tvWmt7b1pre29aa3tvWmt7b1pre29aa3tve297b3tve29aa3tvWmt7b1pre29aa3tvWmt7b1pre29aa3tvWmtaa1prWmtaa1prWmtaa1pre29aa3tvWmt7b1pre297b3tvWmt7b1pre29aa3tvWmt7b3tve29aa1prWmtaa1prWmtaa1prWmt7b3tve297b3tvWmtaa1pre29aa3tvWmtaa1prnHN7b3tvWmtaa1pre29aa3tvWmtaa1prWmtaa1prWmtaa1prWmtaa3tvWmt7b1pre29aa3tvWmt7b1prWmtaa1prWmtaa1prWmtaa1prWmtaa1prWmtaa1prWmt7b1pre29aa1prWmt7b1prWms5Z1prWmtaa1pre29aa3tvWmt7b1prWmtaa1prWmtaazlnWmtaa1prWmtaa1prWmtaa1prWmtaa1prWmtaa1prWmtaa1prWmtaa1prWmtaa1prWmtaa1prOWdaazlnWms5Z1prWmtaa1prWms5Z1prOWdaa1pre285Z1prOWdaazlnWms5Z1prOWdaazlnOWc5Z1prWmtaazlnWmtaa1prOWdaazlnWms5Z1prOWdaazlnWms5ZzlnOWc5ZzlnOWc5Z1prOWdaazlnWms5Z1prOWc5ZwAAWmtaa1pre29aa3tvWmt7b1pre29aa3tvWmtaa1prWmtaa1prWmt7b1prWmtaa1prWmtaa1prWmtaa1prWmt7b1prWmtaa1prWmtaa1prWmtaa1prWmtaa1prWmtaa1prWmtaa1pre29aa1prWmtaa1prWmtaa1prWmtaa1prWmtaa1prWmt7b1prWmtaa3tvWmtaa1prWmtaa1prWmt7b1prWmtaa1prWmtaa1prWmtaa1prWmtaa1prWmtaa1prWmtaa1prWms5Z1prOWdaa3tve29aa1prOWdaa1prWms5Z1prWmtaa1prWmtaa1prWmtaa1prWmtaa1prWmtaazlnWmtaa1prWmtaazlnWms5Z1prOWdaazlnWmtaa1prOWdaa1prWmtaa1prWmtaazlnWms5Z1prOWdaa1prWms5Z1prOWdaazlnWmtaa1prOWdaazlnWmtaa1prWmtaazlnWms5Z1prOWdaazlnWmtaa1prWmtaazlnOWc5ZzlnOWc5ZzlnWms5Z1prOWdaa1prWms5Z1prOWdaazlnWmtaa1prOWc5ZzlnWms5Z1prOWc5ZzlnOWc5ZzlnOWc5ZzlnOWc5ZzlnOWdaazlnWms5ZzlnOWc5ZzlnOWc5ZzlnOWc5ZzlnOWc5ZzlnOWc5ZxhjAAB7b1pre297b3tvWmt7b1pre29aa3tve297b1pre29aa3tvWmt7b1pre29aa3tvWmtaa1pre29aa3tvWmt7b1prWmtaa3tvWmtaa1pre29aa1prWmt7b1prWmtaa3tvWmtaa1pre29aa1prWmtaa1prWmtaa1prWmtaa1pre29aa3tvWmt7b1pre29aa3tvWmt7b1pre29aa3tvWmt7b1pre29aa3tvWmt7b1pre29aa1prWmt7b1prWmtaa3tvWmtaa1prWmtaa1prWmtaa1pre29aa1prWmtaa1pre29aa1prWmtaa1prWmtaa3tvWmtaa1pre29aa1prWmt7b1prWmtaa1prWmtaa1prWmtaa1prOWdaazlnWmtaa1prWmtaazlnWmtaa3tvWmt7b1prWmtaa1prWmtaa1prWmtaa1prOWdaa1prWmtaa1prWmtaazlnWmtaa1prWmtaa1prWms5Z1prWmtaa1prWmtaa1prWmtaa1prWms5Z1prOWc5ZzlnWms5Z1prWmtaa1pre29aa1prOWdaazlnWmtaa1prOWdaazlnWmtaa1prOWdaazlnWms5Z1prOWdaazlnWms5Z1prOWdaa1prWms5Z1prOWdaazlnWms5Z1prOWdaazlnWms5Z1prOWdaazlnOWcAAFpre29aa3tvWmt7b1prWmtaa3tvWmt7b1pre29aa3tvWmt7b1pre29aa1prWmtaa1prWmtaa1prWmt7b1prWmtaa1prWmtaa1prWmtaa1prWmtaa1prWmtaa1prWmtaa1prWmtaa1prWmtaazlnWmtaa1prWmtaa1prWmtaa1prWmt7b1prWmtaa3tvWmtaa1pre29aa3tvWmt7b1pre29aa3tvWmt7b1pre29aa1prWmtaa1prWmtaa1prWmtaazlnWms5Z1prOWdaazlnWms5Z1prWmtaa1prWmtaa1prWmtaazlnWmtaa1prWmtaa1prWmtaa1prWmtaa1prWms5Z1prWmtaa1prWms5Z1prOWdaazlnWms5Z1prOWdaazlnWms5Z1prWmtaa1prWmtaa1prWmtaa1prWms5Z1prOWdaazlnWms5Z1prOWdaazlnWms5Z1prWmtaa1prWms5Z1prOWdaa1prWms5Z1prOWdaazlnWms5Z1prOWc5ZzlnOWc5Z1prOWdaa1prWmtaa3tvWmtaazlnWms5Z1prOWdaazlnWmtaa1prOWdaazlnWms5ZzlnOWdaazlnOWc5Z1prOWc5ZzlnWms5Z1prWmtaazlnOWc5Z1prOWc5ZzlnOWc5ZzlnOWc5ZzlnOWc5ZwAAe29aa3tvWmt7b1pre29aa3tvWmt7b1pre297b3tvWmt7b1pre29aa3tvWmtaa1pre29aa3tvWmt7b1pre29aa3tvWmtaa1pre29aa1prWmtaa1prWmtaa3tvWmt7b1prWmtaa1prWmtaa1prWms5Z1prWmtaa1prWmtaa1prWmt7b1pre29aa3tvWmt7b1pre297b3tve297b1pre29aa3tvWmt7b1pre29aa3tvWmt7b1prWmtaa3tvWmtaa1prWms5Z1prOWdaa1prWmtaa1prWmt7b1pre29aa1prWmtaa1prWmtaa1prWmtaa1prWmtaa1prWmtaa1prWmtaa1prWmtaa1pre29aa1prWmtaa1prWms5Z1prWmtaa1prWmtaa1prWmt7b1prWmtaa3tvWmtaa1prWmtaa1prWmtaa1prWmtaa1prOWdaazlnWmtaa1prWmt7b1prWms5Z1prOWdaa1prWmtaa1prWmtaa1prWmtaa1prWmtaazlnWms5Z1prOWdaa1prWmtaa3tvWmtaazlnWms5Z1prOWdaazlnWmtaa3tvWmtaa1prWms5ZzlnOWdaazlnWms5Z1prOWdaazlnWmtaa1prOWd7b1prWms5Z1prOWdaazlnWms5Z1prOWdaazlnWms5Z1prAABaa1prWmt7b1pre29aa3tvWmtaa1pre29aa3tvWmt7b1pre29aa1prWmtaa1prWmtaa1prWmt7b1prWmtaa1prWmtaa1prWmtaa1prWmtaa1prWmtaa1prWmtaa1prWmtaa1prWmtaa1prWmtaa1prOWdaa1prWmtaa1prWmtaa1prWmtaa3tvWmtaa1pre29aa3tvWmt7b1pre29aa3tvWmtaa1pre29aa1prWmtaa1prWmtaa1prWmtaa1prWms5Z1prOWdaazlnWmtaa1prWmt7b3tve29aa1prWmtaa1prWmtaa1prWmtaa1prWmtaa1prWmtaa1prWmtaa1prOWdaa1prWmtaa1prWmtaa1prWmtaa1prOWdaa1prWms5Z1prWmtaa1prWmtaa1prOWdaa1prWmtaa1prWmtaa1prWmtaa1prOWdaazlnOWc5Z1prOWdaa1prWms5Z1prOWdaazlnWms5Z1prOWdaazlnWms5Z1prOWdaazlnWms5ZzlnOWdaazlnWmtaa1prWmtaa1prWms5Z1prOWdaazlnWmtaa1prWmtaa1prWms5ZzlnOWc5ZzlnWms5Z1prOWdaazlnWms5ZzlnOWdaa1prWms5Z1prOWc5ZzlnOWc5ZzlnOWc5ZzlnOWc5ZzlnOWcAAHtvWmt7b3tve29aa3tvWmt7b1pre297b3tvWmt7b1pre29aa3tvWmtaa1pre29aa3tvWmt7b1pre29aa3tvWmtaa1pre29aa1prWmt7b1prWmtaa3tvWmtaa1pre29aa3tvWmt7b1pre29aa1prWmtaa1prWmtaa1prWmtaa1pre29aa3tvWmt7b1pre29aa3tvWmt7b1pre29aa3tvWmtaa1pre29aa3tvWmt7b1prWmtaa3tvWmtaa1pre29aa1prWmtaa1prWmtaa1prWmtaa3tvnHN7b3tvWmtaa1prWmtaa3tvWmtaa1prWmtaa1prWmtaa1prWmtaa1prWmtaa1pre29aa3tvWmtaa1prWmtaa1prWmtaa1prWmtaa1prWmtaa1prWmtaa1prWmtaazlnWmtaa1prWmt7b1prWmtaa1prWmtaazlnWms5Z1prWmtaa1pre29aa1prOWdaazlnWmtaa1prWmtaa1prWms5Z1prWmtaa1prWmtaa1prOWdaa1prWmtaa1prWmt7b1prWmtaa1prOWdaa1prWmtaa1prWmtaazlnWmtaa1prOWdaazlnWmtaa1prOWdaazlnWmtaa1prOWdaa1prWmtaa1prOWdaazlnWms5Z1prOWdaazlnWms5Z1prOWdaawAAWmt7b1pre29aa3tvWmtaa1pre29aa3tvWmt7b1prWmtaa3tvWmtaa1prWmtaa1prWmt7b1prWmtaa1prWmtaa1prWmtaa1prWmtaa1prWmtaa1prWmtaa1prWmtaa1prWmtaa1prWmtaa1prOWdaazlnWms5Z1prWmtaa1prWmtaa3tvWmtaa1pre29aa1prWmt7b1prWmtaa3tvWmt7b1prWmtaa1prWmt7b1prWmtaa1prWmtaa1prWmtaa1prWmtaa1prWmtaa1prWmtaazlnWmtaa3tvWmtaazlnWmtaa1prWmtaa1prWms5Z1prWmtaazlnWmtaa1prOWdaa1prWmtaa1prWmtaa1prWmtaa1prWmtaa1prWms5Z1prWmtaa1prWmtaa1prOWdaazlnWms5Z1prOWdaazlnWmtaa1prOWdaazlnWms5Z1prOWdaazlnWmtaa1prOWc5ZzlnWms5Z1prWmtaazlnWms5Z1prOWdaazlnWms5Z1prOWdaazlnWmtaa1prOWdaa1prWms5Z1prOWdaazlnWms5Z1prWmtaazlnOWc5Z1prOWdaazlnOWc5Z1prOWdaazlnWms5Z1prOWc5ZzlnWmtaa1prOWc5ZzlnWms5ZzlnOWc5ZzlnOWc5ZzlnOWc5ZzlnAAB7b1pre29aa3tvWmt7b1pre297b3tvWmt7b1pre29aa3tvW2t7b1prW2taa3tvWmt7b1pre29aa3tvWmtaa1pre29aa1prWmt7b1prWmtaa1prWmtaa1pre29aa3tvWmtaa1prWmtaa1trWmtaazlnWmtaa1prWmtba1prW2tba3xvW2t7b1pre29aa3pvWmtaa1prW2taa3tvW2t7b1pre29aa3tvWmt7b1pre29aa3tvWmtaa1pre29aa1prWmt7b1pre29aa3tvWmtaa1prWWtZa3pvWmtaazlnWmtaa3tvWmtaa1prWmtaa1prWmtaa1prWmtaa1prWmtaa1prWmtaa3tvWmt7b1prWmtaa3tvWmtaa1prWmtaa1prWmtaa1prWmtaa3tvWmtaa1prWmtaa1prOWdaazlnWms5Z1prWmtaa1prWmtaa1prOWdaa1prWmtaa3tvWmtaazlnWms5Z1prWmtaa1prWmtaa1prWmtaa1prWmtaa1prOWdaa1prWmtaa1prWmtaa1prWmtaa1prWmtaa1prWmtaa1prWmtaazlnOWc5ZzlnOWdaazlnOWc5Z1prWmtaazlnWmtaa1prWmtaazlnWms5Z1prOWc5ZzlnWms5Z1prOWdaazlnWms5Z1prOWdaazlnWmsAAFlrWmtaa3pvWmt6b1pre29aa3tvWmt6b1prWmtaa1prW2tbb1tre29aa1trWmtba1pre29aa1prem97bzlnWms5Z1prWmtaa1pre29aazlnWWtaa1prWmtZa1prWWtaa1prWmtaa1trOmdaazlnWms5Z3pve29aaztrO2ddb9leNErZXp1zW2taa1lnem96b1pre29ba3tvW2tbb1pre29aa3tvWmtaa1prWmtaa3tvWmtaa1prWmtaa1prWmtaa1lrWms5Z1prOWdaa1lrem9ZZ1lrWWtaa1lrWmtaa1prWmtaa1prWmtaa1prWmtaazlnWmtaa1prOWdaa1prWmtaa1prWmtaa1prWmtaa1prWmtaa1prWmtaa1prWmtaa1prWmtaa1prWmtaa1prWmtaa1prWmtaa1prWmtaa1prOWdaazlnWms5Z1prOWdaazlnWms5Z1prWmtaa1prWms5Z1prWmtaa1prWmtaa1prOWdaazlnWms5Z1prOWdaazlnOWc5Z1prOWdaazlnWms5Z1prWmtaa1prWms5Z1prOWdaazlnWms5Z1prOWdaazlnWms5Z1prOWdaazlnOWc5ZzlnOWdaazlnWms5Z1prOWc5ZzlnOWc5ZzlnOWdaazlnOWc5Z1prOWc5ZzlnWms5ZwAAWmtaa3pvWmt7b1pre297b3tvem97b1prem9aa3pvWmt7b1tre29ba1tvW2t7b1prOWdaa3tvWmt7b1prWmt6b3tvWmt7b1prWmtaa3tvWmt6b1prem9aa1prWWtaa1lremtaa1trWmtbazpnW2s5Z1prOWdaazlnfG8bZ9pebzEtJbE1XGt8b5xzem96b1lre29ba3xvW2t7b1tre29aa3tvWmt7b1pre29aa3tvWmtaa1pre29aa3tvWmt7b1prWmtZa1prWWtaa1lrem9aa1prWWtaa1lrWmtaa3pvWmtaa1pre29aa3tvWmtaa1prWmtaa1prWmtaa1prWmtaa1prWmt7b1prWmtaa3tvWmtaa1pre29aa1prWmtaa1prWmtaa1prWmtaa1prWmtaa1prWmtaa1prWmtaa1prWmtaazlnWms5Z1prOWdaa1prWmtaa1prWmtaa1prWms5Z1prWmtaa1prWmtaa3tvWmtaazlnWmtaa1prWmtaa1prWms5Z1prWmtaa1prWms5Z1prOWdaa1prWmtaa1prOWdaazlnWms5Z1prOWdaa1prWms5Z1prWmtaazlnWms5ZzlnOWdaa1prWmtaa1prWms5ZzlnWms5ZzlnOWdaa1prWms5Z1prOWdaazlnWms5Z1prAABaa1prWmt6b1pre29aa3tvWmt7b1prem9aa3pvWmtaa1prW29aa1trWmtba1prW2s6Z3tvW2tba1trW2s5Z3tvWmtaa1pre29aa1prWmt7b1prem9aa1prWWtaazlnWWtZa1prWmtaazpnW2s6Z1prWWtZazlnOWdcbztrdlKpFOsgLSkaY1xrWmt7b1lrem9aa3tvW2tba1trW29aa1prWmt7b1pre29aa3tvWmtaa1prWmtaa1prWmtaa1prWmtZa1prOWdaa1lrWmtZa1prWWtaa1lnWmtZa1prWWtaa1prWmtaa1prWmtaazlnWmtaa1prOWdaa1prWms5Z1prWmtaa1prWmtaa1prWmtaa1prWmtaa1prWmtaazlnWmtaa1prWmtaa1prWmtaa1prWmtaazlnWms5Z1prOWdaazlnWms5Z1prOWdaazlnWmtaa1prOWdaa1prWms5Z1prOWdaazlnWmtaa1prWmtaazlnWms5Z1prOWdaazlnWmtaa1prOWdaa1prWms5Z1prOWdaazlnWmtaa1prOWdaazlnWms5Z1prWmtaazlnWms5Z1prOWdaazlnWms5ZzlnOWdaazlnWms5Z1prOWdaazlnWms5ZzlnOWc5ZzlnWms5Z1prOWc5ZzlnWms5ZzlnOWcAAHtvWmt7b1pre296b3tvem97b3pve29aa3tvWmt6b1pre29ba3tvW2t7b1trW29ba5xzW2sZY/heW2tbb1trWmtbazpnW2t7b5xzWmt7b3tve29aa3pvWmtaa1lrWmtZa3prWWtaa1prW2taa1prOWdaa1lre285Z1trO2e4WsoYbzEtKVxrW2s5Z3pvem+bc3tvW2t7b1tre29ba3tvWmt7b1pre29aa3tvWmtaa1prWmtaa3tvWmt7b1prWmtaa1prWWtaa1lrWmtZa1prWWtaa1lrWmtZa1prWmtaa1pre29aa3tvWmt7b1prWms5Z1prWmtaa1prWmtaa1prWmtaa1prWmtaa1prWmtaa1prWmtaa1prWmtaa1prWmtaa1prWmtaa1prWmtaa1prWmtaa1prWms5Z1prWmtaazlnWmtaa1prOWdaa1prWmtaa1prWmtaa1pre29aa1prOWdaa1prWmtaa1prWmtaa1prWmtaa1prWmtaa1prWms5Z3tvWmtaa1pre29aa1prOWdaa1prWmtaa1prWmtaazlnWms5Z1prWmt7b1prWms5Z1prOWdaazlnWms5Z1prOWdaazlnWms5Z1prOWdaazlnWms5Z1prOWdaazlnWms5Z1prOWdaazlnWms5Z1prOWdaawAAWmt6b1pre29aa3tvWmt7b1prem9aa3pvWmtaa1prem9aa1trWmtba1prW2tba1tvfG/4XhFCEUa3WltrXGtcb1trW2s6a3tvW297b1prWmtaa3tvWmtaa1lrWmtZa1lrWWtZa1lrWms6Z1prOmdaazhnOGdaazlnGWM7Z9ha6hwtJQwlPGudc1pre29ZZ3pvWmtba1trW2taa1trWmtaa1prWmtaa3tvWmtaa1prWmtaa1prWmtaa1prWmtaa1prOWdZazlnWms5Z1prWWtaazlnWmtZa1prWWtaa1lrWmtaa1prWmt7b1prWms5Z1prOWdaa1prWms5Z1prWmtaa1prWmtaa1prWmtaa1prWmtaa1prWmtaa1prWmtaa1prWmtaa1prWmtaa1prWmtaazlnWms5Z1prOWdaazlnWms5Z1prOWdaazlnWmtaa1prOWdaazlnWmtaa1prWmtaazlnWmtaa1prOWdaazlnWms5Z1prOWdaazlnWms5Z1prOWdaazlnWmtaa1prOWdaazlnWms5Z1prOWdaazlnWms5ZzlnOWdaa1prWms5Z1prOWc5ZzlnWms5ZzlnOWc5ZzlnWms5Z1prOWdaazlnWms5Z1prOWdaazlnOWc5Z1prOWc5ZzlnWms5ZzlnOWdaazlnAAB7b1pre296b3tvem97b3pve29aa3tvWmt7b1pre29aa3tvWmt7b1pre29ba3tvW2tba5VSrzmOMXROGmNcb3xvfW98b3xvWmtba1trfG9aa3tvWmt7b1prem9Za3pvWWtZa1lrWmtaa1trWmtba1prem84Z1prOWdba1tr2F6HFAwlTSlca31ze296b1prWmt6b1pre29ba1tvW2t7b1pre29aa3tvWmt7b1prWmtaa1prWmt7b1pre29aa3tvWmtaa1lnWmtaa1prWWtaa1lrWmtZa1prWmtaa1prem9aa3tvWmt7b1pre29aa1prWmtaa1prWmtaa1prWmtaa1prWmtaa1prWmtaa1prWmtaa1prWmtaa1prWmtaa3tvWmtaa1prWmtaa1prWmtaa1prWms5Z1prWmtaa1prWmtaa1prWmtaa1prWmtaa1prWmtaa1prWmtaa1prWmtaazlnWmtaa1prWmtaa1prWms5Z1prOWdaa1prWmtaa1prWmtaazlnWmtaa1prWmtaa1prWms5Z1prWmtaazlnWmtaa1prOWdaa1prWmtaa1prWmtaazlnWms5Z1prOWdaazlnWms5Z1prWmtaazlnWms5Z1prWmtaazlnOWc5Z1prOWdaazlnWms5Z1prOWdaazlnWmsAAFpre29aa3tvWmt7b1pre29aa3pvWmt6b1prem9aa3pvWmtaa1prWmtaa1tvW2tbbzpn+F4zShJCVEqWUpZSuFr4XltrfG9bazpnW29bb1trWmtaa1prWmtZa3pvWWt6a1hrWWtZZ1prOmtbazpnWmt7bzhnWWt6b1prW2u3WocULCXSOTtnXGtaa1lrWWt6b1prW2taa1trWmtba1prWmtaa3tvWmtaa1prWmtaa1prWmtaa1prWmtaa1prWmtaazlnWWs5Z1prWmtaazlnWmtaa1prOWdaa1lrWmtZa1prWmtaa1prWmtaa1prWmtaa1prWms5Z1prWmtaazlnWmtaa1prOWdaa1prWms5Z1prWmtaazlnWmtaa1prWmtaa1prWmtaa1prWmtaa1prWms5Z1prOWdaa1prWmtaa1prOWdaazlnWms5Z1prWmtaa1prWms5Z1prWmtaazlnWms5Z1prOWdaazlnWms5ZzlnOWdaazlnWms5Z1prOWdaazlnWms5Z1prWmt7b1prWms5Z1prOWdaazlnWms5Z1prOWdaazlnWmtaa1prWmtaazlnWms5ZzlnOWc5ZzlnOWc5ZzlnOWdaazlnWms5Z1prOWdaazlnWms5ZzlnOWdaazlnWms5ZzlnOWdaazlnOWc5ZwAAe297b3tvem97b3pve296b3tvWmt6b1pre29aa3tvWmt6b1pre29aa3tvW2t7b1trW2tbaztnt1p1UvJBsDmwOVRK+WKdc1xvW2t8b3xvOmtba1prW2taa3tvWmt7b3prWWtZa1prWmtba1prW2taa3pvF2N6b3pvWmsZY9heyBjrIPI9PGtca5xzWWt6b1lnem9aa1trW2tbb1trW2taa3tvWmtaa1prWmtaa1prWmtaa1pre29aa3tvWmtaa1prWWtZZ1prWWtaa1prWms6Z1trWmtaa1prWmtaa3prWWtaa1prWmtaa3tvWmtaa1prWmtaa1prWmtaa1prWmtaa1prWmtaa1prWmtaa1prWmtaa1prWmtaa1prWmtaa1prWmtaa1prWmtaa1prWmtaa1prWmtaa1pre29aa3tvWmtaa1prWms5Z1prWmtaa1prWmtaa1prWmt7b1prWms5Z1prWmtaa1prWmtaa1prOWdaa1prWmtaa1prWmtaazlnWmtaa1prWmt7b3tve29aa1prWmtaazlnWms5Z1prOWdaa1prWms5Z1prWmtaa1prWms5Z1prOWdaazlnOWc5ZzlnOWdaazlnWmtaa1prWmtaa1prWms5Z1prOWdaazlnWms5Z1prOWdaazlnWms5ZzlnAABaa3pvWmt7b1prem9aa3tvWmt6b1pre29aa1prWmtaa1lnWmtaa3pvWmtba1trfG86a1trO2c7Z9haVE6PNSslbS3QOVROGWM7a1trOmtbazprW2tbb3tvWmtaa1prWmtZa3lrWWtaa1prW2s6ZzprOWdaazhnem8YYzln11rJHAwlsTlca3xvWmt6b3premtaa3tvW2tbb1tre29ba1prWmtaa1pre29aa1prWmtaa1prWmtaa1prOWdaa1prem85Z1lnOWdaazpnW2taa1trOWdbazpnWmtaa1prWWebc1lrWmtaa1prWmtaa1prWms5Z1prWmtaazlnWmtaa1prOWdaa1prWmtaa1prOWdaazlnWmtaa1prWmtaa1prWms5Z1prOWdaazlnWms5Z1prOWc5ZzlnWmtaa1prOWdaazlnWms5Z1prWmtaa1prWmtaa1prWmtaazlnWmtaa1prOWc5ZzlnWms5Z1prOWdaazlnWmtaa3tvWmtaazlnOWc5Z1prWmtaa1prWmtaa1prOWdaazlnWms5Z1prOWdaazlnWms5Z1prOWdaazlnWmsYYzlnOWc5ZzlnOWc5Z1prOWc5ZzlnWms5Z1prOWdaazlnWms5Z1prOWc5ZzlnOWc5Z1prOWc5ZzlnOWc5Z1prGGMAAHtvWmt7b3pve29aa3tvem97b1pre296b3tvWmt6b1prWmtaa3tvWmt7b1pre29bb3xvXGt8b1xrO2vYXnVSEkIrJUwtrjXPOXROGWN8bzpnOmd7b3xvOmdba513nXM5Z3pvemtaa1prfG87ZzpnfG9aa1prWWt6bzlnOmf4XukcLCWQNX1vfG97b1prem9aa3tvWmt7b1tre29bb3tvWmtaa1pre29aa3tvWmt7b1pre29aa3tvWmtaa1pre29aa1prWWtaa1prWmtaa1trW2tba1trW2taa3tvWmtaa1lrWmtaa1prWmtaa1pre29aa1prWmtaa1prWmtaa1prWmtaa1prWmtaa1prWmtaa1prWmtaa1prWmt7b1prWmtaa1prWmtaa1prWms5Z1prWmtaazlnWmtaa1prWmtaa1prWmtaa1prWmtaa1prWmtaa1prWmtaa1prWmtaa3tvWmtaa1prWmtaa1prWmtaa1prWms5Z1prWmt7b1prWms5Z1prWmtaa1prWmtaa1prWmtaa1prWmtaa1prWmtaa1prWmtaa1prWmtaa1prWmtaa1prOWdaa1prWms5Z1prOWdaazlnWmtaa1prOWdaazlnWms5Z1prOWdaazlnWms5Z1prOWdaazlnWms5Z1prOWc5ZwAAWmt6b1prem9aa3pvWmt6b1prem9aa3pvWmt6b1prWmtZa3prWmt6a1prWmtaa3tvW2tbazprW2tba1tr+WL4XlNKrjUqJUwtjTHQPVROGmN9bzpnGWN8b3xvOmc6Z3xvOGd6bzlnW2t8b/lelVIaYzprfG85Z3tvOWdaa/heCiHrIJA1XGt8b1prem9Za3prWmtbazprW2tba1tvWmtaa1prWmtaa1prWmt7b1prWmtaa3tvWmtaa1prWmtaa1prWWtaa1lrWms6Z1prOmdba1trW2s6ZzprWmt6b1lrWWs5Z1prOWdaa1prWmtaa1prOWdaa1prWmtaa1prOWdaazlnWmtaa1prWmtaazlnWms5Z1prOWdaa1prWmtaa1prWmtaazlnWms5Z1prOWdaazlnWms5Z1prOWdaazlnWmtaa1prWmtaa1prWms5Z1prOWdaazlnWmtaa1prWmtaa1prWmtaa1prWmtaa1prWms5Z1prOWdaa1prWms5Z1prWmtaa1prWmtaa1prWmtaa1prWms5Z1prWmtaazlnWms5Z1prOWdaazlnWms5Z1prWmtaa1prWms5ZzlnOWc5ZzlnWms5Z1prOWdaazlnOWc5Z1prOWc5ZzlnOWc5ZzlnOWdaazlnOWc5Z1prOWdaazlnAAB7b1pre29aa3tvWmt7b1pre29aa3tvWmt7b1prem9aa3pvWmt6b1prem9aa3tvW2t7b1prOms6Z1trWmtaazpnGWMZY7ZWjTUrKW0x0DmvNXROGmN9bzpnO2d9b51zOmd7b5xze29baztrEkJMKdA5W2t8b3tve29ba1pr+F4rJesgbzFca3xve29Za3prWmt7b1prW2tba3tvW2t7b1prWmtaa1prWmt7b3tve29aa3tvWmt7b1prWmtaa1prWWtaa1lremtaa1trOmdca1trfG9ba1trWmtaa1pre29Za1prWmtaa1prWmtaa1prWmtaa1prWmtaa3tvWmtaazlnWmtaa1prWmtaa1prWmtaa1prWmtaa1prWmtaa1prWmtaa1prWmtaa1prWmtaazlnWmtaa1prWmtaa1prWms5Z1prWmtaa1prWmtaa1prOWdaa1prWmtaa3tvWmtaa1pre29aa3tvWmt7b1prWmtaa1prWmtaa1prWmtaa1prWmtaa1prWmtaa3tvWmtaa1pre29aa1prWmtaa1prWmtaa1prWmtaa1prWmtaa1prWmtaa1prWmtaa1prOWdaazlne29aa1prWmtaazlnWms5Z1prOWdaazlnWms5Z1prOWdaazlnWms5Z1prOWdaazlnWmsAAFprem9aa3pvWmt6b1prem9aa1prWmt7b1prem9aa3pvWWt6a1prem9Za1prWmt7b1prWms5Z1prWmtaa1prWms6Zxhj+GI5Z5VSrjUrKY0xbS2ONTNGO2d9bztnO2e+dzlne286Zztn+V6wNckYbS35XpxzWmt7b1prWmv4Xm0xyhxOLRpjfG9aa1prWWt6b1prWms6Z1tvW2tba1pre285Z1prWmt7b1pre29aa3tvWmt7b1prWmtaa1prWmtaazhnWWtZa1prOmdbaztrXGv4XvliW2ucc1prWWtaa1lrWmtaa1prWms5Z1prOWdaazlnWmtaa1prWmtaazlnWmtaa1prWmtaa1prWmtaa1prOWdaazlnWms5Z1prWmtaa1prWmtaa1prOWdaazlnWmtaa1prOWdaazlnWms5Z1prWmtaa1prWms5Z1prOWdaazlnWmtaa1prWmtaa1prWmtaa1prWmtaa1prWms5Z1prOWdaazlnWms5Z1prWmtaazlnWmtaa1prWmtaa1prWmtaa1prWmtaa1prWmtaa1prOWdaazlnWms5Z1prOWdaazlnWms5Z1prOWc5ZzlnWmtaa3tvWmtaa1prWms5Z1prOWdaazlnWms5ZzlnOWc5ZzlnOWc5ZzlnOWc5ZzlnWms5ZwAAem9aa3tvWmt6b1pre29aa3pvWmt7b3pve29aa3tvWmt6b1pre296a1prWmt6b1pre29aa3pvWmt6b1prem9aaxhjWmt8bxlnGWP4XpVS0DlLKW0tjjWPNTNG2Vo8Z/leWmtba1trO2v6YtE5LCVuMddafG98b1tvW2s6ZxpjsDnrHC0pGmNba3tvWmt6b1pre29aa1trfG98c1trW2t7b1prWmt7b1pre29aa3tvWmt7b1pre29aa3tvWmtaa1lrWWs5Z1prWmtbb1trW2s7Z9A50D3XWnxze29Za3pvWWt6b1pre29aa1prWmtaa1prWmtaa1prWmtaa1prWmtaa3tvWmtaa1prWmtaa3tvWmtaa1prWmtaa1prOWdaa1prWmtaa1prWmtaa1prWmtaa1prWmtaa1prWms5Z1prWmtaa1prWmtaa1prWmtaa1prWmtaa1prWmtaa1prWmtaa1prWmtaa1prWms5Z1prOWdaazlnWmtaa1prWmt7b1prWmtaa1prWmtaa1prWmtaa3tvWmt7b1prWmtaa1prWmtaa1prWmtaa1prWmtaa1prOWc5Z1prOWdaazlnWmtaa3tvWmt7b1prWmtaa1prOWdaazlnWms5Z1prOWdaazlnWms5Z1prOWdaazlnWmtaa1prAABaa3pvWmtaa1prem9aa1prWmtaa1prem9aa3tvWmt6b1prem9aa3pvWWtaa1lremtZa1prWWtaa1lrem9Za1lre286ZxhjW2tbazpn+F4ZY3VS8T1tLW4xbjGPMdE9dU4ZYzpnO2dca9le0j0LIQslVU5ca1tre29ba1trOmcTRsocLSXYWjpnWmt6b1lrWmt6b1prWmt8c3xve29aa3tvWmtaa1prWmtaa3tvWmtaa1prWmtaa1prWmtaa1prWmtZa1lrOGdaa1trXGsaY/li6iAKIRJGW2t7b1lrWmtaa1lrWmtaa1prWmtaa1prWmtaa1prOWdaazlnWmtaa1prWmtaa1prWmtaa1prWmtaa1prWms5Z1prOWdaazlnWmtaa1prWmtaa1prWms5Z1prOWdaazlnWms5Z1prOWdaazlnWms5Z1prWmtaazlnWmtaa1prWmtaa1prWms5Z1prWmtaa1prWms5Z1prOWc5ZzlnWms5Z1prWmtaa1prWmtaa1prWmtaa1prWmtaa1prWmtaa1prWms5Z1prOWdaazlnWms5Z1prOWdaazlnWms5Z1prOWdaazlnWms5Z1prWmtaa1prWmtaa1prOWc5ZzlnWms5ZzlnOWc5ZzlnOWc5ZzlnOWc5ZzlnWms5Z1prOWcAAHtvWmt6b1pre29aa3pvWmt6b1prem9aa3tvem97b1pre29aa3tvWmt6b1lremtZa3tvem96b1prem9aa3pvWWtZa1pre29aazprOmc6ZxljGWP4XrdWEkKOMSslbS2ONa418D2WUvpi+l4URpAxTS1USjtrXG9ba3xvW2tbb1RO6yAMJdhaGmN7b3pvem9Za3tvWmt7b5xznXd7b1trW2t7b1pre29aa3tvWmt7b1prWmtaa3tvWmt7b1prW2taa3pvWWtZa1prfG9baxpn2FpNLQohEkZba3xvOWd6a1lrWmtaa1prWmt7b1pre29aa3tvWmtaazlnWmtaa1trWmt7b1prWmtaa1prWmt7b1pre29aa1prOWdaazlnWms5Z3tvWmtaa1prWmtaa1prWmtaa1prWms5Z1prWmtaa1prWmtaa1prWmtaa1prWmtaa3tvWmtaa1prWmtaa1prWmt7b1prWmtaa1prWmtaazlnWms5Z1prWmtaa1prWmtaa1prWmtaa1pre29aa1prWmtaa1prWmtaa1prOWdaazlnWmtaa1prWmtaa1prWmtaa3tvWmt7b1prWms5Z1prOWdaa1prWms5Z1prOWdaazlnWms5Z1prOWdaazlnWms5Z1prOWc5ZzlnWms5Z1prWmtaawAAWmt6b1prem9aa3pvWmt6b1lrWmtaa1prWmtaa1prem9aa3pvWmtaa1prWmtaa3pvWmt6b1premtZa1prWWt6a1pre29aa1prWmtaa1prWms5ZzpnGGP4XpRSEUKMMSslCyVNKU4pkDXTPdI9Ti0tJbA1O2caY3xvfG9Za3prlFLqIC0pE0J9c1tre29Za5tvWWt6a1prem9aa3trW2t7b1prWmtaa1prWmtaa1prWmtaa1prW2t7b1prW2s6a1prWWtZazlnWms6a1trGmf6Xm8x6yBuLV1vOmtZa3lrWWs5Z1prWmt7b1tre297b3tvWmtba1prW2s6Z1prOmdaa1prWmtaa1prWmtaa1prWms5Z1prWmtaazlnWmtaa1prOWdaa1prWms5Z1prWmtaazlnWmtaa1prWmtaazlnWmtaa1prOWdaazlnWmtaa1prWmtaa1prWms5Z1prOWdaazlnWms5Z1prOWdaazlnWms5Z1prWmtaazlnWmtaa1prWmtaa1prWms5Z1prOWdaa1prWmtaa1prOWdaazlnWms5Z1prOWdaazlnOWc5Z1prOWdaazlnWms5Z1prOWdaazlnWms5Z1prOWdaazlnWms5Z1prOWdaazlnWms5Z1prGGM5ZzlnOWcYYzlnOWdaa1prAAB7b1pre29aa3tvWmt7b1prWmtaa3pvWmt6b1pre29aa3tvWmt7b1prem9aa3tvem97b1pre29aa1prWmt6b1pre29aa3tvWmtaa1prWmtaa1prWmt7b1prWmv3XtZalVIzRhNCsTktKQwhyhzrHOwgTil2TthaXGudczhjWmu2VskcLSkzRlxrOmd7b1prOGd6b1lrem9aa3tvWmt7b1trW2taa3tvWmt7b1pre29aa1trW2t7b1tre29aa1trWmtaa1lrWms5Z1trW2s7Z/lekDHKHE4tPGdcazlneWtYa1prWmt7b1tre29ba3tvWmt7b1prW29ba1trWmtbazprW2taa1prWmtaa1prWmtaa1prWmtaa1prWmtaa1prWmtaa1prWmtaa1prWmtaa1prWmtaa1prWmtaa1prWmtaa1prWmtaa1prWmtaa1prWmtaa1prWmtaa1prWmtaa1prWmtaa1prWmtaa1prWmtaa1prWmtaa1prWmtaa1prWmtaa1prWmtaa1prWmtaa1pre29aa1prWmtaazlnWmtaa1prWmtaazlnWms5Z1prOWdaa1prWmtaa1prOWdaazlnWmtaa1prWmtaa1prWmtaa1prOWdaazlnWms5Z1prOWc5ZzlnWms5ZzlnOWdaa1prWmsAAFprem9aa3pvWmt6b1prem9aa1prWmtaa1prem9aa3pvWmt6b1prWmtaa3pvWmt6b1prem9aa1prWmtaa1prWmtaa1prWmtaa1prWmtaa1prOWc5ZzlnOWc5ZzlnGGMYY/he+V6WUvI9bi0MJcoYyRjrHNE5NEYbZ11rGmM6Zxlj6yBOKdE5XWsZY51zOmdaa1lremtZa3prWmt7a1trW2taa3tvWmt7b1pre29aa1prWmtba1prW2taa1trWmtaa1prWms5Z1prWmtbaxpn+l6QNesgDCX6XltrOWc4Z1lrWWtba1prWmtaa1prWmtaa1prWmtaa1prWmtbazpnWmtaa1prWmtaa1prWmtaa1prWmtaazlnWmtaa1prOWdaazlnWms5Z1prOWdaazlnWms5Z1prOWdaa1prWms5Z1prOWdaa1prWmtaa1prWmtaa1prWms5Z1prWmtaazlnWms5Z1prOWdaazlnWms5Z1prWmtaazlnWmtaa1prOWdaa1prWms5Z1prWmtaazlnWmtaa1prOWdaazlnWms5Z1prOWdaazlnWms5Z1prOWdaazlnWms5Z1prOWdaazlnWms5Z1prOWdaazlnWms5Z1prOWdaazlnOWc5ZzlnOWc5ZzlnOWc5ZzlnOWc5ZzlnWms5ZwAAe296b3tvWmt7b3pve29aa3tvWmt6b1pre29aa3tvWmt7b1pre29aa3tvWmt7b1pre29aa3pvWmt6b1prem9aa3tvWmtaa1pre29aa3tvWmt7b1prWms5Z1prOWc5ZxhjWms5Zzpn+F7YWlVKkDWpFFZKsTUtKZE1mFIbYzxnuFaQNS0pkDVdb1xrfG86Z3tvem9aa3prWmt7b1pre2tba3tvWmt7b1pre29aa3tvWmt7b1pre29aa3tvWmtba1prWmtaa1prOWdba1trO2f6YvI9DCUMJZdWfW86Z1lrWWt6b1prWmtaa3tvWmtaa1pre29aa1prWmtba1prWmtaa1prWmtaa1prWmtaa1prWmtaa1prWmtaa1prWmtaa1prWmtaa1prOWdaa1prWms5Z1prWmtaa1prWmtaa1prWmtaa1pre29aa3tvWmtaa1prWmtaa1prWmtaa1prWmtaa1prWmtaa1prWmtaa1prWmtaa1prWmtaa1prWmtaa1prWmtaa1prWmtaa1prWmtaa1prWmtaazlnWms5Z1prOWdaa1prWms5Z1prOWdaazlnWmtaa1prOWdaazlnWms5Z1prWmtaa1prWmtaa1prWmtaazlnOWc5ZzlnOWc5ZzlnWms5Z1prOWdaazlnWms5Z1prAABaa3pvWmt7b1prem9aa3tvWmt6b1prem9aa3pvWmt6b1prem9aa3pvWmt6b1prem9aa3pvWmtaa1lrWmtaa1prWmtaa1prWmtaa1prWmtaa1prWmtaa1prWmtaa1prWmtYZzdnOGM5Zxlj+V4TQusgby3TPVdK1D0NJXAt0z02SpExDSFOKTxnPGd9bxljW2taa1prWmtaa1prWmtaa1trWmt7b1pre29aa3tvWmt7b1prWmtaa1prWmtaa1prWms5Z1prWWtaazpnW2s6ZxtjE0JOKeocNEZca1prWWd6b1lrWmtaa1prWmtaazlnWmtaa1prWmtaa1prWmtaa1prWmtaa1prWmtaa1prWmtaazlnWmtaa1prOWdaa1prWms5Z1prOWdaazlnWms5Z1prOWdaa1prWmtaa1prOWdaazlnWmtaa3tvWmt7b1prWmtaa1prWmtaazlnWms5Z1prOWdaazlnWms5Z1prOWdaazlnWmtaa1prOWdaa1prWms5Z1prWmtaazlnWmtaa1prOWdaazlnWms5Z1prOWdaazlnWms5Z1prOWc5ZzlnWms5Z1prOWdaazlnOWc5Z1prOWdaazlnWms5Z1prOWdaazlnOWc5ZzlnOWc5ZzlnOWc5ZzlnOWc5ZzlnOWc5ZzlnOWcAAHtvem97b3pve296b3tvem97b1pre296b3tvWmt7b1prem9aa3tvem97b1pre29aa3tvWmt7b1prWmtaa3pvWmt7b1pre29aa1prWmt7b1prOWc5Z1prWmtaazlnWmtZZ1hrN2d5b1lrGWP4XlVKDCENJZI1ulb1QQ8lUC1QLQ4lDiXLHE8td1L6Yn1vnXNba1trWmtba1prW2taa1trWmt7b1pre29aa3tvWmt7b1pre29aa3pvWmtaa1prem9aa1prWmtaa1lrWmtaa1trGmNVTo8x6hyPNTtrOmtaa1lremtaa3pvWmtaa1prWmtaa1prWmtaa1prWmtZa3prWmtaa1prWmtaa1prWmtaa1prWmtaa1prWmtaa1prWmtaa1prWmtaa1prWmtaa1prWmtaa1prWmtaa1prWmtaa1prWmtaa1prWmt7b1pre29aa1prWmtaa1prWmtaa1prWmtaa1prWmtaa1prWmtaa1prWmtaa1prWmtaa1prWmtaa1prWmtaa1prWmtaa1prWmtaazlnWms5Z1prOWdaa1prWmtaa1prOWdaazlnWms5Z1prOWdaazlnWms5Z1prOWdaa1prWmtaa1prWmtaa1prWms5Z1prOWc5ZzlnOWc5Z1prOWc5ZzlnWms5Z1prOWdaawAAWmt7b1pre29aa3tvWmt7b1pre29aa3pvWmt6b1prWmtaa3pvWmt6b1prem9aa1prWmt6b1prWmtaa1prWmtaa1pre29aa1prWmtaa1prWmtaa3tvWmt7b1prWms5Z1prWGdYa5pvm28ZYxpjVUoMIQ0lszncXvVBihQOJS8pszkvKcwcDSWxNTVG2Fpca1trOmdbazpnWmtaZ1trOmdaa1prW2taa1trWmtaa1prWmtaa3pvWWtaa1lrWmtZa1prOWdaa1lrWWs5Z1trOmcbZ5dS0j3JGCwpGWNba1prWWtZa1prWmtaa1prWmtaa1prWmtaa1lrWmtZa1prWWtaa1lrWmtaa1prWmtaa1prWmtaa1prOWdaa1prWms5Z1prWmtaa1prWmtaa1prWmtaazlnWms5Z1prWmtaazlnWms5Z1prOWdaa1prWmtaa1prWmtaazlnWmtaa1prOWdaazlnWms5Z1prOWdaazlnWmtaa1prOWdaa1prWms5Z1prOWdaazlnWmtaa1prWmtaazlnWms5ZzlnOWdaazlnWms5Z1prOWdaazlnWms5Z1prOWdaazlnOWc5Z1prOWc5ZzlnWms5Z1prOWdaazlnWms5ZzlnOWc5ZzlnOWc5ZzlnOWdaazlnOWc5Z1prOWc5ZzlnAAB7b3pve296b3tvem97b3pve296b3tvWmt7b1pre29aa3pvWmt7b3pve296b3pvWmt7b1prem9aa3pvWmt6b1pre29aa3tvWmt7b1prWmtaa1prWmtaa1prWmtaa3tvem+abzhneWtZazpnO2eXUgshDSWRMR5nV04uJS8pDiUuKRZGDiUNJQwlkDGPMZdS+V5ca1trW2taa1trWmtba1prW2tba1trWmt7b1prW2taa3tvWmtaa1lrWmtZa3prWmtaa1prWmtZZ1prWmtbaxpn2VoTQuogCiEaY1tve29Za3prWmt6b1pre29aa1trWmtba1prWmtZa3prWWtZa1lrWmtaa1prWmtaa1prWmtaa1prWmtaa1prWmtaa1prWmt7b1prWmtaa3tvWmtaa1prWmtaa1prWmtaa1prWmtaa1prWmtaazlnWmtaa1prWmtaa1prWmtaa1prWmtaa1prWmtaa1prWmtaa1prWmtaa1prWmtaa1prWmtaa1prWmtaa1prWmtaa1prWmtaa1prWms5Z1prOWdaazlnWmtaa1prWmtaazlnWms5Z1prOWdaazlnWms5Z1prOWdaazlnWmtaa1prWmtaa1prWmtaa1prOWdaazlnWms5ZzlnOWdaazlnOWc5Z1prOWc5ZzlnWmsAAFprem9aa3pvWmt6b1pre296b3tvem97b1pre29aa3tvem96b1pre297b3tvWmtaa1lrWmtaa1prWWtaa1prWmt7b3tvWmtaa1prWmtaa1prWmtaa1prWmtaa1prWmtaazlnems5Z1pnGmM7Z7hWTSkMIU4pulr7XvM9sTmQMW8tyxzLHOwgsTUUQk0pjjFMLdA5llIZYzpnGWNba3trfG8ZY1pre298b1trWmtaa3tvWmtaa1prWms5Z1lrWWtaazlnWmtZa1prOWdaazpnO2sbZ/JByhwLJXVOW2s5Z3tvGGOccxhje29baxhjfG86azprOWdaa3pvOGdZa1lremtZa1prWmtaa1prWmtaa1prWmtaazlnWms5Z1prWmtaa1prWmtaa1prOWdaa1prWms5Z1prWmtaa1prWms5ZzlnOWdaazlnWms5Z1prWmtaa1prWmtaa1prOWdaazlnWms5Z1prOWdaazlnWms5Z1prWmtaazlnWms5Z1prWmtaazlnWmtaa1prOWdaa1pre285Z1prOWdaazlnWms5Z1prOWdaazlnWms5Z1prOWdaazlnWms5Z1prOWc5ZzlnOWc5ZzlnOWdaazlnOWc5Z1prOWdaazlnWms5ZzlnOWc5ZzlnOWc5Z1prOWc5ZzlnOWc5ZwAAe29aa3tvWmt7b1pre297b3tve297b3tve296b3tvem97b3pve296b5tze297b1prWmtaa3pvWmtaa1prem9aa3tve297b1prWmtaa1prWmtaa1pre29aa3tvWmtaa1prWmtba1trO2c7Zztn2VpOLQwlTSnaXjxrt1aWUpZSVErrHA0l6xzrHLhW+l5VSvE9jjFtLa41Mkb4XjlnOmcZY55zW2s6ZxljW2tba3xvW2tba1pre29aa1prOWc5ZzhnWmtZa1prWWtaazlnW2s7ZztnNEYLIeocM0Zba1tvWmt7b3tvGGNaa1prOmtba3xve29aa5xzem9Za1lreW9Za1prWmtaa1prWmtaa1prWmtaa1prWmtaa1prWmtaa1pre29aa1prWmtaa1prWmtaa1prOWdaazlnOWc5Z3tve29aazlnWmtaa1prWmtaa1prWmtaa1prWmtaa1prWmtaa1prWmtaa1prWmtaa1prWmtaa1prWmtaa1prWmtaa1prWmtaa1prWmtaa1pre29aa1prWmtaa1prWmtaa1prWmtaazlnWms5Z1prOWdaa1prWms5Z1prOWdaazlnWms5Z1prOWdaazlnWms5Z1prOWdaa1prWmtaa1prOWdaazlnWms5Z1prWmtaazlnWms5Z1prAABaa3pvWmt6b1pre29aa3tvem97b3pve296b3tvWmt7b3tve29aa3pve297b1prWmtaa1prWmtaa1prWmtaa1prWmt7b1prWmtaa1prWmtaa1prWmtaa1prWmtaa1prWms6Z1trOmc7axtjPGfZWo8x6yBNLbdWfW8ZYxlj+F7XWm4t6xzKGAwhuFZ+b9laGmOWUvE9TClsLY0xrjURQrZW2F4aYztnXG9ba1trOmc6Z3tve286ZzlnGWM5Z1prnHM5Z1prWWdZa1lrWms6ZztrGmOXUuocyRiPNVxrW2s6Z3tvW2s5Z1tvOmf4XvFBdE46Z3tvW2taa1lreWtZa1lrWWtaa1prWmtaa1prWmtaa1prWms5Z1prOWdaazlnWmtaa1prOWdaazlnWmtaa1prWmtaa1prWms5ZzlnOWd7bzlnWms5Z1prOWdaazlnWmtaa1prOWdaa1prWms5Z1prOWdaazlnWms5Z1prOWdaa1prWms5Z1prOWdaazlnWmtaa1prOWdaazlnWms5Z1prOWdaazlnWms5Z1prOWdaazlnWms5ZzlnOWdaazlnWms5Z1prOWdaazlnWms5ZzlnOWdaazlnWms5Z1prOWdaa1prWms5Z1prOWdaazlnWms5Z1prOWdaazlnWms5ZzlnOWcAAHtvWmt7b1pre296b3tvem97b3tve296b3tvem97b1pre296b3tvWmt7b3tve29aa3pvWmt6b1prem9aa3pvWmt7b1pre29aa3tvWmt7b1pre29aa3tvWmt7b1prWmtaa1trW2s7ZztnO2c7Z/pe0TnqIEwpdU58b1trWms5Z/dedlLqHOocbi0TQtlafW9+b1xr+V63VnVO8T1MKWwtrjWvNRJCt1YaYztrO2tcb3xvOmc6a3tve298b1prWms5Z1prWWtaa1lrWmtZa1prO2c7Z5dW6yDJHE0tGmN8bzpnW29aa3tvfG9ba/A9CSEKIfliW2tbazlnemtZa3pvWWt6a1prWmtaa1prWmtaa1prWmtaa1prWmtaa1prWmtaa1prWmtaazlnWmtaa1prWmtaa1prWms5Z1prWmtaa1prWmtaa1prWmtaa1prWmtaa1prWmtaa1prWmtaa1prWmtaa1prWmtaa1prWmtaa1prWmtaa1prWmtaa1prWmtaa3tvWmtaa1prWmtaa1prWmtaa1prWmtaa1prWmtaa1prWmtaa1prOWdaazlnWms5Z1prWmtaazlnWms5Z1prOWdaazlnWms5Z1prOWdaazlnWmtaa1prOWdaazlnWms5Z1prOWdaazlnWms5Z1prOWdaawAAWmt6b1prem9aa3pvWmt7b1pre296b3tvWmt6b1pre29aa3tvWmt6b1prem9aa3pvWmtaa1prem9aa1prWmt6b1prWmtaa1prWmtaa1pre29aa1prWmtaa1prWmtaa1prOmdaazpnW2saYztn+mITRqgUKyXxPXxve2ucc1prWmv5XtE9yRwLJU0pdU5+b1xrGmM6ZztnW2sZY7ZWEkLPOW0tbi1uLdA5NErYWhpnXG9ba1xvW2tbbzpnOmc5Z1prOWdaa1lrWmtZa1prWmtbaxpnl1bqHAshCyW3VltrW2taa3tvO2s7Z9he6RzqIAohllJcazpnWmtaa1lrem9Za1lrWmtaa1prWmtaa1prWms5Z1prWmtaazlnWmtaa1prOWdaazlnWms5Z1prOWdaazlnOWcYYzlnOWdaa1prWms5Z1prOWdaazlnWms5Z1prOWdaa1prWms5Z1prWmtaazlnWms5Z1prOWdaazlnWmtaa1prOWdaazlnWmtaa1prWmtaa1prWms5Z1prOWdaazlnWmtaa1prOWdaa1prWms5Z1prOWdaazlnOWc5Z1prOWdaazlnWms5Z1prOWdaazlnOWc5Z1prOWdaazlnWms5Z1prOWdaazlnOWc5Z1prOWc5ZzlnOWc5ZzlnOWdaazlnAAB7b1pre29aa3tvWmt7b3tve296b3tvem97b1pre29aa3tvem97b1prem9aa3tvWmt6b1pre29aa3pvWmt7b1pre29aa3tvWmt7b1pre29aa1prWmt7b1pre29aa1prWmt6a1lnWmtbazpnGmM7Z1RKyBgrJc85W2t8b5xve29bazpn11orJekgbS2vNbdWfW99b1xvXGsaYztnW2s7Z7dadlI0RtE9bjFuMa81EkIzSvle+V46ZzpnW2tba3xvfG9aa1lrWmtZa3prWWtaa1trPGuXViwlDCUrJTRKXGtbb1trW2tcazpndU5mDCwpTCl1Tn1vXG9ba3tvOWeab1lrWmtaa1prWmtaa1prWmtaa1prWmtaa1prWmtaa1prWmtaazlnWmtaa1prOWdaazlnnHN7b1prOWdaa1prWmtaa1prWmtaa1prWms5Z1prOWdaa1prWmtaa1prWmtaa1prWmtaa1prWmtaa1prWmtaa1prWmtaa1prWmtaa1prWmtaa1prWmtaa1prOWdaa1prWmtaa1prWmtaa1prWmtaa1prWmtaazlnWms5Z1prOWdaa1prWmtaa1prOWdaazlnWms5Z1prWmtaa1prWmtaa1prOWdaazlnWms5Z1prOWdaazlnWms5ZzlnOWdaazlnWmsAAFprem9aa3pvWmt7b1pre29aa3tvWmt6b1pre29aa3pvWmt7b1prWmtaa1prWmt6b1prem9aa3pvWmt6b1prem9aa3tvWmtaa1prWmtaa1prWmtaa1prWmtaa1prWmtZa1lrWWs4Z3prGWMZYxpjlVLIGEwpjTFba1trfG85Z1trOmcZY40xKyVLKW0trzUZYztnfW+dc3xvO2dbazpnGmMbZzxn+l53UtE9jjFNLW4xbTHxPXRO+WI6Z1trOmc5ZzpnWmtZZ1lrWWtaa1prW2s8a9haTSkLIeoc8T1ba1xvO2tba1trXGuwNYcQ6hxNLfJBfW9ba1tre285Z1lrWWtZa1prWmtaa1prWmtaa1prOWdaazlnWmtaa1prOWdaazlnWms5Z1prOWc5ZzlnOWf3XjlnOWdaazlnOWc5Z1prOWdaazlnWms5Z1prOWc5ZzlnWms5Z1prWmtaa1prWms5Z1prOWdaazlnWms5Z1prWmtaazlnWms5Z1prOWdaazlnWms5Z1prOWdaazlnWmtaa1prWmtaa1prWmtaa1prWmtaazlnWms5ZzlnOWc5ZzlnWms5Z1prOWdaazlnWms5Z1prOWdaazlnWmtaa1prOWdaazlnWms5Z1prOWdaazlnWms5ZzlnOWc5ZzlnWms5ZwAAe29aa3tvWmt7b3pve296b3tvem97b1pre29aa3tvWmt7b3pve29aa3pvWmt6b3pve29aa3tvWmt7b1pre29aa3tvWmt7b1pre29aa3tvWmt7b1pre29aa3tvWmtaa1lrem9Ya1lrems5ZxljOmeWUsgYTCmOMTtnfG98b3trnHN8b/da8T3pHOkcEkKwNW4tGmM7Z31vXGt9b1xvfW9ca11rPGtdazxnG2OXVjNG0DlNLUwtbTGONRJCdVIaY1xrW2taa1prWmt6b1prW2tba31v+V6PNeoc6RyvNX1vW2udczpnXGtcayslyRjqILA10Dlca1trOmt7bzhne29Za1prWmtba1prW29aa1trWmtaa1prW2taa1tvWmtaazprWmtaa1prOWtaazpnOmcZY/A9VEr5XjpnW2s6Z1prWmtaa1lrWmtZZ1prOWdaazlnWmtaa1prWmtaa1prWmtaa1prWmtaa1prWmtaa1prWmtaa1prWmtaa1prWmtaa1prWms5Z1prOWdaa1prWmtaa1prWmtaa1prWmtaa1prWmtaa1prWms5Z1prOWdaazlnWmtaa1prWmtaa1prWms5Z1prOWdaazlnWmtaa1prWmtaa1prWms5Z1prWmtaa1prWmtaa1prOWdaazlnWmtaa1prAABaa3tvWmt7b1pre29aa3tvWmt7b1pre29aa3tvWmt7b1prWmtaa1prWmtaa1prem9aa1prWmt7b1prem9aa1prWmtaa1lrem96b3tvWmtaa1prem9aa1prWWtaa1lrWmtZa1lrOGdZa1lrOWf4YvheTSkKIY8xt1Z9c1pre296b1lrOWdUTgoh6hzzQZA1TiluLVVO2FoaY1xrfm9da35zfW99b1trO2c6ZztnGWPXWnVOVErxPY8xLSlOLbE1FEL5XhljGmM6ZxpjOmc7Z1xrO2caY9E96RwKISslW2tba3xvW2s7Z9hahxALIQshsDXQOVtrW2s6Z1prW2t7b1trOmtaazprW2s6a1prOmtaazprWms6a1trOmtaazprWms5a1lvOWs6aztrXG8aY7hWDCXqHNE5G1/6XjtjXGcZX1pnWWc5Z1prOWdaZzpnW2s6Z1trOmtaazlnWmtZa1prOWdaa1prWms5Z1prWmtaazlnWms5Z1prOWdaazlnWmtaa1prWmtaa1prWmtaa1prOWdaa1prWmtaa1prOWdaa1prWms5Z1prOWdaazlnWms5Z1prOWdaazlnWms5Z1prWmtaazlnOWc5Z1prWmtaazlnWms5Z1prOWdaazlnWms5ZzlnOWc5ZzlnOWc5ZzlnOWcAAHtvWmt7b1pre29aa3tvWmt7b1pre297b3tvWmt7b3tve29aa3tvWmt6b1pre29aa3pvWmt7b3tve296b3tvWmt7b1prWmtaa3tve297b1pre29aa3pvWmtaa1lrWmtaa1lrWWtZa1lrWWs5Zxlj+V6wOeocjzV2Tp5zW2ubc3pvem8YY7ZW6RwsJbE5VkqyOfNBbjFNLfE9+V48Z11vnnM6Z3tvvXd8b1trOmdbazpnW2saZ/lel1I0RrE1cDEtKSwprjV0TvleXGtca1xrO2dcaxpjEkKnFOkcKyUaY1xre286Z1xrdU5mEMkYsTm3VlRKfG98b1pnfG9aa3xvW2tbazprW29aa1tvOmtbazprW2s6a1tvOmtbazprW286azlrOWtabzprW2tcbzxn2lpwMU8p7BxOKblWfmtdZztjOWNZa5tvWWc5Zzpne2tba1trWmtba1prWmtaa1prWmtaa1prWmtaa1prWmtaa1prWmtaa1prWmtaazlnWmtaa1prWmtaa1prWmtaa1prWmtaa1prWmtaa1prWmtaa1prWmtaa1prWmtaazlnWmtaa1prWmtaa1prWms5Z1prOWdaazlnOWc5Z1prWmtaa1prWms5Z1prOWdaazlnWms5ZzlnOWdaazlnOWc5Z1prOWdaawAAWmt7b1pre29aa3tvWmt7b1pre29aa3tvWmt7b1pre29aa3tvWmtaa1prWmtaa1prWmt7b1pre296b3tvWmt6b1prWmtZa1prem97b1prWmtaa3pvWmtaa1lrWmtZa1prOGdZa1lrWWs5Zzln+GIZYxNCyRxuLRNGfW98b3pvm3N6bzln11oKIS0lbzHbXndODCWPMbA1bjFMKfI92Vp9b1trnG97b3tve2+bb3prWmsZYzpnGmM7Zxtj2VpVShNCjjGOMUwpTS2OMRNGl1YbYxtjPGd2UskcqBgLIVVOXGtba1trXGszRocQyRjyPflet1Z9b1trWmt7a1trOmdbazprWms6a1prOmtaazprOms6a1prOmtaazprW2s6a1prOGdZazlrOms6a1xvO2cbY3ZO8jkMIesYjy2YUjxjfWs6Y1pnOWdaZzljWmc6Z1trWmdaazpnWmtaa1prOWtaa1prWms5Z1prWmtaazlnWmtaa1prOWdaazlnWms5Z1prWmtaa1prWmtaa1prWmtaa1prWms5Z1prOWdaazlnWmtaa1prOWdaazlnWms5Z1prWmtaazlnWms5Z1prOWdaazlnWms5ZzlnOWdaa1prWms5Z1prOWdaazlnWms5Z1prOWdaazlnOWc5Z1prOWc5ZzlnAAB7b3tve29aa3tve297b1pre297b3tvWmt7b3tve29aa3tvem97b1prem9aa3pvWmt7b3pve29aa3tvem97b1pre29aa1prWmt7b3pve29aa3tvWmt6b1prWmtaa1prWmtZa1lremtZa1lrOWc5ZxljllLJGG4t0Dl8b3xvem96b3pvOWcZY00tLSkuKV5r214URk0tTS2vNa81jjHyQVVOW2taa3tve2ubb3tve29ZZ3trWmdaazpnfG87axpn+V63WlRK8T1tLUwpTSmvNdE5NUpWTlZO6hzKHMoc0jkcZ1trOmc7a44xyRgMIbhWG2MaY1trW2s6Z3xvW2tba1trW2taa1tvWmtbb1prWms5a1pvOmtaazprWm86a1prOmtZa1lrWm86a1trW2tcaztnPGd2TtE5TSXrHE4pd05dZ55vOmMZY1pnfG86ZzlnWmdaa1prWmtZa1prWmtaa1prWmtaa1prWmtaa1prWmtaa1prWmtaa1prWmtaa1prOWd7b1prWmtaa1prWmtaa1pre29aa1prOWdaa1prWmtaa1prWmtaazlnWms5Z1prOWdaa1prWmtaa1prWmtaazlnWms5Z1prOWdaa1prWmtaa1prOWdaazlnWms5Z1prOWdaazlnWms5Z1prOWdaazlnWmsAAFpre29aa3tvWmt7b1pre29aa3tvWmt7b1pre29aa3tvWmt7b1prem9aa1prWmt6b1prWmtaa1prWmtaa1prem9aa3pvWmt6b1prem9aa3pvWmt6b1prWmtZa1prWWtaa1lrWWs5Z1lrWWtaaxljGWOXVuocLCWPNRpjfHNaa3pvOWdaa/he8UEMJU4p+2I9axxnEkJMKW0trzUTRvI9bS3wPZVSOWecc3pvWmtZa5tvm2+bb1prWms5ZzpnOmc6ZxpjGmP5XthadU4TQo81bi0tJQwlLSWIFKoYyxwuKbpafW99cztnCyGIEAwl+2JcaztnO2c6Z1prWmtbazpnfG86a1prWmtaazlrWms5Z1prOWdaazlrWms5Z1prOWtaazlrWm9aa1prOWdaazpnW2saYxtj8j0tJU4pLSEuJXdKG2M7ZztnW2s6Z1pnOWdZZ1lnWWtZa1prOWdaazprWms5Z1prWmtaazlnWmtaa1prWmtaa1prWms5Z1prOWdaa1prWmtaa1prWmtaa1prWmtaa1prOWdaazlnWmtaa1prWmtaazlnWms5Z1prOWdaazlnWms5Z1prOWdaazlnWms5Z1prOWdaazlnWmtaa1prOWdaazlnWms5Z1prOWdaazlnWms5Z1prOWdaazlnWms5ZwAAe297b3tve297b3tve297b3tvWmt7b3tve29aa3tve297b1pre29aa3tvWmt7b3pvem9aa3pvWmtaa1prem9aa3tvWmt7b1prem9aa3tvWmt7b1prem9aa1prWWtaa1prem9Za1lrWWt6b1prOmsZY9leLCksJY4x2Fp8b3tvWWtZa1prGWd1Uk0pTimYUj1r+l5ca9haTCnHGI4xM0avNSoljTF0TjljnHOcc5xzem9Za1lre297b3tvemt7b3tvW2tba1trOmcaY9hat1Z2ThNCTi0NJakU7BzsHA0h0z36XjtnG2cMJcocDCEcZ1xrfW87Z3xvWmtba3trW2tba1prWWtab1prWmtZa1prWWtaa1lrWmtZa1prWWtaa1lrWm9aa1pvWmtaazlnWms6ZzpjW2fYWvI9kDFPKS4lDSEUQhtfv3NcZxljWmucb1lnWWtZa1lrWWtaa1prW2taa1prWmtaa1prWmtaa1prWmtaa1prWmtaa1prWmtaa1pre29aa3tvWmtaa1prWmtaa1prWmtaa1prWmtaa1prWmtaa1prWmtaa1prOWdaa1prWmtaa1prWmtaazlnWms5Z1prWmtaa1prWms5Z1prWmtaazlnWms5Z1prOWdaazlnWms5Z1prOWdaazlnWms5Z1prAABaa3tvWmt7b1pre29aa3tvWmt7b1pre29aa3tvWmt7b1prem9aa1prWmt7b1pre29aa3pvWmtaa1prWmtaa3pvWmt7b1prWmtaa1prWmt6b1prem9aa1prWWtaa1lrWmtaa1prOWdZa1lrWms5Zzpn+V7QOekcjjF0Tnxve29aa1lrWms6Z7dajzFuLfNBXm9db1xr+V50To0xCiFtMZZWrjVsLWwtMkb4Xpxve29aa1prem97b5tzem96a1lnWms5ZzpnOmdbaztnO2caY/peG2O4VhRCcDENIe0g7RxPLY8x8T3yPQshLSVOKRxjn3Ncazpne29aazpnfG86Z1trWmtaa1lrWmtZa1prOWdZa1lnWWs5Z1lrWWdZazlnWWtaa1prOWdZa1lrWWs5Z1lnWmc6Z1xr+l7SNbI1kjHMGAwhNUYbYzxnGmNba3prWWdYZ1lrWGdZa1lrWms6a1prWmtaazlnWmtaa1prOWdaa1prWmtaa1prWmtaazlnWmtaa1prWmtaa1prWms5Z1prOWdaazlnWmtaa1prOWdaa1prWms5Z1prOWdaazlnWmtaa1prOWdaazlnWms5Z1prOWdaa1prWms5Z1prOWdaazlnWms5Z1prOWdaazlnWms5Z1prOWc5ZzlnWms5ZzlnOWcAAHtve297b3tve297b3tve297b3tve29aa3tve297b1prem9aa3pvWmt7b3tve297b3tvem96b1prem9aa3tvem97b3pve29aa3pvWmt6b1pre29aa3pvWmtaa1prWmtaa1prWmt6b1lrWms5Z1prOmcaYxJC6hxuMVNKW2+9d1pre285Z3xv2FrSPU4t0jleb11vO2s7a1tr11quNc852Fq3VvE9TClMKRJCtlY6Z3xvfG9ba3prWmt6b3prm297b3tvemt6a1pre29ba1trO2caYzxn+2IURi4l7BxQKXAtsTluLSwliBANJewgmFYbY1xrGWN8bzpnOmd8bztnOmdba1prWmtaa1prWWtaazlnWmtZa1prWWtaa1lrWWtZa1trOWc5Z1lnem9Za1lrOGdZazljOmMaX/paVkrTOXEtqhQuJVZKPGeec1tnOWdZZ3lrWGtZa1lrWmtaa1trWmtba1prWmtaa1prWmtaa1pre29aa1prWmtaa1prWmtaa3tvWmt7b1prWmtaa1prOWdaa1prWmtaa3tvWmtaazlnWmtaa1prOWdaazlnWms5Z1prWmtaa1prWmtaa1prOWdaa1pre29aa1prOWdaa1prWms5Z1prOWdaazlnWms5Z1prOWdaazlnWms5Z1prOWdaawAAe297b3tve29aa3tvWmt7b1pre29aa3tvWmt7b1pre29aa3pvWmt6b1prem9aa3tvWmt7b1prem9aa3pvWmt7b1pre296b3tvWmt7b1prem9aa1prWWtaazlnWmtZa1prOWdaa1lrWmtZa1lrOWc6a/lil1aoGG4trjVcb1prnHNaa3tvW2s7Z1VKLSVvMRxnfW9ca1trW2sZYxljGWM6ZxpjuFozRq81KyVtLTNGO2dca3xvW2t7b1pre2taa1prWWd6b3prem+bb3tvOWdaaztnfW/6XvteyxzLHO0gLymYUjVK0TnKGOwg7CCQMW4xM0a2VjpnfG+VUlRKXGt8bzpnOmdbb51zWms5Zzlne29aa1prOWc5ZzhnWWtZa1prOmdaazlnWWs4Z1lrWWt5a1lnWmc5YzpjG2McY3hO0zlwLaoU6xw0RvpeOmdaa1lnN2NZa1lremtZZ1prOmdaazpnWmtaa1prOWdaazlnWms5Z1prWmtaazlnWmtaa3tvWmtaa1prWmtaa1prWmtaazlnWmtaa1prWmtaa1prWms5Z1prWmtaazlnWmtaa1prWmtaazlnWms5Z1prOWdaa1prWms5Z1prOWdaazlnWms5Z1prOWdaazlnOWc5Z1prOWdaazlnWms5ZzlnOWc5ZzlnAAB7b3tve297b3tvWmt7b3tve29aa3tve297b1pre297b3tvWmt7b1pre29aa3tvem97b3pve29aa3pvWmt7b3tve296b3tve297b1pre29aa3pvWmt6b1prWmtaa1prWmtaa1prem9aa3prWWtaazpnOmeXVukcTSmvNTtrfG97b3tvWmtbaztnl1JOLW8xl1aec1xvfG97bzprOmdba1trO2cbY/piVUqvNSwljjHxPRpjGmNba1trfG9ba3xve2+bb3pveWtZZ3pvemt7b3trfG9ba11r2l7rHMsczBwNJfti+2KYUg0lDSXsIBRG8T1MKW0trjWuNY0xTCkzRhpjXG86ZzpnOmdbb1trW2s6a1prOWdaa1pre29aa1prOWdaazpnWmtZa1lrWGd5a1lrWWdZZ1trOmdcZzxn+l53TrI1sTWqFAshVUp9bzpnOWd7bzlnOWdZZ1prWWtbb1tvWmtaa1prWmtaa1prWmtaa1prWmtaa1prWmtaa1prWmt7b1pre29aa1prWmtaa1prWmtaa1prWmtaa1prWmtaa1prWmtaa1prWmtaa1prWmtaa1prWmtaa1prOWdaa1prWmtaa1prOWdaazlnWmtaa1prOWdaa1prWms5Z1prOWdaazlnWms5Z1prOWdaazlnWmsAAHtve29aa3tvWmt7b1pre29aa3tvWmt7b1pre29aa3tvWmt7b1prem9aa3tvWmt7b1pre29aa3pvWmt7b1pre29aa3pvWmt6b1pre29aa3pvWmt6b1prWmtaa1prWWtaa1prW2taa3prWWtaazlnWms6Z7da6iArJY41GmNba3xvem97bzpnW2u4WrA1LSkTQn1vnXN8b3tvWmt7b1trfG9ba1xrG2f5XpZSM0aOMSsljjESQpZSGmNba3xvO2daZ1lrem9Za1lrWWubb3tve297axpjfm88Z04pLiXNHE8puFZ+c9peTinrHAwhuVqXVtA90DlsLSolKyUKISwll1IaY1xrO2c7ZztnW2saYzpnGWNba3tve285ZxljGWNaazlnWms5Z1lrOWdZa1lnWWs4Z1prWms6ZzpnXGsbY/pemFJvLS0lyhhMKRJCXGs6ZzlnOmdaa3tvWms5Zzlnem9aa1prWmtaa1prWms5Z1prOWdaazlnWms5Z1prOWdaa1pre29aa1prWmtaa1prWmtaa1prWmtaa1prWmtaa1prWmtaazlnWmtaa1prOWdaazlnWms5Z1prOWdaazlnWms5Z1prOWc5ZzlnWms5ZzlnOWdaazlnWms5Z1prOWc5ZzlnWms5Z1prOWc5ZzlnOWc5ZwAAe297b3tvWmt7b3tve297b3tvWmt7b1pre297b3tve297b3pve29aa3tvem97b3pve296b3tvWmt7b3pve29aa1prWmt6b1pre29aa3tvWmt7b1pre29aa3tvWmtaa1prW29ba3tvWmt6b1prWmtaa1tr2FpNLeogrzXXWnxve2+bc3tvW2tba/pi0j1NKY81XGt8c5xzWmt7b3tve297b3xvXGs7ZxpnXGsaY3ZS0DmvNY4xbi1tLdA5VEoZY3xvemt7b5xzem9aa3pre286Z3ROEkLZXjxn0z3tIO4gLykURn5zG2MtKcocDCFeaxpjGmfXWpVSjjFMKSwl6yBOLSwl0T2WUtleXWt9b1xrOmedcztnGWMZY1trfG98b1pnWmtaa1prWWtaa1lrWms5Z1prWmt7bzpnOmc6Z1tnOmP6WndOTSksIagUTSnyPVxrW2tba3xvWmtaa1lrWWs5a1prWmtaa1prWmtaa1prOWdaa1prWmtaa1prOWdaa1pre29aa3tvWmt7b1pre29aa1prWmtaa1pre29aa1prWmtaa1prWmtaa1prWmtaa1prWms5Z1prOWdaa1prWmtaa1prOWdaazlnWms5Z1prOWdaa1prWms5Z1prOWdaazlnWmtaa1prOWdaazlnWms5Z1prAABaa3tvWmt7b1pre29aa3tvWmt7b1pre29aa3tvWmt7b1prem9aa3pvWmt6b1pre29aa3pvWmt7b1prem9aa3tvOWdaa1prem9aa1prWmt6b1prWmtaa3pvWmtaa1prWmtaa1trWmt6b1lrWWtZa1prO2v4Xq816RyOMXVSfG98b1pre29ba1xr+mIURk0tjjH5XnxvnHN6b1pre29aa3tvOWd7b3trWmsaYzpn+V7YWhNC8T2OMUwpKyVsLa81EUL4XlprnG98bzlnW2s6Z9daKyVNKdI9HWdYTs0c7yAOJbE5nnMcZ04tyRgsJV5vPGdcaxpjGmfyQeockDVPLYkUDCVNKSwlDCFuLTRG2FY8ZxtjXGtca3xvO2c7ZzpnWmdaZ3prWmt6a1pnWmc5Z1pnWmtba1pnWmc5Z1lrOGc5Zzpj2VpURuocCyGoFG4tE0I8a31vO2cZYzlnm3N6bzhnOWdaa1prWms5Z1prOWdaazlnWms5Z1prOWdaazlnWmtaa3tvWmt7b1prWmtaa1prOWdaa1prWmtaa1prWmtaazlnWmtaa1prOWdaa1prWms5Z1prOWdaazlnWmtaa1prOWdaazlnOWc5ZzlnOWdaazlnWms5Z1prOWdaazlnWms5Z1prOWdaazlnOWc5ZzlnOWcAAHtvWmt7b1pre29aa3tve297b1pre297b3tvWmt7b3tve29aa3tvWmt7b1pre296b3tvWmt7b3pve29aa3tvWmtaa1prem9aa3tvWmt7b1prWmtaa3tvWmt7b1prWmtaa1trW2t7b1prem9Za1prWmtba/leE0bIGI4xMkadc3xvem97b3tvO2s8Z1VOsDVuMZZWW2u9d3pvm3N7b3pve296a3lrem9ZZ1prWmdbaxpjW2v5XnVO0DmOMUwpTClMKfA9U0oaY31vfW+dc1trU0rJGAwlcDG6Vt1ezhwxKe4gkDE7Zzxrbi3rHC0pXm88a31vGmOec1RK6hyyOVdO7CANIW8tNUYUQm8tLCVuLU0p8j11ThtjXGtcZxpjXGt8b1prWWd6a1pre2taZ1trOmdba1pnWmtZZ3prWWt5a1hnnG/4WrdWt1YLIcoY6xwMITVK2Vp9b1xrWmtaa3pvWGtaa1prWmtaa1prWmtaa1prWms5Z1prWmtaazlnWmtaa3tvWmt7b1pre29aa3tvWmtaa1prWmtaa1prWmtaa1prWmtaa1prWmtaa1prWmtaa1prOWdaazlnWmtaa1prWmtaazlnWms5Z1prOWdaazlnWms5Z1prOWdaazlnWmtaa1prWmtaa1prWms5Z1prOWdaawAAWmt7b1prWmtaa3tvWmt7b3tve29aa3tvWmt7b1prWmtaa3tvWmt6b1pre29aa3tvWmt6b1pre296b3tvWmtaa1prem9aa3pvWmt6b1prWmtZa1prWmt6b1prWms5Z1prOmtba1prWmtZa1lrOWdaazpnGWNUSqgYbTHxPXxvfG9aa5xzWms7azxruFawNW0tEkI6Z5xzem+bc5tzWmubc5pveGs3Z3lre2+bb1prOmf5XjpnOmc7Z/hedE6vNUwpLCVuLRNG2FoaY55zO2fyQYgULSUuJdQ5m1bwJM8crRgtKdhaG2NuLcocTikcZ35vXGs7Z1xrllLKGE8tmlLUPQ4lcDF4UvxiNUbSObE1TiktJSwlTSnyPbhWXGs8ZzpjOGNYZzhnWmdaZ1trOmdbZztnWms5Z1lrWWt5a1hreWs5Y1tnOmPYVrhWLSWIEC0l7CDyPdlefW9bazlnN2dZa1lrWmtaa1prWmtaazlnWms5Z1prWmtaa1prWmtaa1prWmtaa1prWmtaa1prWmtaa1prWmtaa1prWmtaa1prWmtaa1prOWdaa1prWms5Z1prWmtaazlnWms5Z1prOWdaa1prWms5Z1prOWdaazlnWms5Z1prOWdaazlnWms5Z1prWmtaazlnWms5Z1prOWc5ZzlnAAB7b1pre29aa3tvWmt7b3tvnHN7b3tve297b1pre29aa3tvem97b1pre296b3tvem97b1pre296b3tvem97b1pre296b3tvWmt7b1prem9aa1prWmt6b1pre29aa1prOWdaa1prWmtZa3prWWtaazlnW2sZY5ZSpxSOMc85fXN8b3tvm3NbazpnfXPZXvE9TCnQORljnXNaa5xzm29aa5pzmnN5b5pvmm96bzhnOWdba5xvW2s6ZxljOmf4XtdallLRPW0tbi2vNTRKG2c8ZxNCDCFwLZIxUSmcVnMxESXOHE8tl1Zda28x6yAtKfpifW99b1trfG/YWiwlDSXcWrtakjENIRRCPWdeaz1nuVZOLbE1sTWxNU4pLSVNKdI5VEoZYxhjOmc6Z1trW2tca1tnXGs6Z1trWWdZa1hneWt5b1prOmM6Zztn2VqXUrA1hxAMJQshsDm3VnxvW2tZa1lrWmtaa1prWmtaa1lrWms5Z1prWmtaa1prW2taa1trWmt7b1prW2taa1trWmtaa1prWmtaa1prWmt7b1prWmtaa1prWmtaa1prWmtaa1prWmtaa1prWms5Z1prOWdaazlnWmtaa1prOWdaa1prWms5Z1prOWdaazlnWmtaa1prWmtaa1prWmtaa1prOWdaazlnWmsAAFprWmtaa3tvWmt7b3tve297b3tve297b1pre297b3tvWmt6b1prem9aa3pvWmt6b1prem9aa3pvWmt6b1prem9aa1prWmtaazlnWmtaa1prWWt6b1prem9Za1prWmt7b1lnWWtZa1prWWtaa1prW2sZYztndVLpHG0t8D0aZ3xvW2t7b1pre29bazpndlJNLbA5VU6fd1trfG+bc1hnu3d6b5tzem97b1prWmtaa1prW2t7b1prW2s6ZzlnGWM5Z/hedU6OMU0pbS3yPXdONUYNIQ8l1TmUMa4UfE6uFBAh7Bw1Rj1nsTnqHE0pOmedc3trWms5ZxljKyUtKXhSHmezNZIxcC1eaxtjdk4LIesc7BztHA4hcS2RMXAtLSUMJQshbjHyPXZS2V5ca1xrPGv5YlxrfG98b1pnWmtaa3tvOmdaZ1prW2s6ZzlnlVLPOYUQSykrJUwpdE5caztnW2s6Z1prOWc5Zzlnem96b1prOWdaa1prW2taa1trWmtbazpnW2s6a1trOmtba1prW2taa1prWmtaa1prWmtaa1prOWdaa1prWmtaa1prWmtaa1prWms5Z1prOWdaazlnWms5Z1prWmtaazlnWms5Z1prOWdaazlnOWc5ZzlnOWdaa1prWmtaa1prOWdaazlnOWc5ZwAAe29aa3tve297b3tvnHN7b3tve297b3tve297b3tve297b1pre29aa3tvWmt7b1pre29aa3tvWmt7b1pre29aa3pvWmt6b1prWmtaa1prWmtaa1pre29aa1prWWtaa1prWmtZa3pvWmtaa1prW29bazprO2u3VgkhbS3QORpnfG98b3tvWmtaa3tvOWe3Vo4xkDU0Rp93PGt8c5tveWuac5tze2+cc3tve29aa3tvWmt7b1pre29aa1prOWdaazlnGGMZY/haVEqvNS0ljy0uJcwYcS05RrU1Uym2NfAcECHtINM5XmuxOesgTClba5xzm296a1prGWNtMSwlV0odY5lSbyk1QrhWfWvxOcoYTilPKQ4hzRzNHC8lkjE2SplWNUpvLQwhLSmPMY8xE0KWUlxrO2c7ZzpnW2tba3xve297b1prW2s5ZzlnWmdaa/delVJkDOgcrzkKIbA1f29db51zOWc6Z3tvnHM5ZzhnWWtZa1lrWmtaa3tvW2tbb1trW2taa1trW2tba1prW29ba1trWmtba1prWmtaa1prWmt7b1pre29aa1prWmtaazlnWmtaa1prWmtaazlnWmtaa1prWmtaa1prWms5Z1prWmtaazlnWms5Z1prOWdaa1prWmtaa3tvWmtaa1prWms5Z1prAABaa3tvWmt7b3tve297b3tve297b3tve29aa3tvWmt7b1prem9aa3pvWmt6b1prem9aa3pvWmt6b1prem9aa3pvWmtaa1prWmtaa1prWWtaa1lrWmtaa1prWWtaa1lrWmtZa3prWWtaa1prW2taa1trOmdba7daTClLKa852Fqdc3tvnHNZa3tvWms6a9da0DksKRNCXWtca1trm3NYa5pzem97b3tve29aa3tvWmt7b1pre29aa1prWmtaazlnWms5Z3tvOmcZY1RK0DVNKakUqhRxLThG9j1zLXMtrhQQIcwYLyn8YrI1qhhNKRpnfG97b5tzOWc5Z9A5LCXTPR1j/F6xNfM5l05/b28tyhgUQtpaeE6SNQ4lqxjsIHAt9EG5VvtemFLSPS0pTSksKSwlbi2vNRJCtlb5XjpnOmdbaxpjW2tca3xvW2tbazpnOmf4XrdWLCWoGE4tLSUNIXdS+mJba3tvWms5Z3tvem96b1lnWWtZa1prWWtaa1lrWms6a1trOmdba1prW2taa1prWmtaa1prWmtaa1prWmtaa1pre29aa1prWmtaazlnWmtaa1prOWdaazlnWms5Z1prOWdaazlnWms5Z1prOWdaazlnWms5ZzlnOWdaazlnWms5Z1prOWdaazlnWms5ZzlnOWcAAHtve297b3tve297b5xze2+cc3tve297b3tve297b1pre296b3tvWmt7b3pve29aa3tvWmt7b1pre29aa3tvWmt7b1pre296b3tvWmt6b1prem9aa3tvWmt7b1pre296a3pvWmt6b1pre29aa3tvW2tba1tr+V6uNSsljjGXVn1znHOcc3pvem97b1prGWMTRgsl0TkcZ1xrfG+bc3pvem97b3tve297b3tve297b3tve297b3tvWmt7b1prWmtaa3tvWmsZYzpnO2fYWlVKLSUNIS4lFkJZSlIptTWuGO8g7iDMHP1esznKGC0pPGd8b3tvm3NaazlnVEoLIZE1HGMcY5hSbym5Vl5nTikNIXdOfmscY7lWFEKQNQ0lDSHsILI5FEK5Whxn+l40RtE50TluLU0tbS1tLY4xrjURQnROGmc7Z1xrXGt8bztnO2dcazxr+l7ZWtI5yxzsHFAt7CATQtlefW87Zzpne2+cc1prWmtZa1lrWWt6a1lrWmtZa1prWmtaa1prWmtaa1trWmtba1prWmtaa1prWmtaa1prWmtaa1prWmtaa1prWmtaa1prWmtaazlnWms5Z1prOWdaa1prWms5Z1prOWdaa1prWms5Z1prOWdaazlnWms5ZzlnOWdaazlnWmtaa1prOWdaawAAWmt7b3tve297b3tve297b3tve297b3tvWmt7b1pre29aa3pvWmt7b1prem9aa3tvWmt6b1prem9aa3pvWmt6b1pre296b3tvem97b1prem9aa1prWmt6b1pre29aa3pvWWt6b1prem9aa1prWmtbazprOmv5YhFC6RxtLTRKnXN7b5xzWmt7b1prW2saZ3ZS6yCPNbhWfW9ba5tzem+ab1pre29aa3tvWmt7b3tve29aa3tvWmt7b1pre29aa3tvWmt7bzpne287Zxpj2Vo1Ri0lDSXTNR5jtDW0NXItzhwPJc0celL1QaoYTik8Z31vWmucczlnOmeWUiwlTi37XlxrPGdvLXdOmVJxLewcd04bYztnO2caY7hWVUrSOZExDCUMIU4tNUraXhtj+mIbY3ZSVUrxPa81TCkrJSolTCkKIY4x8T12UtlauFqXUvtiHGNea39z3F5QLcwc7iAOJS0lsTV2TjxrXW9baxljOWdZa1lrWWtZa1hrWWtYa1lrWWdaa1lrWmtZa1prWmtaa1prWmtaa1prWmtaa1prWms5Z1prWmtaa1prWmtaa1prOWdaazlnWms5ZzlnOWdaazlnWms5Z1prOWc5ZzlnWms5Z1prOWc5ZzlnOWc5Z1prGGNaazlnWms5Z1prWmtaazlnAAB7b3tve297b3tve297b3tve297b3tve297b1pre297b3tvem97b3pve296b3tvem97b1pre29aa3tvWmt7b1pre297b3tve297b3pve296b1prWmtaa1prem9aa3tvWmt6b1prem9aa1prWmtaa1prW2s5ZzpnVErpHEwtEkJ9b3xznHN7b3tve29ba1xrt1ZNKW4tVU5db3xve2+bc3pvem9aa3tve297b3tve297b3tve297b3tve29aa3tvWmtaa3pve297b1trGmM7Z7dSTSktJbI1P2e7Vi8lOEaLEDEpzhz2QfZBqxguKTxnXGt7b3tvWms6Z/leLCVOKbhWnnP4WnZKsjU3RtQ57Rx3Tn1vfG+cc3prW2v6XrlWV04URvI9bzEMJZA1l1I8ZzxnPGcbY/pe2FrYWnVOEkKPMW0tbS1uLY8xsDULIakYDCU2SplSHmc/a7ta1T0xKasU7SDsIHAxFEb6XjxrfW9ba3tvWmt6a1lrWWtYa3lrWWtaa1lrWmtZa1prWmt6b1prWmtaa1prWmtaa1prW2taa3tvWmt7b1prWmtaa1prOWdaazlnWms5Z1prOWdaazlnWms5Z1prWmtaazlnWmtaa1prOWdaazlnOWc5Z1prOWc5ZzlnWms5Z1prWmtaazlnWmsAAFpre29aa3tvWmt7b1pre29aa3tvWmt7b1pre29aa3tvWmt7b1pre29aa3tvWmt7b1prem9aa3pvWmt6b1prem96b3tvWmt6b1prem9aa3pvWmtaazlnWmtaa3tvWmtaa1prem9aa1prWWtaazlnWmtbazpnGmeWVugcbS3QOX1ve2+cc3pvnHN6b1trW2vYXo4xTSnROVxrW2t7b3pvem9aa3tvWmt7b1pre29aa3tvWmt7b1pre29aa3tvWmtaa1lrems4Z1prWmdba1tr2FqPMSwhby37Xh1jszXTOawYECUQJTEp90FqEC4l+l5ca3trm29ZZ1prGWNMKS0lVUp8a/ha+l6xNfZB9kHtHFZKfG97b1lrWGs5Z1trHGccZ/tiVUqwNY8xTSlNKdE92Vpdb55zXWs7ZxtjPGf6YthadU40So4xbS1uLQslLSU1SuwccC2zOTdKu1q8WrU5zhzuIO4kzRwNJbE1mFY7Z31vW2tba1prWWtZZ1lrWWdZa1lrWWtZZ1lrWWtaa1lrWmtZa1prWmtaa1prWmtaa1prWmt7b1prWmtaa1prOWdaazlnWms5ZzlnOWc5ZzlnOWc5Z1prOWdaazlnOWc5Z1prOWdaazlnOWc5ZzlnOWdaazlnWmtaa1prOWdaa1prWms5ZwAAe29aa3tvWmt7b3tve297b3tvWmt7b1pre297b3tve297b3pve296b3tvem97b3pve29aa3tvWmt7b1pre29aa3tvem96b1prem9aa3pvWmt7b1prWmtaa3tve297b3pve29aa1prWmtaa1lrWms5Z3tvGWdba7da6SBtLdE5XW98b5tze2+bc3tvWmt8b/he0DksJY81PGt8b3tvem9Za3tve297b3tve297b3tve297b3tve29aa3tvWmt7b1prWmt6b3pvWmtaazpnfG/5YlVKCyFuLXdOHWP7Xi4lLyVSLTIt8CAYRqsYLykcZ31vnXN7b3prWmc6Z0wpLSkTQntre2s8Z1ZKOErVPQ4h0jl8b3pvmW94a1lrW2tdaxxnfm8bZ5dW0T2OMU0tbi1uLVRK+l5+c11rPGtca11vO2c7Zzpn+V7YWrhW0TlvMTVGsTkNJQ4lLykwKXExtDlyMVIt7iDOIA8lLylPKRRG+mJ9b1xrW2taa1prWWtaa1lrWmtZa1prWWt6a1premtZa1prWmtaa1prW2taa1trWmtaa1prWmtaa1prWmtaa1prWms5Z1prOWdaazlnWms5Z1prOWdaazlnWms5Z1prOWdaazlnOWc5ZzlnOWdaazlnWmtaa1prWmtaa1prWms5Z1prAABaa3tvWmt7b1pre29aa3tvWmt7b1pre29aa3tve297b1pre29aa3tvWmt6b1prWmtaa3pvWmt6b1prWmtaa3tvWmt6b1prem9aa1prWmtaa1prWmtZa1prWmt7b3pve29aa3tvWmtaazlnWWc5Z1lrOmdaaxlj2F7pIEwp0Tk7Z3xve297b5tze297bzpnGmdVTgohbjF1Tjtn3ntZa3pvWmt7b1pre29aa3tvWmt7b1pre29aa3tvWmt7b1prem9Za3pvWWt6b1prW2s6Zzpn11pMKSwlsDU9ZxxjVkrLGBAlMilTMfdBahBQLRxjfW98b1prnHNbaxlj0TlNKbA1Wmd6aztjHGM4SpMxcS0tJRhfem+6c1dnmnNaaztnXWv6XjtnO2cbY5dSEkJuLSslTSmPNTNG+l5da11rPGdcaztnW2s6ZxpjGmP6XhNCLCWQMdM9sTWyOQ0lDSWrGO0gECXPHGwUlDWzOZI1LilOKVVK2V47a1trOmdba1tvfG84Z1prem+bb1lrWWs5Z1prWmtaa1prWms5Z1prWmt7bzlnWmtaa1prOWdaa1prWmtaa1prWmtaazlnWms5Z1prOWdaa1prWms5Z1prOWdaazlnOWc5Z1prOWc5ZzlnOWc5Z1prOWdaazlnWms5Z1prOWcAAHtve297b3tve297b3tve297b1pre297b3tve297b3tve29aa3tve297b3pve296b3tvWmt7b1prem9aa3tvem97b1pre29aa3pvWmt6b1prem9aa3pvWmt7b3pve296b3tvWmt7b1prWmtZa1prWWtaa1prOmf4XkwtCyHRPflefHN7b3tve2+bc3pvW2s6Z7dW6iCPNRJCfG+cc3tvem97b3tve297b3tve297b3tve297b3tve297b1pre29aa3pvWWt6b1pve29aa1trOmf5XvE9CyHQNfpePGe5Vi4pzhx0MTIpdDXuIA4lPGd9b51zWmu9d1trGmPyQSwljjF7a1lnnW89Z7pW9T1QLS0plVJ6b3hveG96bzlrfW88a553O2f5XhpjXGsaY3VOrzWOMSwlLCmvNVVO2Vpda55zW2t7b51zW2tbaxpjl1LRPZAxsTW5WlZKNUZvLZAxihTvJDIpECXvJO4gUC3TPdI5qRiPNdhaXGt9bztnO2c6Z51zWms4ZxhjOWdaa3tve297b1prWmtaa1prWmt7b1prWmtaa1prWmtaa1prWmtaa1prWmtaa1prWms5Z1prOWdaa1prWmtaa1prOWdaazlnWms5Z1prWmtaazlnWms5Z1prOWdaa1prWmtaa1prWmtaawAAWmt7b1pre29aa3tvWmt7b1pre29aa3tvWmt7b1pre29aa3pvWmt7b3pve296b3tvWmt6b1prem9aa3pvWmt6b1prem9aa1prWmtaa1prWmtaa1prWmt6b3pve29aa1prWmtba1prem9aa3pvWWtaa1pre28ZYxljrzXJHLA5t1Zba3tvemt6b3pve29aazpn2FoLJW4tsDVcb1tve296b1pre29aa3tve297b1pre297b3tve297b3tve29aa3pvWWtZb1lrWm9aa3tvOmc6axlj11rpHNA1dk5da/pe8z1rEJU17yAQJS8pDSEbY35vfG97b5xze2saY3ZO6xxuLRhfWWeecz1n/GJ4Ui4pTSnPOXpvN2eaczhnWWuccztrfG9baxljOmdca1xr+F62VvE9rzVMKQslCiFuMVVKO2d8b5xvW2tca3xvfW/6XpZSDCUtKTVGPWvaWtlad06yOe4g7yCtHA8lcTFQLU8tDSWwNS0pCiHQOdlannN9bztrGWM6a1trfG9aa1prOmdba1prW2s5Z1prOWdaa1lrWmtaa1prOWdaa1prWms5Z1prWmtaazlnWms5Z1prOWc5Z1prWmtaa1prOWdaazlnOWc5ZzlnOWc5ZzlnOWc5ZzlnOWc5ZzlnWmtaa1prWmtaazlnAAB7b3tve297b3tve297b3tve297b3tve297b3tve297b3tvem97b3tvm3N7b3tve297b3pve29aa3tvem97b1pre296b3tvWmt7b1prem9aa3pvWmt6b3pve297b3tvWmtba1tre296b3tvemt6b1lrem9aazlnGWMzSqcUsDVUSnxve2+bc3pve296b3tvOmcaY0wpTCluMTtrW2ucc1pre297b3tve297b3tve29aa5xze297b3tve29aa3tvWmt6b1lrWmtZa3tvWmtbazprOmcZY20tbS0zRl1rPGeYUs0cMi0RJc4cMCkNIRxnfW98b3trnHNba1tr+V4sJW4tlVJaZ51zO2deb9pesTkLJW0t+F56b5tzOGdaa513Oms6Z1trnHN7azpnGWM6ZztnW2uWUtA5TS1tLU0tbi1tLZVS+F6dc51zfW87ZzxnG2fyPSwlTSn6XjxnXWvZWrlWeE6SNewgyxyxNW8xsTlNKU0tTS1uMU0tTSmPMZZSfW99b1trO2s6Z1trW2tbazprW29aa1prWmtaa1prWmtaa1prWmtaa1prWmtaa1prWmtaa1prWmtaa1prWmtaazlnWmtaa1prWmtaazlnWms5Z1prOWdaazlnWms5ZzlnOWdaazlnWmtaa1prWmtaa1prWmsAAFpre29aa3tvWmt7b1pre29aa3tvWmt7b1pre29aa3tvem97b3tve296b3tvWmt7b1prem9aa3tvWmt7b1prem9aa3pvWmt6b1prWmtaa3pvWWtaa1pre296b3tvWmtaa1prW2tba3tvWmtaa1lrWWtZa1prGWMaZ3VOqBhuLfI9Omd7b5tvm29Za3pvWmtba/herzXqHI8xt1Z9c1tre297b3tve297b3tve29aa3tvWmt7b1pre29aa1prWmtaa1lrWW9Za1pvWmtab1prW2s6ZxljEkIrKdA5PGsaY/tiUS3OHFEt7iDtIC4pG2Ncb1tre297b3tvO2cbZ04tTSnwPZxvW2s7Z31vG2dVTgohTClUSp13e285a3tzem9aa1pre297b3tvWmtaazpnOmf4XjpnGmO3VvE9bS0rJU0tTC3POVNK+V5ca55zXWs8Z9lakDXrII8xXWtdaztnPGf7YvtiVk6PMdA5M0a3WnVO8T2vNUwpLCkLIQslTS2wOZZS+V5ca31vO2s6ZzpnW29aa1trWmtaazlnWmtZa1prOWdaa1prWms5Z1prWmtaazlnWms5Z1prOWdaazlnWms5Z1prWmtaazlnWms5ZzlnOWc5ZzlnOWc5ZzlnOWc5ZzlnWms5Z1prOWdaazlnWms5ZwAAe297b3tve297b3tve297b3tve297b3tve297b3tve297b3tvm3N7b3tvem97b1pre29aa3tve297b3pve29aa3tvWmt7b3pve29aa3tvWmt6b1pre296b3tvem97b1pre29ba3tvem96b1lrWWtZa3pvWWs6Zxpjt1oLIU0pjzU6Z3tvnHN7b3pvem97b1pr+WIzRuocjjFUSp1zW2t8b3tve2+cc3tve297b3tve297b1pre29aa3tvWmt7b1prem9Za1pvWWt6b1prW29aa1tr+F7XWislrzX5XjtjPGc3SowUcjEPJcwcTy08Z1xrnG97b3tvWmtcaxtj8z0sJc81nXNba1trfW87ZxpjTClNLa81nnM7a3xvm3N5b1lre296a3tvemt7b1trW2s6Z1trGmMaYxpjGmO3VhNGjjFMKQohCyGPNZdSHGNebz1rHGOYVm8tDCG5Wp9zfnNdaxpjW2tbaxljGWP4Xlpr+F74XpZWVE7xPY4xKyULIeogLCXRObhaO2ddbztrXGtba1trWmtba1prWmtZa3prWWtaa1prWmtaa1prWmtaa1prWmtaa1prWmtaazlnWmtaa1prWmtaa1prWms5Z1prOWdaazlnWms5Z1prOWdaazlnWmtaa1prWmtaazlnWms5Z1prAABaa3tvWmt7b1pre29aa3tve297b1pre29aa3tvWmt7b1pre29aa3tvem97b1prem9aa3tvWmt7b3tve29aa1prWmt7b1prem9aa3pvWmt6b1prem9aa1prWmt7b1prWmtba3tvWmt6b1prem9Za3pvWmtaaxlnGme3Wm4xCyFuMfheWmt7b3pvWWt6b1prW2sZY5dW6hxtLfE9fW86a3xve297b3tve297b3tvWmt7b1pre29aa1prWmt7b1prem9ab3pvWWtaa1prWm86a1prOmc6Z/hejTFtLZZSO2c9a5pW7iDuIC8p7BxPLTtnfG+cc5xzWmt7a1xrG2N3Ti0pjjE6Z1tre2taZ1prO2cSQgslTi24Wl1vW2+cc1hreW9Ya3premt6b1lnWms6Z1trGWNba1xrXGsaY/let1a3VrA1kDVuLU4pLSmRNVZKHWO6Wj5r9EFvMZAxHGcbYztne29Za9Zaem96b1lrWWd6axdjGWP4YthedVISQk0t6hxuLS0pCyGPMVVOG2dba1trOmtbazprWmtaa1prWWtZa1lrWms5Z1prWmtaazlnWms5Z1prOWdaazlnWms5Z1prOWdaazlnWmtaa1prOWdaa1prWms5ZzlnOWdaazlnWms5Z1prOWdaa1prWms5Z1prOWcAAHtve297b3tve297b3tve297b3tve297b3tve297b1prem9aa3tvWmt7b3pve296b3tvem97b3tvm3N7b3tvWmt7b3pve29aa3tvWmt7b1pre29aa3pvWmt7b3pve29aa3xvW2t7b1pre296b5tvem+bb1lrWmsaY9he0DkLIW4t2Fo5Z3tvem96b3pve29aazpn2FosJSwl0Dlba1trfG+cc3tvnHN7b5xze297b1pre29aa3tvWmt7b3tve296b3tzem9ab1prWm9aa1prOWtaa1trGF/POWwtU0p8b1xr21owKcwYLiUuJS4pPGt8b713nHN7b3tvnXMaYxxnTi1uLZdWfW97bzlnWmd7b7dW6iAtKRRGfm98b3tveW95b5tzemtaa1lrem96a3tvWmucb1trOmcaY1trW2s7Z/liGmNVSrA1Ti2PMW8tTy0uKdI5NUZWTi0pbi00Rn5vfXN6b5tzOGd5b1lrm3ObbzhnWmtaa1trGWc6Zxljt1YzRiwlTS1uMU0pTSmPNZZSXGtca1trW2tba1tvWmtaa1prWmtaa1prWmtaa1prWmtaa1prWmtaazpnWmtaa1prWmtaazlnWmtaa1prWmtaa1pre29aa1prOWdaazlnWmtaa1prOWdaa1prWmtaa1prWmtaawAAWmt7b1pre29aa3tvWmt7b1prem9aa3tvWmt6b1pre297b3tvWmt7b1pre296b3tvWmt7b3pve29aa3tvWmt6b1pre29aa3pvWmtaa1prem9aa3pvWmt7b1prem9aa1prW2tba1pre29aa3pvem96bzlnem86Zzpn2V7yQYcQjzV1UrdanHOcc1lnm3NZa3tvW2v4Xo4x6RyvNRlffGt8b1tre297b3tvWmt7b1pre29aa3tvWmt7b3tve29aa3tvWmtaa1prWmtZa1prWWtaa1lrOWc5ZzFGjDGuNfhefG/6XlZOiRTsIOwgLikbY55zfG98b3tve286Zzpn2F5VSk8tNkpdb51zGGO8d/deOmduMesckTU9axpnnHOac1lrWWtaazlnWWs5Z1prWmt7b1prWms6Z1prOmdaazlnOmcaZxpn2Fp1TtA5bjFMKU0pLCksJQshDCULIW8xVk5db5xzWWt6b5xzWWdaa3trW2tba1trWmdaZzljOWcYYzln+F4zRm0xTCkLJQslbS3yQbhaO2dcaztrO2d8b1trOmc5Z1prWmt7bzlnOWc6Z3tvWmtaazlnOmc6Z1prWmtbazlnWms5Z1prOWdaa1prWms5Z1prOWdaazlnOWc5ZzlnOWdaa1prWmtaa1prOWc5ZzlnAAB7b3pve296b3tvem97b3pve29aa3tvem97b1pre296b3tvWmt6b1pre296b3tvWmt7b3pve297b3tvem97b1pre29aa3tvWmt6b1pre29aa3pvWmt7b3pve29aa3pvWmt8b1tre29ba3tvem97b3pvWWtaa1trOmcaYxNGqRiPMVRK2F6dd3xvem96b3prWmt7a/le8T3pHK8xllJ8a3xvfG97b3tve297b3tve297b3tve297b3tvnHN7b3tvWmtba1prWmtaa1prWWt6a1lrWms4Z1lrUkoIIWwtUkpbaztnl1YLIcoYDCEMJfpeXW99c3xvnHN7b1trWmsZY3ZSkTHUPV5rXGtaa5tvWWc6ZxNC6xyQMdpefW9ba5tzWWt6b1prWms5Z1prWmt7b1pre29aa1prWmtaa1prWms6Z1prGWc6ZxljGWO3VjNGrzmOMSwpCyULIeog6yDROZZSfG9aa5tze297b3xvnG9aZ3tvW2tba1prWms5Z1lrOWdaa/hi2F6VUvE9LCkLJSwlTS00RhtnXW9caztrXGtba1tvWmtba1prWms5Z1prOmdbazpnWms6Z1prWmtba1prWms5Z1prWmtaa1prWmtaa1prWmtaa1prWms5Z1prOWdaazlnWmtaa1prWmtaazlnWmsAAHpve29aa3tvem97b1pre29aa3tvWmt7b1pre29aa3tvWmtaa1lrWmtaa3tvWmtaa1pre29aa3tvem97b1prem9aa3tvWmtaa1prem9aa3pvWmt7b1pre29aa3pvWmtaa1tre29aa1prWmt7b1prem9ZZ3pvOmc7axpjVU7JHI810D0aY3xve296b3pvWmtaa1trGmM0RuocbSkSQjpjnXN7b3tve297b3tve29aa3tve297b3tve297b3tvWmtaa1prW2taa1prWWtaa1lrWWs5ZzhnOWeUUoUUKilsLVtrPGv6Ym4tiBTrIAwluFpca3xvfG97b3tvWmt7bzpnuFqzOZI1+2Jca3tvem9aa1pnl1ItKS0pVUp9b1preWt5a3prWms5Z1prWmt7b1pre29aa1prWmtaa1pre29aa1prOmdba1trfG9bazpn+F7YWnVSM0bxPdE9bjEsKSwpjzUZY3xvfG9ba3trnXN7a1prWmtba1prWmtaa1prWmtaa1prW2s6a1tr+V51Tq81TSkLISwlbi0zRvlefXNcbztrW2taazpnWms6a3tve297b1prWms5ZzpnOmdaazprWms5Z1prOWdaazlnWms5Z1prOWdaazlnWms5Z1prOWc5ZzlnWms5Z1prWmtaazlnOWc5ZwAAe297b3tvem97b3tve296b3tvem97b3pve296b3tvem96b1prWmtaa3tve297b1prem9aa3tvem97b3tve296b3tvWmt7b1pre29aa3tvWmt7b3pve29aa3tvWmt7b1prfG9ba3tvWmt7b3pvem9Za3pvWmtbazpnO2eXViwpjzWPNRpne29aa5tzWWt7b1prfG8aY7dSCiFMKa81OmOdb3xve297b3tve297b3tve2+cc3tve297b3tve297b1pre29aa1prWmt6b1prWmtZazlnOWc6Z9ZaCSHoHGwtOmddbztn80FnEAwlLSXZWl1vnXNbb3tvem97b3tvW2v5XhVGUC25VlxvnHNaa3pvOWcaY7E1LSWxNRtnW2t6b1lre29aa1prWmt7b3tve297b3tvWmt7b1pre297b3tvWmt7b1trW2s6ZzpnOmdba1xrXGs7Zxpj2V64VjNGjzUrJZZSXGuec1trfG98b3tvW2t7b1pre2taa3tvWmt7b1trW2s6ZzpnOmt9b1xr+V51TtA5bjFtLUwpjjHxPdhafXNba1tre286azprOmdba1pre29aa1prOWdaa1prWmtaa1prWmtaazlnWmtaa1prWmtaa1prWms5Z1prOWdaazlnWmtaa1prWmtaa1prWms5Z1prAAB6b3tvem97b3pve296b3tvWmt7b3pve29aa3tvem97b1prWmtaa3tvem97b3pve29aa1prWmt7b1pre29aa3tvWmt6b1prem9aa3pvWmt7b1pre29aa3tvWmt6b1pre29ba3tvW2t7b1prem9Za1prWmtaazpnOmcaY9hebi2wNY4xGmdba1prem9Za3pre297azpnuFZMKSsljjEZX51ve297b3tve297b3tve297b1pre29aa3tve297b3tve29aa1prWmtaa1lrWmtZa1prOWd7bxljGWPPOacYbjHYWjxrPGtVSogU6xwtKZdSXG98b3tvWmt7b1prW29baxtjNkZQLRNCfW97a5tvWWc6ZxpjVk4tJW4tVUp8b3premtaa1prWmtaa1pre29aa3tvWmt7b1pre29aa3tve297b3tvWmsYYzpre2+cc1prGWMaZ1xrW2s7ZxtnGmMzRk0pjzG4Wl1rfW98b3tvWmt7b1premtaa3prWmtba1prW2taa3xve29bazpnW2s7a1tr+WKWUvA9jTEqJSsprjUyRvheW2udc51zW2taazpnWmtaa1prOWdaazlnWmtZa1prOWdaazlnWms5Z1prOWdaazlnWms5Z1prOWdaazlnWms5Z1prOWdaazlnWms5Z1prOWcAAHtve297b3tve297b3tve297b3pve297b3tvem97b3tve296b3tve2+cc3tvm3N7b3pvWmt7b3pve29aa3tvWmt7b1pre29aa3pvWmt7b3pve296b3tvem97b1pre297b3xvW2t7b1pre29aa3pvWWt7b1prW2s6Zztn+V6PNW4xrzn4Xnxvem96b1lrem96a3xvOmf5Xo8xTCWOLRlffG98b3tvnHN7b3tve297b3tve29aa3tve297b3tve297b3tvWmt7b1prem9Za1prWmtaa3tvOmcZY5ZSpxSPNTRGXG87Z7hWyhzKHC0pVU4bZ51zW2t7b3pvWmtba1tvGmNXTnAtsDU7Z3tvnHN7a1trO2fZWpA1LSWwOTtnfG9aa3tvWmt7b1pre297b3tvWmt7b1pre29aa3tve297b3tve29aa1prWmt7b3tve286ZzpnW2tbaxljO2tba9da0T0tJfNB+l5+b753fG97a3tve296a3tvWmtba1prW2tba3tve297b1tre29ba1tvO2f5YjpnfG/4XhFCSylLKWwtrjUSQrZW+F5ba3xvnHNba3tvWmtaa1lrWmtZa1prWWtaa1prWmtaa1prOWdaa1prWms5Z1prOWdaazlnWms5Z1prWmtaa1prWms5Z1prWmtaawAAe297b3pve297b3tvem97b3pve29aa3tvem97b1pre296b3tvem97b3tvm3N6b3tvWmt6b1prem9aa3pvWmtaa1prem9aa1prWmt6b1pre297b3tvWmt6b1pre29aa3tve297b1prWmtaa1prWWtZa1prWmtaa1trOmcaY20tCiVtMXROOmt7b1lrem9Za3tvW2tca/pe8j0rIY4x2FZ8a3tve297b3tve297b3tve297b3tvWmt7b1pre29aa3tvWmt7b1prWmtaa1prWmtaa1tre286ZxpjuFoLIU0t8kFcaztr2FpNLagYbi0zRhpjfG97b1pre29aa3tvW2s7Z5hWkTFOLbdWfG97b1pre287ZxtjE0IsJU0pt1Z8b3tvWmtaa1prWmtaa3tvWmtaa1prWmtaa1prWmt7b1prWms5Z3pvWmtaaxhjOWdaa5xze298b1prOmc6Z1tr+F6XVm8xkTEVRjxnfm98b1pre296a3pvWmt6a1prW2tba1trWmtZazhne2+cc5xzW2s6Z1trOmcZYzpnOmf3XhFCjTEKISslSynPOZVSW2tbazpnWmtaazlnWmtZa1prWWdZa1lrWms5Z1prOWdaazlnWms5Z1prOWdaazlnWms5Z1prOWdaazlnWms5Z1prOWdaazlnAACbc3tve297b5tze297b3tve297b3tvem97b3tve296b3tve297b3tvnHN7b3tvWmt7b3pve29aa3tvWmt6b1pre29aa3pvWmt7b1pre296b5tze297b1pre296b3tve2+cc3tve29aa3tvWmtaazlne29aa3tvW2tbaxljbC3HGEwpzzk5Z1prWWubc3pre298a3xrPGc0RiwljjHYVlxrnHN7b3tve297b3tve297b5xze297b1pre297b3tvWmt7b3pve29aa3pvWmtaa1prfG86Z1xvGmPZXk4tTSnyQX1vOmcaY681yRyPMVRKGmedc1pre297b3tve298bztn+2KxNW4tVEqdc1pne297a1xrGmOXUiwlTSk0Rn1vfG97b1prWmtaa3tve297b1pre29aa1prWmt7b1pre29aa3tvWmtaa1pre297b1prOmd7b1prW2tba1trOWc6ZztnNkpwLbE5uVpda1xrfG96b3tvemt7b1pre29ba3xvXGt7b3pvm3N7b3tvOWdaa3tve29ba1prOWc6ZxlnGWP4XnVS8T1tMY4xlVJbb51zOWd7b1prWmtZa3pvWWtZazlnWmtaa1prWmtaa1prWms5Z1prOWdaazlnWmtaa1prOWdaa1prWms5Z1prWmtaa1prWmsAAFpre29aa3tvWmt7b3pve29aa3tvem97b1pre29aa3tvWmt7b3pve297b3tvem97b1pre29aa3tvWmt7b3pve285Z1prWmt7b1pre29aa3pvWmt6b1prem9aa3pvWmt7b3tvfG97b3tvWmtaa1lrWmtaa1prOmdbazpntlquNccYKiVTSlprm3NZa3pvem97b3xvfGv5XpdSLCWOLfE9nW97b3tve297b3tve297b3tve297b1prWmtaa3tvWmt7b1prem9aa1prWWtaa1pre286Z1trO2c7Z/le0TnqHPE9t1adcztnEkbpHCslllJ9c3tve296b3tvWmt7b1trXG8bY/NBCyERQp1zWmtaa3tvOmcaY9hasDkLJbA1PGuec1tre29aa3tvWmtaa1pre29aa3tvWmt7b1pre29aa3tvWWtaa1premtZa1prWmt7b1prWmtaa1prWmtbazpnO2ccY/Q9LimwNdleXGt8b1prWmtaa1pre29ba1trW2t8b1prem96b3pvWWtaazlnWmtaa3tvWmtbazpnOmc5ZzpnGWP5YvheGmM6Z1trWmtaa1prWmtZa1prWWdZa1lrWmtZa1prOWdaazlnWms5Z1prOWdaazlnWms5Z1prOWdaazlnWms5Z1prOWdaazlnWms5ZwAAe297b3tve297b3pve297b3tvem97b3tve296b3tvem97b3pve297b3tve297b3pve296b3tvem97b3pve297b3tvWmt7b3pve29aa3tvWmt7b1pre29aa3tvWmt7b3tvfG97b3xve297b1prem9aa1prWmtaa1prW2sZY7ZWMka2VjpnvXebc3lrWWt6b1prnW9caxpjl1JNKW4tEj59b5xve2+cc3tvnHN7b5xze2+cc3tve29aa3tvWmt7b1pre29aa3pvWmtaa1pre29aa3xvW2tbaztnGmPRPQsh0Dn4XnxvOmcSQiwpTS23VnxvfG97b3tvem97b1pre29cazxnVk4sKW0t+F5ba51zWmt8bztnGmPRPU0pjzH7Yn5zfG9aa3tvWmt7b1pre29aa3tvWmt7b3tve29aa3tvWmtaa1prem9aa1prWmt6b1pre29aa1prWmt7b1prWms6Z/teulqyOY8xrzUaY3xve297a3tvfG9aa3tre298b1pre296b5tvem96b1lrWmtZa3pvWmt7b1pre29aa1trOms7ZxpnOmc6Z1trW2tba1prW2taa1prWWtaa1lremtZa1prWmtaazlnWms5Z1prWmtaazlnWmtaa1prOWdaa1prWms5Z1prWmtaazlnWms5Z1prAAB7b5tze297b3pve296b3tvWmt7b1pre296b3tvWmt7b1pre29aa3tvem97b1pre296b3tvWmt6b1pre29aa3tvem97b1prem9aa1prWmtaa1prem9aa3pvWmt7b1pre29ba3tvWmt7b1pre29aa3tvWmt7b1prOmc5ZzpnGWM5Z3tvnHN7b3pvWGt5a1lre298a3xr+l64Vk0pbi3ROX1ve297b3tve297b3tve297b3tve29aa1prWmt7b1prWmtaa1prWWtaa1lrWmtZa1prWmtbazpnO2caYxJC6iCOMdZafG9ba9heVE6WUjtrnXd7b3tvWmt6b1prWmtaa1trO2e4WkwpKyVTSnxvnG9aa1trfG/5XvJBTSlOKVZKfm9ba3tvWmt7b1pre29aa1prWmtaa1pre29aa3tvWmtaa1lrWmtaa1prWWtaa1prWmtaa1prWmtaa1prWms5ZzprGmMcZ7laLCVNKfE9O2d8b1tre29ba3trW2t7b1trW2taa3tvWmt7b1lrWmtZZ1lrWWt6b1pre29ba3tvW2tbb1trW2s7Z1trOmdbazpnWmtaa1prOWdZa1lrWmtZa1prWWtaazlnWms5Z1prOWdaazlnWms5Z1prOWdaazlnWms5Z1prOWdaazlnWms5Z1prOWcAAJxze297b3tve297b3tvem97b3tve297b3tve297b3pve296b3tvem97b3tve296b3tve297b1pre296b3tvem97b3tve29aa3pvWmt7b1pre29aa3tvWmt7b3pve296b3tve297b1pre29aa3tvWmt7b3tve29aazlnGGM5ZzlnfG9aa1prWWt6b3lrem97b3xvXGs7Y9laji1uLdE5XGucc3tve297b5xze297b3tvnHN7b3tvWmt7b1pre29aa3tvWmtaa1prWmtZa1prWWtaazpnW2s6a1trVEpMLW0x11paa1trOmcaZxpjfXN7b3tvem96b1prem9aa1trO2tca9habi1sLVNKe297b1pre2t7bzpnM0awNS0l9D1/c3xve297b1pre29aa3tvWmtaa1pre29aa3tvWmtaa1prWmtaa3tvWmtaa1prWmtaa3tvWmt7b1pre29aa1prOmtcazxr2V5USm0tbjFUSlxrnXM7Z1trfG+cczpnWmt7b3tve297b1prem9aa3prWWt6b1pre29ba3xve298b1trfG9ba3xvW2tbazprW2taa1trWmtaa1lrWmtaa1prWmtaa1prWmtaa1prWmtaa1prWmtaa1prWmtaa1prWmtaa1prWmtaazlnWmtaa1prOWdaawAAem97b3pve29aa3pvWmt7b1pre296b3tvem97b3pve29aa3tvWmt7b1pre29aa3tvem97b3pve29aa3pvWmt7b1prem9aa3pvWmt6b3pve29aa3pvWmt6b1prem9aa3tve297b3tve29aa1prWmtba1prWmtaa3tvWmtaa1pre29bb1trWmt6b3lveW9Za3tvW2tcaxtj+l5uLW4tsDV9a3tve297b3tve297b3tve297b3tvWmtaa1prWmtaa1prWmtaa1prWmtZa1lrWWtZa1prWmtaa1trW2vYXhJGU0o5Z3tvOWc6ZxljGmdca1trWmt6b1lrem9Za1prOmtbaztn+V6ONUwp8D1ba1tre29aa3tvOmeWUtE5by2yOZ93XGt7b1pre29aa1prWmt7b1prWmtaa1prWmtaa1prWmtaa1prWmtaa1prWmtaa3tvWmtaa1pre29aa1prWmtaa1trOmf4XhpnEkJtLW0tdU47Z1xrfG98b1prWmtaa3pvW2t7b1pre29aa3pvWWtaa1lremtaa3tvW2tba1trXGtaa1trW2tbazpnWms6a1trOmdaazpnWms5Z1prWmtaa1prWmtaa1prOWdaazlnWms5Z1prWmtaazlnWmtaa1prOWdaazlnWms5Z1prOWdaazlnAAB7b3pve296b3tvem97b3tve297b5tze297b3tve297b3tvem97b1pre29aa3tve297b3tve296b3tvWmt7b3pve29aa3tvWmt7b3pve297b3tvWmt7b1pre29aa3tve297b3tve297b3tvWmt7b1pre29aa1prWmt7b3pre297b3xvW297b3pvem9Za3pve297a1xrXGcbY48xTSnROVxrnG97b5xze297b3tve297b3tvWmt7b1pre29aa3tvWmtba1pre29aa3pvWWtaa1lre29Za1prOWdaazpn+GI6Z3tvm3Nba1tvfG9ba51zW2t7b3pvem9Za3pvWmtba1trW2s7ZzNGCiGvNTpnnHN7b3prWmtba9daE0KRMbI1f298b1pre29aa3tvWmt7b1prWmtaa3tvWmt7b1pre29aa1trWmt7b1prW2taa3tvW2tba1pre29aa3tvWmt7b1prem8YY5xvGWMaY681jzFNKbdWXGu/d1trOWebb5tzOGN7b1tre297b3tvem96b1lrem9aa3tvW2t7b1trXGtba1trWmtba1prW2taa1trWmtaazpnWmtaa1prWmtba1prWmtaa3tvWmtaa1prWmtaa1prWmtaa1prWmtaa1prWmtaa1prWmtaa1prOWdaa1prWmsAAFpre29aa3tvem97b3pve296b3tvem97b3tve296b3tvem97b1prem9aa3tvWmt7b3tve29aa3tvWmt6b1prem9aa3tvWmt7b3pve29aa3tvWmt6b1prem9aa3tvWmt7b3pve29aa3tvW2t7b1prW2t7b1prOWdaa1prWms5Z1prWmt7b1prWWtZa3lvemt7b1trfGs8Zxtjby1NKbAxfWt8b3tve297b3tve29aa3tvWmtaa1prWmtaa3tvWmtaa1prW2taa3pvWmt6a1lrWWtZa1lnWWs5ZxhjWms5Z5xzGGNZazlnfG98b1trW2s6a3pvem9Za3pvWmtaazprW2s7Z1trt1avNVNKXGt7a3tvWmtaa1pr+V7zQbI5US0dZ1xre29aa3tvWmt7b1prWmtaa1prWmtaa1prWmtaa1prWmtba1prW2taa1trWmtba1prW2taa3tvWmtaa1prem84Z3pvGGOcb9ha2V6wNS0psTm4VjtnW2s5Z3tvem9YZ3tve29aa3tvem97b1lrWmtaa3pvWmt7b1trW2s7a1trWmtaazlnOWdaa1trOmdaazpnWms6ZzprOmdbazprW2taa1prWmtaa1prWms5Z1prOWdaazlnWms5Z1prOWdaa1prWms5Z1prOWdaazlnWmtaawAAe296b3tvem+bc3tvnHN7b3tve297b3tvm3N7b3tve297b3pve29aa3tvWmt7b3pvm3N7b3tvem97b1pre29aa3tve297b3tve296b3pvWmt7b1pre29aa3tvem97b3pve29aa3tvWmt7b3tve297b3tvWmtaa3pve29aa1prWmtbb3tvnHN6b3pvem96bzlne29ca1xrGmOPMUwpsDV8a5xze297b3tve297b3tvWmt7b1prWmtaa3tve297b1pre29ba3tvWmt7b1premtZa1lnWWecc1prWmtaazpnWmucc3tvWmtba1trOmd8b3tve296b3pvemt7b1prW2taa1trGmNba7ZWXGt8b1premucc1prfG8ZYzNG0jmQMfpefG97b3tvWmt7b1pre29aa3tvWmt7b1pre29aa3tvWmtba1tre29aa1trWmtba1prW2taa3tvW2t7b1pre29aa3prWWdaaxhjfG8aY5dSkDUtKbE5uFZcb51zOWdZa5pve29bb3tvWmt7b3tvem9Za3pvWmt7b1trfG9ba3xvW2t7b1prOWc5Z1prWmtaazlnWms6Z1prOmdba1prW2taa1trWmt7b1pre29aa1prOWdaazlnWms5Z1prOWdaazlnWmtaa1prWmtaa1prWmtaa1prAAB6b3tvem97b3pve297b3tvWmt7b3tvm3N6b3tvem97b1pre29aa3tvWmt7b3tve29aa3tve297b3tve297b3tve297b3tve297b3tve297b1prWmtaa1prWmt7b1prWmt7b3tve297b1pre297b3tvWmt7b3tve29aa1prWmt7b1pre29aa3pvWmtaa1pre29aa1trW2sZY8856ByuNTlne297b3tve297b3tvWmt7b1pre29aa3tvWmt7b1pre29aa3tvWmt7b1prWms5Z1lrOGdaa1prWms5Z3tve29aa1prWmtaa1trWmtba1prWmtaa3pvWmt7b1pre29ba3tvOmc6ZxlnWmtba3xvW2taa1prnHM5Zzpn11qOMUwp+V5aa1prWmt7b1prWmtaa1prOWdaa1pre29aa3tvWmtaa1prWmtaa3tvWmt7b1pre29aa3tve297b1prWmtaa3tvOWdaa1prWms6Zztr+V65WsscLilOLRtjXW9ba1pre29aa3tvWmt7b1prWmtaa1prWWtaa1prWmtaa1prWmtba1prWmtaa1prWmtaa1prWms5Z1prOmdaazpnWmtaa1prWmtaa1prWms5Z1prWmtaa1prWms5Z1prOWdaa1prWms5Z1prWmtaazlnWmtaa1prOWcAAHtve297b3tve297b5tze297b3tvnHN7b5tze297b3tve297b3tve297b3tve297b3tve297b3tve297b3tve297b3tve297b3tve2+cc3tve29aa3tvWmt7b3tve297b5xze297b3tve297b3tve29aa1prnHN7b5xze297b3tve29aa3tvWmt7b1pre297b3tvWmtaaxhjtVZSStZae297b3tve297b3tve297b1pre29aa3tve297b1pre297b3tvWmt7b3tve29aa1prWmtaa1pre29aa1pre2+cc1pre29aa3tvWmt7b1pre29aa3tvWmt7b1pre29aa3tvWmtaazlnWmtaa3tve297b1pre2+cc3tvWmtaa3NOc057b3tvWmt7b1pre29aa3tvWmtaa1pre297b3tvWmt7b1prWmtaa3tvWmt7b1pre29aa1prWmt7b1pre29aa1prWmtaa1prWmtaa1trW2s7Z9le0j3rILE50j1da31vfG9aa3tvWmt7b1pre29aa3tvWmtaa1pre29aa1prWmt7b1prWmtaa1prWmtaa1prWmtaa1prWmtaa1prWmtaa1prWmtaa1prWmtaa1prWmt7b1prWmtaa1prWmtaa1prWmtaa1prWmtaa1prWmtaa1prWmtaawAAem97b3pve297b3tve297b3tvm3N7b5tze297b3pve297b3tvWmt7b1pre29aa3tvWmt7b1pre297b3tve297b1pre29aa3tve297b3tve297b3tvWmt7b1pre29aa3tve297b3tve29aa3tvWmt7bzlne297b5xznHOcc1pre29aa3tvWmt7b1prWmtaa3tve297bzlnOWcYY1pre297b3tve29aa3tve297b1pre29aa3tvWmt7b1pre29aa3tvWmt7b1pre29aa1prOWdaa1pre29aa1prWmt7b3tvWmtaa1prWmtaa1prWmtaa1prWmt7b1prWmtaa1prWmtaa1prWms5Z1prWmtaa1pre285Z3tvWmtaa1prOWc5Z5xzWmt7b1prWmtaa1prWmt7b1prWmtaa3tvWmt7b1prWmtaa1prWmtaa1pre29aa1prWmtaa1prWmtaa1prOWdaazlnWmtZa1prWmt7bztnG2eYVtI9Ti1vLTRKnXNba3tvWmt7b1prWmtaa3tvWmtaa1prWmtaa1prWmtaa1prWmtaa1prWmtaa1prWmtaa1prOWdaazlnWms5Z1prOWdaa1prWms5Z1prWmtaa1prWmtaa1prOWdaazlnWms5Z1prWmtaazlnWmtaa1prOWdaa1prAAB7b3tve297b5tze2+bc3tvm3N7b5xze2+bc3tve297b3tve297b1pre297b3tve297b3tve297b3tve297b3tve297b3tve297b3tvnHN7b3tve297b1prWmtaa3tve2+cc3tve297b3tvWmt7b1prWmt7b5xznHOcc3tve29aa3tve297b1pre29aa3tve297b3tvnHNaa1prWmt7b1pre297b3tve297b3tve29aa3tve297b1pre297b3tvWmt7b3tve29aa3tvWmtaa1prWmt7b3tvWmt7b3tve29aa3tvWmt7b1pre29aa3tvWmt7b3tve29aa3tvWmtaa1pre29aa3tvWmtaa1pre297b3tvWmt7b1prWmtaa3tvWmt7b3tve29aa1prWmt7b3tve29aa3tvWmt7b1pre29aa3tvWmt7b1pre29aa3tvWmtaa1pre29aa3tvWmtaa1prWmtaa1prWWt7b1trW2s7Zxtn+l5vMW4tjzW3Vpxze297b1pre29aa3tvWmt7b1pre29aa1prWmt7b1prWmtaa3tvWmtaa1prWmtaa1prWmtaa1prWmtaa1prWmtaa1prWmtaa1prWmtaa1prWmtaa1prWmtaazlnWmtaa1prOWdaa1prWmtaa1prWmtaa1prWmsAAHpve296b3tvem97b3tve29aa3tve297b1pre29aa3tvWmt7b1pre29aa3tve297b1pre29aa3tvWmt7b3tve29aa3tvWmt7b3tve297b3tvWmt7b1pre29aa1prWmt7b3tve297b3tvWmtaa1pre297b3tve2+cc3tve29aa3tvWmt7b3tve29aa1prWmt7b1pre297b3tvWmtaa3tvnHNaa3tvWmt7b3tve29aa3tvWmt7b1pre29aa3tvWmt7b1pre29aa3tvWmtaa1prWmtaa1prWmtaa1prWmtaa1prWmtaa1pre29aa1prWmt7b3tve29aa3tvWmtaa1prWmtaa3tvWmtaazlnWmtaa3tve29aa1pre285Z1prWmtaa1pre29aa1prWmtaa1pre29aa1prWmt7b1prWmtaa1prWmtaa1pre29aa1prWmtaa1pre29aa3tvWmtaa1pre29aa1prWWtaa1lrWms6a1trG2cbZ1VKbjHRPVNKnHNZa1prWmtaa1prWmtaa1pre29aa1prWmtaa1prWmtaa1prWmtaa1prWmtaa1prWmtaazlnWms5Z1prOWdaazlnWms5Z1prOWdaazlnWmtaa1prOWdaazlnWms5Z1prOWdaazlnWmtaa1prOWdaa1prWms5ZwAAe297b3tve297b3tvm3N7b3tvem+bc3tve29aa3tvem97b3tve297b3tve297b3tve29aa3tve297b3tve297b3tve297b3tve297b3tve297b3tvnHN7b3tvWmt7b3tvnHN7b3tve297b1pre29aa5xze2+cc3tve29aa3tve297b3tve297b3tvWmt7b3tve29aa1pre2+cc3tvnHOcc3tvWmt7b3tve297b3tvWmt7b1pre297b3tvWmt7b3tve29aa3tvWmtaa1pre29aa3tvWmt7b1prWmtaa1prWmtaa1pre297b1prWmt7b3tve297b3tve297b1pre29aa3tve297b1prWmtaa3tve297b1pre297b3tvWmt7b3tve29aa3tvWmt7b1pre297b3tvWmt7b1pre29aa3tvWmt7b1pre29aa3tvWmt7b1pre29aa3tve297b1pre29aa3pvWWtaa1lremtZZ1prW2tca/piG2dUSpZSOmdZa1prWmtaa3tvWmt7b1pre29aa1prWmt7b1prWmtaa3tvWmt7b1pre29aa1prWmtaa1prWms5Z1prWmtaa1prWmtaa1prOWdaa1prWmtaa1prWmtaa1prWmtaa1prWmtaa1prWmtaa1prWmtaa1prWmtaa1prAAB6b3tvem97b3tve297b3tvWmt7b3tve296b3tvWmt7b3tve29aa3tvWmt7b1pre29aa3tvWmt7b1pre29aa3tve297b1pre29aa3tvWmt7b1pre297b5xze297b1pre297b3tvWmt7b1pre29aa3tve297b3tve29aa3tvWmt7b1pre29aa3tvWmt7b1pre297b3tvWmtaa3tvnHNaa1prWmt7b1pre297b3tvWmt7b1pre29aa3tvWmt7b1pre29aa3tvWmtaa1prWmtaa1prWmt7b1prWmtaa1prOWdaa1pre297b3tvWmtaa1pre29aa3tvWmt7b1pre29aa3tvWmt7b1pre29aa3tvWmt7bzlnWmtaa1prWmt7b1pre29aa3tvWmt7b1pre29aa3tvWmt7b1prWmtaa1prWmtaa1pre29aa3tvWmtaa1prWmtaa3tvWmt7b1prWmtaa1prWmtZa1lneW9Za1lrOWdbb1xrW2saZ1tr+F7eezhjem9Za1prWmtaa1prWmtaa1prWmtaa1prWmtaa1prWmtaa1prWmtaa1prWmtaazlnWms5Z1prOWdaazlnWms5Z1prOWdaazlnWms5Z1prOWdaa1prWmtaa1prWmtaa1prWmtaa1prOWdaa1prWms5Z1prOWcAAHtve297b3tvm3N7b5tze297b3tvnHN7b5tze297b3tve297b3tvWmt7b3tve297b3tvWmt7b1pre297b3tve2+cc3tve297b3tve297b1prWmt7b5xze297b1prWmtaa3tve297b1pre29aa3tvWmt7b3tve297b3tve297b1pre297b3tve297b1pre297b1pre2+cc3tve2+cc5xzWmt7b1pre29aa3tve297b1pre297b3tvWmt7b3tve29aa3tvWmt7b1prWmtaa3tvWmt7b3tve29aa3tvWmtaa1prWmt7b3tve297b1pre297b3tvWmt7b1pre29aa3tvWmt7b3tve297b3tve297b1prWmucc3tvOWdaa3tvWms5Z3tvWmt7b3tve297b3tvWmt7b1pre29aa3tvWmt7b1pre29aa3tvWmt7b1prWmtaa1prWmt7b1pre29aa1prWmtaa1lrWWt5b3pvWWt6a3tvW2tcbztrOmd8b/dem3NZa1prWmtaa1pre29aa3tvWmt7b1prWmtaa3tvWmtaa1pre29aa3tvWmtaa1prWms5Z1prOWdaazlnWmtaa1prOWdaa1prWms5Z1prWmtaa1prWmtaa3tvWmt7b1prWmtaa1prWmtaa1prWmtaa1prWmtaawAAe297b3tve296b3tve297b3tve297b3tvem97b3tvm3Naa3tvWmt7b1pre29aa3tve297b1pre297b3tvWmtaa1pre297b3tvWmt7b1pre29aa3tvWmt7b1pre29aa3tvWmtaa1prWmtaa3tve297b3tve297b3tve297b1pre29aa3tvWmt7b1pre29aa3tvWmt7b1pre29aa3tve297b1pre29aa3tvWmt7b1pre29aa1prWmt7b1pre29aa3tvWmt7b1pre29aa1prWmt7b1prWmtaa3tvWmtaa1prWmtaa3tve297b1prWmtaa3tvWmt7b1pre29aa3tvWmt7b1prWmtaa1prWmtaa1pre29aa1prWmtaazlnWmtaa3tvWmt7b3tve29aa3tvWmtaa1pre29aa1prWmtaa1pre29aa3tvWmt7b1prWmtaa1prWmtaa1prWmtaa1prWmtaazlnWmtZa3lrWGtZa1lrWmtaa1trO2dba1prWmtZa3pvWmt7b1prWms5Z1prWmtaa1prWmtaa1prWmtaa1prWmtaa1prWmtaazlnWms5Z1prOWc5ZzlnWms5Z1prWmtaazlnWms5ZzlnOWdaa1prWmtaa1prWmtaa1prWmtaa1prOWdaa1prWms5Z1prWmtaazlnAACbc3tvm3N7b3tve2+cc3tvm3N7b5tze297b3tvm3N7b3tve297b3tve297b3tve297b3tve29aa3tvWmt7b1pre297b3tve297b3tve29aa3tve297b3tve29aa3tvWmt7b1prWmtaa3tve297b3tve297b3tve297b3tve297b3tve297b3tve297b3tve297b1pre297b3tve297b3tve29aa3tve297b3tve29aa3tvWmt7b1pre29aa3tve297b1pre29aa3tvWmt7b1pre29aa3tvWmt7b1pre29aa3tve2+cc3tvWmtaa3tve297b1pre29aa3tvWmt7b1prWmtaa3tvWmt7b1pre29aa1prWmt7b1prWmtaa3tvWmt7b3tve29aa1prWmt7b1pre29aa3tvWmtaa1pre29aa3tvWmt7b1pre29aa3tvWmt7b1pre29aa1prWmtaa1prWmtaa3pvWWt5a1lremtZa3tvW2tba1prW2taa3pvWWt6b1pre29aa1prWmtaa1pre29aa3tvWmt7b1pre29aa1prWmtaa1prWmtaa1prWmtaazlnWmtaa1prWmtaa1prWmtaa1prOWdaazlnWmtaa1prWmtaa1prWmtaa1prWmtaa1prWmtaa1prWmtaa1prWmsAAHpve296b3tve297b3tvm3N7b3tve297b3tve297b3tvWmt7b1pre29aa3tvWmt7b3tve29aa3tvWmt7b1pre29aa3tvWmt7b3tve29aa3tve297b3tve297b3tvWmt7b1pre29aa1prWmt7b1pre297b3tve297b3tve29aa3tve297b1pre29aa3tvWmtaa1pre29aa3tve297b1pre29aa3tvWmt7b3tve29aa3tvWmt7b1pre29aa3tvWmt7b1pre29aa1prWmt7b1pre297b3tvWmtaa1prWmtaa1prWmt7b1pre29aa1prWmt7b1prWmtaa1prWmtaa1prWmtaa1prWmtaa1pre29aa1prWmtaa1prWmtaa1prWmt7b3tve29aa1prWmt7b1prWmtaa1prWmtaa1prWmtaa1prWmt7b1prWmtaa1prWmtaa1pre29aa1prWmtaa1prWmtaa1prWWtZa1lreWtYa1prWmtbazpnWmtaa3prWWtZa1lrWmtaa1prWmtaa1prWmtaa3tvWmtaa1pre29aa1prWmtaazlnWms5Z1prOWdaazlnWms5Z1prWmtaazlnWms5Z1prOWc5ZzlnWms5Z1prWmtaazlnWmtaa1prOWdaa1prWms5Z1prWmtaazlnWms5ZwAAe297b3tvem+bc3tvnHN7b5tze2+bc3tvnHN7b5tze297b3tve297b3tve297b3tvnHN7b3tve2+cc3tvnHN7b3tve297b3tve297b3tvWmt7b3tve297b3tve297b3tve297b3tvWmt7b3tve29aa3tve297b3tve297b3tvWmt7b3tve297b3tvWmt7b1pre29aa3tve297b3tve29aa3tve297b3tve297b3tve297b1pre29aa3tvWmt7b1pre29aa3tvWmt7b1pre297b5xze297b1pre29aa3tvWmtaa1pre29aa3tvWmt7b1pre29aa1prWmt7b1prWmtaa3tvWmt7b1pre29aa3tvWmtaa1prWmtaa1prWmt7b3tve297b3tvWmt7b3tve285Z1prWmtaa1pre29aa1prWmt7b1pre29aa3tvWmt7b1pre29aa3tvWmt7b1prWmtaa1trWmtaa1lreW9Za3lrWWt7b1trW2taa3tvWmtZa1lrWmtaa1prWmt7b1prWmtaa3tvWmt7b1pre29aa3tvWmt7b1prWmtaa1prWmtaa1prWmtaa1prWmtaa1prWmtaa1prWmtaazlnWmtaa1prWmtaa1prWmtaa1prWmtaa1prWmtaa1prWmtaa1prWmtaa1prAABaa3tvWmt7b3pve297b5xzem97b3tvm3N7b3tve297b1pre29aa3tvWmt7b1pre29aa3tve2+cc5xznHN7b3tvWmt7b1pre29aa3tvWmt7b3tve297b3tve297b1pre29aa3tvWmt7b1pre29aa3tvWmt7b1pre29aa3tvWmt7b1pre297b3tvWmtaa1prWmtaa1prWmt7b1pre29aa3tvWmt7b3tve29aa3tvWmt7b1pre29aa3tvWmt7b1pre29aa1prWmtaa1pre29aa3tve297b1prWmtaa1prWmtaa1prWmtaa3tvWmtaa1pre29aa1prWmtaa1prWmtaa1prWmtaa1pre29aa1prWmtaazlnWmtaa1prWmtaa1pre29aa3tvWmtaa1pre29aazlnOWdaa1prWmtaa1prWmtaa1prWmtaa1prWmtaa1pre29aa3tvWmt7b1prWmtaa1trWmtba1premtZa3lrWWtaa1prW2taa1trWmtaa1lrWWs5Z1prWmtaa1prWmtaa1prWmtaa1prWmtaa1prWmtaa1prWmtaa1prOWdaazlnWms5Z1prWmtaa1prWmtaa1prOWdaazlnWms5Z1prWmtaazlnWmtaa1prOWdaa1prWms5Z1prWmtaazlnWmtaa1prOWcAAHtvem97b3tve297b5tze297b3tvnHN7b5xze2+bc3tve297b3tve297b3tve297b3tvWmt7b3tvnHN7b3tvWmt7b1pre297b3tve297b3tve297b3tve297b3tve297b3tve297b3tve29aa3tve297b1pre297b3tve297b3tve297b3tve297b1pre29aa3tvWmt7b3tve29aa3tve297b1pre297b3tvWmt7b1pre29aa3tvWmt7b1pre29aa3tvWmt7b1pre29aa3tve297b1pre29aa1prWmt7b1pre29aa3tvWmt7b1pre29aa3tvWmt7b1pre29aa3tvWmt7b1pre29aa3tvWmt7b1prWmtaa3tvWmtaa1pre297b3tvWmt7b1pre297b1prGGNaa1pre29aa3tvWmt7b1pre29aa3tvWmt7b1pre29aa3tvWmt7b1pre29aa3tvWmtba1tre29aa3pvWWt6b1lre29aa1trW2t7b1premtZa1prWmtaa1prWmtaa1prWmtaa1pre29aa1prWmt7b1prWmtaa1prWmtaa1prWmtaa1prWmtaa1prWmtaa1prWmtaazlnWmtaa1prWmtaa1prWmtaa1prWmtaa1prWmtaa1prWmtaa1prWmtaa1prWmtaawAAem97b1pre296b3tvem97b3pve297b5tze2+bc3pve29aa3tvWmt7b1pre29aa3tvWmt7b1pre297b3tve297b1pre29aa3tve297b1pre29aa3tvWmt7b1pre29aa1prWmt7b3tve29aa3tvWmt7b1pre29aa3tvWmt7b1pre29aa3tvWmt7b1pre29aa1prWmt7b1pre29aa3tvWmt7b1pre29aa3tvWmt7b1prWmtaa3tvWmt7b1pre29aa1prWmt7b1prWmtaa3tvWmt7b1prWms5Z1prWmtaa1prWmtaa3tvWmtaa1prWmtaa1prWmt7b1prWmtaa3tvWmtaa1pre29aa1prWmtaa1prWmtaa1prWmtaa1prWmtaa3tvWmt7b1prWmtaa3tvOWcYY1prWmtaa3tve297b1pre29aa1prWmtaa1pre29aa3tvWmt7b1pre29aa3tvWmtba1trXGtaa1prWWt5b1lrWmtaa1trOmtba1prem9Za1lrOWdaazlnWms5Z1prWmtaa1prWmtaa1prWmtaa1prWmtaa1prOWdaazlnWms5Z1prWmtaa1prWmtaa1prOWdaazlnWms5Z1prOWdaazlnWms5Z1prOWdaazlnWms5Z1prWmtaazlnWmtaa1prOWdaazlnAACbc3tve296b3tve297b3tve297b5tze2+cc3tve296b3tve297b3tve297b3tve2+cc3tve29aa3tve2+cc3tve29aa3tve297b3tve297b3tve297b3tve29aa3tvWmt7b3tvnHN7b3tvWmt7b1pre29aa3tve297b3tve297b3tvWmt7b1pre297b3tvWmt7b1pre29aa3tve297b1pre29aa3tvWmt7b1pre29aa3tve297b1pre29aa3tvWmt7b3tve29aa3tvWmt7b1prWmtaa1prWmt7b1prWmtaa3tvWmt7b1pre29aa1prOWd7b1pre29aa3tvWmt7b1pre29aa3tvWmt7b1prWmtaa3tvWmt7b1prWmtaa1prWmt7b1prWms5Z3tve29aaxhjWmtaa3tve2+cc3tve29aa3tvWmt7b1pre29aa3tvWmt7b3tve29aa3tvWmt7b1prW29ba3tvWmt6b1lrem9Za1prWmtba1tre296b3pvWWtaa1prWms5Z1prWmtaa1prWmtaa1prWmtaa1prWmtaa3tvWmtaa1prWmtaa1prWmtaa1prWmtaa3tvWmtaa1prWms5Z1prWmtaa1prWmtaa1prWmtaa1prWmtaa1prWmtaa1prWmtaa1prWmtaa1prWmsAAHtve297b3tvWmt7b3tve297b3tve297b3tve297b5xzWmt7b1pre29aa3tvWmt7b1pre297b3tve297b3tve29aa3tve297b3tve297b3tvWmt7b1pre29aa1prWmtaa1pre297b3tve297b1pre297b3tvWmt7b1pre297b3tvWmtaa3tve297b3tvWmtaa1prWmtaa3tvWmt7b1pre29aa1prWmtaa1prWmtaa1prWmtaa1pre29aa3tvWmt7b1prWmtaa3tvWmt7b1pre285Z1prWmt7b1prWmtaa1prWmtaa1pre29aa1prWmtaa1prWmtaa1prWmtaa1prWmtaa1prWmt7b1prWmtaa1prWmtaa1prWmtaa1prWmt7b1prWmtaa1prWmtaa1pre29aa3tvWmt7b1prWmtaa1prWmtaa1pre29aa3tvWmt7b1pre29aa3tvWmtaa1prWmtaa1trW2t7b1prem9aa1prWmtaazlnWmtaa3tvWmtaa1prWmtaa1prWmtaa1prWmtaa1prWmtaazlnWms5Z1prWmtaa1prWmtaa1prWmtaazlnWmtaa3tvOWdaazlnWms5Z1prOWdaazlnOWc5Z1prOWdaazlnWms5Z1prOWdaa1prWmtaa1prOWdaa1prWmtaawAAe297b3tve297b3tve297b3tve2+cc3tvnHN7b5xze297b1pre29aa3tvWmt7b3tve297b3tve297b3tve297b3tve297b3tve297b3tve297b3tve297b3tvWmt7b1pre297b3tve297b3tve29aa3tve297b3tve297b3tve29aa1pre297b3tve297b1pre29aa3tve297b3tve297b3tvWmt7b1pre29aa3tvWmt7b1pre29aa3tvWmt7b3tve29aa3tve297b1pre29aa1prWmt7b1prWmtaa3tvWmt7b1pre29aa3tvWmt7b1pre29aa3tvWmtaa1prWmtaa3tvWmt7b1pre29aa3tvWmt7b1pre29aa1prWmt7b1pre29aa3tvWmtaa1pre29aa3tve297b3tve29aa3tvWmtaa1pre29aa3tvWmt7b3tve29aa3tvWmt7b1pre29aa3tvWmt7b3tve29aa3tvWmtaa1prWmtaa3tvWmt7b1prWmtaa1prWmtaa1prWmtaa1prWmtaa1prWmtaa1prWmtaa1prWmtaa1prWmtaa1prWmtaa3tvWmtaazlnWmtaa1prWmtaazlnWms5Z1prOWdaa1prWmtaa1prWmtaa1prWmtaa1prWmtaa1prWmtaa1prAABaa3tvWmt7b3tve297b3tve297b3tve297b3tve297b3tve29aa3tvWmt7b1pre29aa3tvWmt7b1pre29aa3tve297b1pre297b3tvWmt7b1pre29aa3tve297b1pre29aa3tvWmt7b1pre29aa3tve297b1pre29aa3tvWmt7b1pre29aa3tve297b1prWmtaa3tvWmt7b1pre29aa3tvWmtaa1prWmtaa1prWmtaa1pre29aa3tvWmt7b1pre29aa3tvWmt7b1pre29aa1prWmtaa1prWmtaa1prWmtaa1prWmtaa1prWmt7b1prWmtaa3tvWmtaa1prWmtaa1prWmtaa1prWmtaa3tvWmt7b1prWmtaa1prWmtaa1prWmtaa1prWmtaa1prWmtaa1prWmt7b1pre29aa3tvWmt7b1prWmtaa1prWmt7b1pre29aa3tvWmtaa1prWmtaa1prWmt7b1pre29aa3tvWmtaa1prWms5Z1prWmt7b1prWmtaa1prWmtaa1prWmtaa1prWmtaazlnWms5Z1prOWdaa1prWmtaa1prWmtaa1prWms5Z1prWmtaa1prWms5Z1prWmtaazlnWms5Z1prOWdaazlnWms5Z1prOWdaazlnWmtaa1prOWdaa1prWmtaa1prWmsAAHtve297b3tve297b5xze297b3tve297b5xze2+cc3tve297b3tvWmt7b3tve297b3tvWmt7b1pre297b3tve297b3tve297b3tve297b3tve297b3tve2+cc3tve297b3tvWmt7b1pre297b3tvWmt7b3tve297b3tve297b3tve29aa3tve297b3tve29aa3tvWmt7b1pre297b3tvWmt7b1pre29aa3tvWmt7b1pre29aa3tvWmt7b1pre29aa3tvWmt7b1pre29aa3tvWmt7b1pre29aa3tvWmtaa1pre29aa3tvWmt7b1pre29aa3tvWmt7b1pre29aa1prWmtaa1prWmtaa3tvWmt7b1pre29aa1prWmt7b1pre29aa3tvWmtaa1pre29aa3tvWmt7b1pre29aa3tve297b3tve29aa3tvWmt7b1pre29aa3tvWmt7b1pre29aa3tvWmt7b1pre29aa3tvWmtaa1pre29aa3tvWmt7b1prWmtaa1prWmtaa1prWmtaa1prWmt7b1prWmtaa1prWmtaa1prWmtaa1prWmtaa1prWmtaa1prWmtaa1prWmtaa1prWmtaa1prWms5Z1prWmtaa1prWmtaa1prWmtaa1prWmtaa1prWmtaa1prWmtaa1prWmtaawAAWmt7b1pre297b3tve2+cc1pre297b3tve297b3tve297b3tve297b1pre29aa3tvWmt7b1pre29aa3tvWmt7b3tve297b3tvWmt7b1pre29aa3tvWmt7b3tvnHN7b3tvWmtaa1pre29aa3tvWmt7b1pre29aa3tvWmt7b1pre29aa3tvWmt7b1pre29aa3tvWmtaa1pre29aa3tvWmtaa1prWmtaa1prWmtaa1prWmtaa3tvWmt7b1pre29aa3tvWmtaa1pre29aa3tvWmt7b1pre29aa3tvWmtaa1pre29aa1prWmt7b1prWmtaa1prWmt7b1pre29aa1prWmtaa1prWmtaa1prWmtaa1pre29aa1prWmtaa1prWmtaa1prWmtaa1prWmtaa1prWmt7bzlnWmtaa1prWmt7b1pre29aa1prWmtaa1prWmtaa3tvWmtaa1prWmtaa1prWmt7b1prWmtaa3tvWmtaa1prWmtaa1prWmtaa1prWmtaa1prWmtaa1prWmtaa1prWmtaa1prWmtaa1prOWdaazlnWmtaa1prWmtaa1prWmtaa1prOWdaazlnWms5Z1prWmtaazlnWms5Z1prOWdaazlnWms5Z1prOWdaazlnWms5Z1prOWdaazlnWms5Z1prWmtaazlnAAB7b3tve297b3tve2+cc3tve297b3tve297b3tvnHN7b5xze297b3tve29aa3tve297b1pre297b3tve297b3tve297b3tve297b1pre29aa3tvWmt7b3tvnHN7b5xze297b1pre29aa3tvWmt7b3tve297b3tve297b3tve297b3tvWmt7b3tve29aa3tvWmt7b1pre29aa3tvWmt7b1prWmtaa3tvWmtaa1pre29aa3tvWmt7b1pre29aa3tvWmt7b1pre297b3tvWmt7b1pre297b3tvWmtaa1pre297b3tvWmt7b1pre29aa3tvWmt7b1pre29aa3tvWmt7b1pre29aa3tvWmt7b1pre29aa3tvWmtaa1prWmtaa3tvWmtaa1prWmtaa1prWmt7b1prWmtaa1prWmt7b1pre29aa3tvWmt7b1pre29aa3tvWmt7b1pre29aa3tvWmt7b1pre29aa3tvWmtaa1pre29aa3tvWmt7b1prWmtaa1prWmtaa1prWmtaa1prWmtaa1prWmtaa1prWmtaa1prWmtaa1prWmtaa1prWmtaa1prWmtaa1prWms5Z1prWmtaa1prWmtaa1prWmtaa1prWmtaa1prWmtaa1prWmtaa1prWmtaa1prWmtaa1prWmtaa1prWmsAAHtve29aa3tve297b3tve297b3tvWmt7b3tve297b3tve297b3tve29aa3tvWmt7b1pre29aa3tve297b3tve297b3tvWmt7b1pre29aa1prWmtaa1pre297b5xze297b3tve29aa3tvWmt7b1pre29aa3tvWmt7b3tve29aa3tvWmt7b1pre29aa3tvWmt7b1pre29aa3tvWmtaa1prWmtaa1prWmtaa1prWmtaa1prWmt7b1pre29aa3tvWmtaa1pre29aa3tvWmt7b1prWmt7b3tvWmtaa1prWmtaa3tvWmtaa1prWmtaa3tvWmtaa1pre29aa3tvWmt7b1prWmtaa3tvWmtaa1prWmtaa1prWmtaa1prWmtaa1prWmtaa1prWms5Z1prWmtaa1pre29aa1prWmtaa1pre29aa3tvWmtaa1prWmtaa1prWmtaa1prWmtaa1prWmt7b1pre29aa3tvWmtaa1prWmtaa1prWmtaa1prWmtaa1prWmtaa1prWmtaa1prWmtaa1prWmtaa1prOWdaazlnWms5Z1prWmtaa1prWmtaa1prWmtaa1prWms5ZzlnWmtaa1prWms5Z1prOWdaazlnWmtaa1prOWdaazlnWms5Z1prOWdaa1prWms5Z1prOWdaazlnWms5ZwAAe297b3tve297b3tve297b3tve297b3tve297b3tve2+cc3tve297b3tve297b3tve297b3tve297b3tve297b3tve297b3tve29aa3tvWmt7b1prWmtaa5xznHOcc3tvnHN7b3tvWmt7b3tve297b3tve297b3tve297b3tvWmt7b3tve29aa3tve297b1pre29aa3tvWmt7b1prWmtaa1prWmtaa1prWmtaa1prWmt7b3tve29aa3tvWmt7b1pre29aa3tvWmt7b1pre29aa3tve297b1prWmtaa3tvWmt7b1pre29aa3tvWmt7b1pre297b3tvWmt7b1pre29aa3tve297b1pre29aa1prWmt7b1prWmtaa1prWmtaa1prWmtaa1prWmtaa1pre29aa3tvWmt7b1pre29aa3tvWmt7b1pre29aa3tvWmtaa1pre29aa3tvWmt7b1pre29aa3tvWmt7b1prWmtaa1prWmtaa1pre29aa1prWmtaa1prWmtaa1prWmtaa1prWmtaa3tvWmtaa1prWmtaa1prWmtaa1prWmtaa1prWmtaa1pre29aa1prOWdaa1pre29aa1prWmtaazlnWmtaa1prWmtaa1prWmtaa1prWmtaa1prWmtaa1prOWdaazlnWms5Z1prAABaa3tve297b3tve297b3tvWmt7b1pre29aa3tve297b3tve297b3tve297b1pre297b3tve297b3tvnHN7b3tve297b3tve29aa3tvWmt7b3tve29aa3tve2+cc3tve297b3tve297b1pre29aa3tvWmt7b3tve297b3tve297b1pre29aa3tvWmt7b3tve29aa3tvWmt7b1prWmtaa3tvWmtaazlne29aa1prWmt7b1prWmtaa1prWmtaa1pre29aa3tve297b1pre29aa3tvWmt7b1pre29aa3tvWmt7b1pre29aa3tvWmtaa1pre29aa3tvWmt7b1prWmtaa3tvWmt7b1pre29aa1prWmt7b1prWmtaa1prWmtaa1prWmtaa1prWmtaa1prWmtaa3tvWmtaa1prWmtaa1prWmtaa1prWmtaa1prWmtaa1prWmtaa1prWmtaazlnWmtaa1prWmtaazlnWms5Z1prWmt7bzlnWmtaa1prWmtaa1prWmtaa1prWmtaa1prWmtaa1prWmtaazlnWms5Z1prWmtaa1prWms5Z1prOWdaazlnWms5Z1prOWdaazlnWmtaa1prOWdaa1prWms5Z1prWmtaazlnWms5Z1prOWdaazlnWms5Z1prOWdaazlnWms5Z1prOWcAAHtve2+cc3tvnHN7b5xze297b3tve297b3tve2+cc3tve297b5xze297b3tve29aa3tve297b3tvnHN7b5xze297b3tve297b3tvWmt7b3tve297b3tve2+cc3tvnHN7b5xze2+cc3tve297b3tve297b1pre297b3tve297b3tve297b3tve297b3tve297b3tvWmt7b1prWmtaa3tvWmt7b1prWmtaa3tvWmtaa3tvWmtaa3tvWmt7b1pre29aa3tvWmt7b3tve297b3tve297b1pre29aa3tvWmt7b1pre29aa3tvWmt7b1pre29aa3tvWmt7b1pre29aa3tvWmt7b1pre29aa3tvWmt7b1prWmtaa3tvWmtaa1pre29aa1prWmtaa1prWmtaa3tvWmtaa1pre29aa3tvWmt7b1prWmtaa3tvWmtaa1pre29aa1prWmtaa1prWmtaa3tvWmtaa1prWmtaa1prWmt7b1prWmtaa3tvWmt7b1pre29aa3tvWmt7b1prWmtaa3tvWmt7b1prWmtaa1prWmt7b1prWmtaa1prWmtaazlnWmtaa1prOWdaa1prWmtaa1prWmtaa1prWmtaa1prWmtaa1prWmtaa1prWmtaazlnWms5Z1prOWdaazlnWms5Z1prOWdaawAAe297b3tve297b5xze297b3tve297b3tve297b3tvnHN7b3tve297b3tve29aa3tve297b1pre297b3tve297b3tve29aa3tvWmt7b1pre297b3tvWmt7b3tve297b3tve297b3tve297b3tvWmt7b1pre29aa3tvWmt7b1pre29aa3tvWmt7b1pre29aa3tvWmt7b1prWmtaa1prWmtaa1prWms5Z1prWmtaa1pre29aa1prWmtaa1pre29aa1prWmt7b1pre29aa3tvWmt7b1pre29aa1prWmt7b1prWmtaa3tvWmtaa1pre29aa3tvWmt7b1prWmtaa3tvWmt7b1pre29aa1prWmtaa1prWmtaa1prWmtaa1prWmtaa1prWmtaa1prWmtaa1prWmtaa1prWmtaa1prWmtaa1prWmtaa1prWmtaa1prWmtaa1prWmtaa1prWmtaa1prWmtaa1prWms5Z1prWmtaa1prWmtaa1prWmtaa1prWmtaa1prWmtaa1prWmtaa1prWmtaa1prWmtaa1prOWdaa1prWmtaa1prOWdaazlnWms5Z1prOWdaazlnWms5Z1prOWdaa1prWms5Z1prWmtaazlnWmtaa1prOWdaazlnWms5Z1prOWdaazlnWms5Z1prOWc5ZzlnAAB7b3tve297b5xze297b3tvnHN7b3tve297b3tve297b3tve297b3tve297b3tvWmt7b3tve29aa3tve297b1pre297b3tve297b3tve297b3tve297b3tve297b3tve297b3tve297b3tve297b1pre29aa3tvWmt7b1pre29aa3tve297b1pre297b3tvWmt7b1pre29aa3tvWmtaa1pre29aa1prWmt7b1prWmtaa1prWmtaa1pre29aa3tvWmt7b1pre29aa3tve297b1pre29aa3tvWmt7b1pre29aa3tvWmt7b1pre29aa3tvWmt7b1pre29aa3tvWmt7b1pre297b3tvWmt7b1prWmtaa1prWmtaa1pre29aa3tvWmtaa1prWmtaa1prWmtaa1prWmtaa3tvWmt7b1prWmtaa1prWmtaa1pre29aa3tvWmtaa1prWmtaa3tvWmtaa1prWmtaa1prWmtaa1prWmtaa1prWmtaa1pre29aa3tvWmtaa1prWmtaa1prWmt7b1pre29aa1prWmtaa1pre29aa1prWmtaazlnWms5Z1prOWdaazlnWms5Z1prWmtaa1prWmtaa1prWmtaa1prWmtaa1prWmtaa1prWmtaa1prOWdaa1prWms5Z1prOWdaazlnWmsAAFpre29aa3tve297b3tve297b3tvWmt7b1pre29aa3tvWmt7b3tve297b3tvWmt7b3tve29aa3tvWmt7b1pre29aa3tvWmt7b1pre297b3tvWmt7b3tve29aa3tve297b1pre29aa3tvWmt7b1pre29aa3tvWmt7b1prWmtaa3tvWmt7b1pre29aa3tvWmt7b1pre29aa3tvWmt7b1prWmtaa1prWmtaa1prWmtaa1prWmtaa1prWmtaa1prWmtaa1prWmtaa3tvWmt7b1prWmtaa1prWmtaa1prWmtaa1prWmtaa1prWmtaa1prWmt7b1pre29aa3tvWmt7b1pre29aa3tvWmtaa1prWmtaa1prWmtaa1prWmtaa1prWmtaa1prWmtaa1prWmtaa1prWmtaa1prWmtaa1prWmtaa1prWmtaa1prWmtaa1prWmtaa1prWmtaa3tvWmtaa1prWms5Z1prWmtaa1prWmtaa1prOWdaa1prWmtaa1prWmtaazlnWmtaa1prOWdaa1pre29aa1prWmtaa1prWmtaa1prWmtaazlnWms5Z1prOWdaazlnWms5Z1prOWdaa1prWms5Z1prWmtaazlnWmtaa1prOWdaazlnWms5Z1prOWdaazlnWms5Z1prOWdaazlnWms5ZwAAe29aa3tve297b3tve297b3tve297b1pre29aa3tve297b3tve297b3tve297b3tve297b3tve297b3tve29aa3tvWmt7b3tve297b3tve297b3tvnHN7b3tvWmt7b3tve297b3tve297b1pre297b3tvWmt7b1pre29aa3tvWmt7b3tve297b3tvWmt7b1pre297b3tve297b3tve29aa1prWmt7b1prWmtaa3tvWmtaa1prWmtaa1prWmt7b1prWmtaa3tvWmt7b1pre29aa3tvWmt7b1pre29aa3tvWmtaa1prWmtaa1prWmt7b3tve29aa3tvWmt7b1pre297b3tvWmt7b1prWmtaa1prWmtaa1pre29aa1prWmt7b1prWmtaa1prWmtaa1prWmtaa1prWmt7b1pre29aa3tvWmtaa1pre29aa1prWmt7b1prWmtaa3tvWmt7b1pre29aa1prWmtaa1prWmtaa3tvWmtaa1pre29aa3tvWmt7b1prWmtaa3tvWmtaa1pre297b1prWmt7b1prWmtaa3tvWmtaa1prWmtaa1prOWdaa1prWms5Z1prWmtaa1prWmtaa1prWmtaa1prWmtaa1prWmtaa1prWmtaa1prOWdaazlnWms5Z1prOWdaazlnWms5Z1prAABaa3tvWmt7b3tve29aa3tve297b1pre29aa3tvWmt7b1pre297b3tve297b1pre297b3tvWmt7b3tve29aa3tvWmt7b1pre297b3tvWmt7b1pre297b3tvWmt7b1pre29aa3tvWmt7b1pre29aa3tvWmt7b1pre29aa3tvWmtaa3tve29aa3tvWmtaa1prWmtaa3tvWmt7b3tve29aa1prWmt7b1prWmtaa3tvWmtaa1prWmtaa1prWmtaa1prWmtaa1prWmtaa1prWmtaa1prWmtaa1prWmtaa1prWmtaa1prWmtaa1prWmt7b1pre29aa3tvWmtaa1pre29aa3tvWmt7b1prWmtaa1prOWdaa1prWmtaa1prWmtaa1prWmtaa1prWmtaa1prWms5Z1prWmtaa1prWmtaa1prWmtaa1prWmtaa1prWmtaa1prWmtaa1prWmt7b1pre29aa1prOWdaa1prWmtaa1prWmtaa1prWmtaa1prWmtaa1prWmtaa3tvWmtaazlnWmtaa3tvWmtaa1prWmtaa1prOWdaa1prWms5Z1prOWdaazlnWms5Z1prOWdaazlnWms5Z1prWmtaazlnWmtaa1prOWdaa1prWms5Z1prOWdaazlnWms5Z1prOWdaazlnWms5ZzlnOWcAAHtve297b3tvnHN7b3tve2+cc3tve297b3tve297b3tve297b3tve2+cc3tve297b5xze297b3tve297b3tvWmt7b3tve297b3tve297b3tve297b5xze297b1pre297b3tve297b1pre297b3tve297b3tve297b3tvWmt7b1pre297b3tvWmt7b1prWmtaa3tvWmt7b3tve29aa1prWmtaa3tve29aa1prWmt7bzlnWmtaa1prWmtaa1prWmtaa1prWmt7b1pre29aa1prWmt7b1prWmtaa3tvWmtaa1prWmtaa1prWmt7b1pre29aa3tvWmt7b1pre29aa3tve297b3tve29aa1prWmtaa1prWmtaa1prWmt7b1pre29aa1prWmtaa1prWmtaa1prOWdaa1pre29aa3tvWmtaa1prWmtaa1prWmt7b1pre29aa1prWmt7b1pre29aa1prWmtaa1prWmtaa3tvWmtaa1prWmtaa1prWmt7b1pre29aa1prWmt7b1prWms5Z1prWmtaa1prWmtaa1prWmtaazlnWmtaa1prOWdaazlnWms5Z1prOWdaazlnWmtaa1prWmtaa1prWmtaa1prWmtaa1prWmtaa1prWmtaa1prWms5Z1prWmtaazlnWms5Z1prOWdaawAARgAAABQAAAAIAAAAR0RJQwMAAAAiAAAADAAAAP////8iAAAADAAAAP////8lAAAADAAAAA0AAIAoAAAADAAAAAQAAAAiAAAADAAAAP////8iAAAADAAAAP7///8nAAAAGAAAAAQAAAAAAAAA////AAAAAAAlAAAADAAAAAQAAABMAAAAZAAAAAAAAAB8AAAAqAEAAMwAAAAAAAAAfAAAAKkBAABRAAAAIQDwAAAAAAAAAAAAAACAPwAAAAAAAAAAAACAPwAAAAAAAAAAAAAAAAAAAAAAAAAAAAAAAAAAAAAAAAAAJQAAAAwAAAAAAACAKAAAAAwAAAAEAAAAJwAAABgAAAAEAAAAAAAAAP///wAAAAAAJQAAAAwAAAAEAAAATAAAAGQAAAAOAAAAfAAAAD8BAACSAAAADgAAAHwAAAAyAQAAFwAAACEA8AAAAAAAAAAAAAAAgD8AAAAAAAAAAAAAgD8AAAAAAAAAAAAAAAAAAAAAAAAAAAAAAAAAAAAAAAAAACUAAAAMAAAAAAAAgCgAAAAMAAAABAAAACUAAAAMAAAAAQAAABgAAAAMAAAAAAAAABIAAAAMAAAAAQAAAB4AAAAYAAAADgAAAHwAAABAAQAAkwAAACUAAAAMAAAAAQAAAFQAAACoAAAADwAAAHwAAACcAAAAkgAAAAEAAABVVY9BJrSPQQ8AAAB8AAAADwAAAEwAAAAAAAAAAAAAAAAAAAD//////////2wAAABIAHUAbQBiAGUAcgB0AG8AIABDAG8AbABtAGEAbgAAAAwAAAAKAAAADwAAAAoAAAAJAAAABgAAAAYAAAAKAAAABQAAAAsAAAAKAAAABAAAAA8AAAAJAAAACgAAAEsAAABAAAAAMAAAAAUAAAAgAAAAAQAAAAEAAAAQAAAAAAAAAAAAAACpAQAA0QAAAAAAAAAAAAAAqQEAANEAAAAlAAAADAAAAAIAAAAnAAAAGAAAAAQAAAAAAAAA////AAAAAAAlAAAADAAAAAQAAABMAAAAZAAAAA4AAACZAAAAPwEAAK8AAAAOAAAAmQAAADIBAAAXAAAAIQDwAAAAAAAAAAAAAACAPwAAAAAAAAAAAACAPwAAAAAAAAAAAAAAAAAAAAAAAAAAAAAAAAAAAAAAAAAAJQAAAAwAAAAAAACAKAAAAAwAAAAEAAAAJQAAAAwAAAABAAAAGAAAAAwAAAAAAAAAEgAAAAwAAAABAAAAHgAAABgAAAAOAAAAmQAAAEABAACwAAAAJQAAAAwAAAABAAAAVAAAAKAAAAAPAAAAmQAAAH4AAACvAAAAAQAAAFVVj0EmtI9BDwAAAJkAAAAOAAAATAAAAAAAAAAAAAAAAAAAAP//////////aAAAAFYAaQBjAGUAcAByAGUAcwBpAGQAZQBuAHQAZQALAAAABAAAAAgAAAAJAAAACgAAAAYAAAAJAAAABwAAAAQAAAAKAAAACQAAAAoAAAAGAAAACQAAAEsAAABAAAAAMAAAAAUAAAAgAAAAAQAAAAEAAAAQAAAAAAAAAAAAAACpAQAA0QAAAAAAAAAAAAAAqQEAANEAAAAlAAAADAAAAAIAAAAnAAAAGAAAAAQAAAAAAAAA////AAAAAAAlAAAADAAAAAQAAABMAAAAZAAAAA4AAAC2AAAAmgEAAMwAAAAOAAAAtgAAAI0BAAAXAAAAIQDwAAAAAAAAAAAAAACAPwAAAAAAAAAAAACAPwAAAAAAAAAAAAAAAAAAAAAAAAAAAAAAAAAAAAAAAAAAJQAAAAwAAAAAAACAKAAAAAwAAAAEAAAAJQAAAAwAAAABAAAAGAAAAAwAAAAAAAAAEgAAAAwAAAABAAAAFgAAAAwAAAAAAAAAVAAAAFABAAAPAAAAtgAAAJkBAADMAAAAAQAAAFVVj0EmtI9BDwAAALYAAAArAAAATAAAAAQAAAAOAAAAtgAAAJsBAADNAAAApAAAAEYAaQByAG0AYQBkAG8AIABwAG8AcgA6ACAASABVAE0AQgBFAFIAVABPACAAQQBSAEkARQBMACAAQwBPAEwATQBBAE4AIABDAEEAUwBUAEkATABMAE8AAAAIAAAABAAAAAYAAAAPAAAACQAAAAoAAAAKAAAABQAAAAoAAAAKAAAABgAAAAQAAAAFAAAADAAAAAwAAAAPAAAACgAAAAkAAAAKAAAACQAAAA0AAAAFAAAACwAAAAoAAAAFAAAACQAAAAgAAAAFAAAACwAAAA0AAAAIAAAADwAAAAsAAAANAAAABQAAAAsAAAALAAAACQAAAAkAAAAFAAAACAAAAAgAAAANAAAAFgAAAAwAAAAAAAAAJQAAAAwAAAACAAAADgAAABQAAAAAAAAAEAAAABQ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3C89D480F483A74F967A303BA758D95A" ma:contentTypeVersion="18" ma:contentTypeDescription="Create a new document." ma:contentTypeScope="" ma:versionID="45d811841ae2ff18270fbaab3dfa8a47">
  <xsd:schema xmlns:xsd="http://www.w3.org/2001/XMLSchema" xmlns:xs="http://www.w3.org/2001/XMLSchema" xmlns:p="http://schemas.microsoft.com/office/2006/metadata/properties" xmlns:ns2="df3d6109-0b77-46d1-b89c-8b39010869f2" xmlns:ns3="b934fac7-a2ac-41e0-adc5-9ae2ade0ae87" targetNamespace="http://schemas.microsoft.com/office/2006/metadata/properties" ma:root="true" ma:fieldsID="88b885891fd24291ac49911e1b892d71" ns2:_="" ns3:_="">
    <xsd:import namespace="df3d6109-0b77-46d1-b89c-8b39010869f2"/>
    <xsd:import namespace="b934fac7-a2ac-41e0-adc5-9ae2ade0ae8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AutoKeyPoints" minOccurs="0"/>
                <xsd:element ref="ns3:MediaServiceKeyPoints" minOccurs="0"/>
                <xsd:element ref="ns3:MediaServiceOCR"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d6109-0b77-46d1-b89c-8b39010869f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7a905bb-bf1d-46e3-b158-cfd94d0bbb73}" ma:internalName="TaxCatchAll" ma:showField="CatchAllData" ma:web="df3d6109-0b77-46d1-b89c-8b39010869f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934fac7-a2ac-41e0-adc5-9ae2ade0ae8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0e3dc64-6ff8-435f-b730-7d3d8adfaebc"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DAEMSEngagementItemInfo xmlns="http://schemas.microsoft.com/DAEMSEngagementItemInfoXML">
  <EngagementID>5000006718</EngagementID>
  <LogicalEMSServerID>-109903338106937214</LogicalEMSServerID>
  <WorkingPaperID>3844866605800000204</WorkingPaperID>
</DAEMSEngagementItemInfo>
</file>

<file path=customXml/item5.xml><?xml version="1.0" encoding="utf-8"?>
<p:properties xmlns:p="http://schemas.microsoft.com/office/2006/metadata/properties" xmlns:xsi="http://www.w3.org/2001/XMLSchema-instance" xmlns:pc="http://schemas.microsoft.com/office/infopath/2007/PartnerControls">
  <documentManagement>
    <TaxCatchAll xmlns="df3d6109-0b77-46d1-b89c-8b39010869f2" xsi:nil="true"/>
    <lcf76f155ced4ddcb4097134ff3c332f xmlns="b934fac7-a2ac-41e0-adc5-9ae2ade0ae8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228CB5D-CAFC-412D-9AC6-C7D44035E62A}">
  <ds:schemaRefs>
    <ds:schemaRef ds:uri="http://schemas.microsoft.com/sharepoint/v3/contenttype/forms"/>
  </ds:schemaRefs>
</ds:datastoreItem>
</file>

<file path=customXml/itemProps2.xml><?xml version="1.0" encoding="utf-8"?>
<ds:datastoreItem xmlns:ds="http://schemas.openxmlformats.org/officeDocument/2006/customXml" ds:itemID="{ECFE7704-C340-4DDA-87D5-96389E4CEA75}">
  <ds:schemaRefs>
    <ds:schemaRef ds:uri="http://www.w3.org/2001/XMLSchema"/>
  </ds:schemaRefs>
</ds:datastoreItem>
</file>

<file path=customXml/itemProps3.xml><?xml version="1.0" encoding="utf-8"?>
<ds:datastoreItem xmlns:ds="http://schemas.openxmlformats.org/officeDocument/2006/customXml" ds:itemID="{34503AE5-64F9-4A12-A3E7-DC4E524A78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d6109-0b77-46d1-b89c-8b39010869f2"/>
    <ds:schemaRef ds:uri="b934fac7-a2ac-41e0-adc5-9ae2ade0ae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C7880CB-946F-46ED-A556-64DC966C8933}">
  <ds:schemaRefs>
    <ds:schemaRef ds:uri="http://schemas.microsoft.com/DAEMSEngagementItemInfoXML"/>
  </ds:schemaRefs>
</ds:datastoreItem>
</file>

<file path=customXml/itemProps5.xml><?xml version="1.0" encoding="utf-8"?>
<ds:datastoreItem xmlns:ds="http://schemas.openxmlformats.org/officeDocument/2006/customXml" ds:itemID="{89A3C393-7C83-4927-BDDC-6C1EF3AB8C7D}">
  <ds:schemaRefs>
    <ds:schemaRef ds:uri="http://schemas.microsoft.com/office/2006/documentManagement/types"/>
    <ds:schemaRef ds:uri="b934fac7-a2ac-41e0-adc5-9ae2ade0ae87"/>
    <ds:schemaRef ds:uri="http://schemas.openxmlformats.org/package/2006/metadata/core-properties"/>
    <ds:schemaRef ds:uri="http://purl.org/dc/dcmitype/"/>
    <ds:schemaRef ds:uri="http://schemas.microsoft.com/office/infopath/2007/PartnerControls"/>
    <ds:schemaRef ds:uri="df3d6109-0b77-46d1-b89c-8b39010869f2"/>
    <ds:schemaRef ds:uri="http://purl.org/dc/elements/1.1/"/>
    <ds:schemaRef ds:uri="http://schemas.microsoft.com/office/2006/metadata/properties"/>
    <ds:schemaRef ds:uri="http://www.w3.org/XML/1998/namespace"/>
    <ds:schemaRef ds:uri="http://purl.org/dc/terms/"/>
  </ds:schemaRefs>
</ds:datastoreItem>
</file>

<file path=docMetadata/LabelInfo.xml><?xml version="1.0" encoding="utf-8"?>
<clbl:labelList xmlns:clbl="http://schemas.microsoft.com/office/2020/mipLabelMetadata">
  <clbl:label id="{8702d130-4e2a-4fec-9734-ab737fc12858}" enabled="0" method="" siteId="{8702d130-4e2a-4fec-9734-ab737fc1285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3</vt:i4>
      </vt:variant>
    </vt:vector>
  </HeadingPairs>
  <TitlesOfParts>
    <vt:vector size="14" baseType="lpstr">
      <vt:lpstr>INDICE</vt:lpstr>
      <vt:lpstr>INVENTARIO RF-MAR</vt:lpstr>
      <vt:lpstr>INVENTARIO RF</vt:lpstr>
      <vt:lpstr>BG 06.2025</vt:lpstr>
      <vt:lpstr>BG 12.2025</vt:lpstr>
      <vt:lpstr>CA EF</vt:lpstr>
      <vt:lpstr>ACTIVO NETO</vt:lpstr>
      <vt:lpstr>ESTADO DE INGRESOS Y EGRESOS</vt:lpstr>
      <vt:lpstr>FLUJO DE EFECTIVO</vt:lpstr>
      <vt:lpstr>VARIACION DEL ACTIVO NETO</vt:lpstr>
      <vt:lpstr>NOTAS</vt:lpstr>
      <vt:lpstr>'ACTIVO NETO'!Área_de_impresión</vt:lpstr>
      <vt:lpstr>'ESTADO DE INGRESOS Y EGRESOS'!Área_de_impresión</vt:lpstr>
      <vt:lpstr>NOTAS!Área_de_impresión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Aller</dc:creator>
  <cp:keywords/>
  <dc:description/>
  <cp:lastModifiedBy>Liz Vázquez</cp:lastModifiedBy>
  <cp:revision/>
  <cp:lastPrinted>2023-10-17T14:51:56Z</cp:lastPrinted>
  <dcterms:created xsi:type="dcterms:W3CDTF">2016-08-27T16:35:25Z</dcterms:created>
  <dcterms:modified xsi:type="dcterms:W3CDTF">2026-08-13T12:23:36Z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2022-03-31T01:06:36Z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354e2423-a421-4503-89a2-cb8f38c5cb2c</vt:lpwstr>
  </property>
  <property fmtid="{D5CDD505-2E9C-101B-9397-08002B2CF9AE}" pid="8" name="MSIP_Label_ea60d57e-af5b-4752-ac57-3e4f28ca11dc_ContentBits">
    <vt:lpwstr>0</vt:lpwstr>
  </property>
  <property fmtid="{D5CDD505-2E9C-101B-9397-08002B2CF9AE}" pid="9" name="ContentTypeId">
    <vt:lpwstr>0x0101003C89D480F483A74F967A303BA758D95A</vt:lpwstr>
  </property>
  <property fmtid="{D5CDD505-2E9C-101B-9397-08002B2CF9AE}" pid="10" name="MediaServiceImageTags">
    <vt:lpwstr/>
  </property>
</Properties>
</file>